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ables/table2.xml" ContentType="application/vnd.openxmlformats-officedocument.spreadsheetml.table+xml"/>
  <Override PartName="/xl/comments4.xml" ContentType="application/vnd.openxmlformats-officedocument.spreadsheetml.comments+xml"/>
  <Override PartName="/xl/tables/table3.xml" ContentType="application/vnd.openxmlformats-officedocument.spreadsheetml.table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Objects="placeholders"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rocco\Desktop\TIMES-CAC_v2021_Open\"/>
    </mc:Choice>
  </mc:AlternateContent>
  <xr:revisionPtr revIDLastSave="0" documentId="13_ncr:1_{03FD1DBB-E207-4C14-98BF-B5905F70A49E}" xr6:coauthVersionLast="47" xr6:coauthVersionMax="47" xr10:uidLastSave="{00000000-0000-0000-0000-000000000000}"/>
  <bookViews>
    <workbookView xWindow="372" yWindow="0" windowWidth="22668" windowHeight="12240" tabRatio="901" xr2:uid="{00000000-000D-0000-FFFF-FFFF00000000}"/>
  </bookViews>
  <sheets>
    <sheet name="MIN_MAT" sheetId="171" r:id="rId1"/>
    <sheet name="En.Bal-Final_Energy" sheetId="137" state="hidden" r:id="rId2"/>
    <sheet name="IST_BAL" sheetId="143" r:id="rId3"/>
    <sheet name="IST_Techs" sheetId="144" r:id="rId4"/>
    <sheet name="NMM_BAL" sheetId="174" r:id="rId5"/>
    <sheet name="NMM_Techs" sheetId="175" r:id="rId6"/>
    <sheet name="NFM_BAL" sheetId="146" r:id="rId7"/>
    <sheet name="NFM_Techs" sheetId="147" r:id="rId8"/>
    <sheet name="FBT_BAL" sheetId="176" r:id="rId9"/>
    <sheet name="FBT_Techs" sheetId="177" r:id="rId10"/>
    <sheet name="PCH_BAL" sheetId="162" r:id="rId11"/>
    <sheet name="PCH_Techs" sheetId="163" r:id="rId12"/>
    <sheet name="MIQ_BAL" sheetId="166" r:id="rId13"/>
    <sheet name="MIQ_Techs" sheetId="168" r:id="rId14"/>
    <sheet name="CON_BAL" sheetId="167" r:id="rId15"/>
    <sheet name="CON_Techs" sheetId="169" r:id="rId16"/>
    <sheet name="OTH_BAL" sheetId="178" r:id="rId17"/>
    <sheet name="OTH_Techs" sheetId="179" r:id="rId18"/>
    <sheet name="Non_Energy" sheetId="173" r:id="rId19"/>
    <sheet name="Auto_CHP" sheetId="172" r:id="rId20"/>
    <sheet name="IND_Fuels" sheetId="145" r:id="rId21"/>
    <sheet name="Commodities" sheetId="135" r:id="rId22"/>
    <sheet name="Emissions_Table" sheetId="134" r:id="rId23"/>
    <sheet name="General" sheetId="136" state="hidden" r:id="rId24"/>
  </sheets>
  <definedNames>
    <definedName name="_xlnm._FilterDatabase" localSheetId="15" hidden="1">CON_Techs!$B$14:$L$27</definedName>
    <definedName name="_xlnm._FilterDatabase" localSheetId="3" hidden="1">IST_Techs!$B$20:$N$83</definedName>
    <definedName name="BASE_YEAR">General!$F$1</definedName>
    <definedName name="END_YEAR">General!$F$2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6" i="171" l="1"/>
  <c r="F15" i="171"/>
  <c r="F14" i="171"/>
  <c r="F13" i="171"/>
  <c r="F12" i="171"/>
  <c r="H18" i="173"/>
  <c r="S8" i="175"/>
  <c r="S101" i="175"/>
  <c r="T8" i="178" l="1"/>
  <c r="L95" i="147" l="1"/>
  <c r="L94" i="147"/>
  <c r="L92" i="147"/>
  <c r="L85" i="147"/>
  <c r="L78" i="147"/>
  <c r="L77" i="147"/>
  <c r="L76" i="147"/>
  <c r="L75" i="147"/>
  <c r="L74" i="147"/>
  <c r="L73" i="147"/>
  <c r="L72" i="147"/>
  <c r="L59" i="147"/>
  <c r="L58" i="147"/>
  <c r="L57" i="147"/>
  <c r="L56" i="147"/>
  <c r="L55" i="147"/>
  <c r="L54" i="147"/>
  <c r="L53" i="147"/>
  <c r="L49" i="147"/>
  <c r="L48" i="147"/>
  <c r="L46" i="147"/>
  <c r="L45" i="147"/>
  <c r="L41" i="147"/>
  <c r="L40" i="147"/>
  <c r="L39" i="147"/>
  <c r="L38" i="147"/>
  <c r="L37" i="147"/>
  <c r="L33" i="147"/>
  <c r="L32" i="147"/>
  <c r="L31" i="147"/>
  <c r="L30" i="147"/>
  <c r="L27" i="147"/>
  <c r="L26" i="147"/>
  <c r="L25" i="147"/>
  <c r="L24" i="147"/>
  <c r="L21" i="147"/>
  <c r="L20" i="147"/>
  <c r="L19" i="147"/>
  <c r="L18" i="147"/>
  <c r="L17" i="147"/>
  <c r="AJ6" i="147"/>
  <c r="AK6" i="147"/>
  <c r="AC6" i="147"/>
  <c r="AD6" i="147"/>
  <c r="U6" i="147"/>
  <c r="V6" i="147"/>
  <c r="N6" i="147"/>
  <c r="M6" i="147"/>
  <c r="G6" i="147"/>
  <c r="L26" i="173" l="1"/>
  <c r="L24" i="173"/>
  <c r="L23" i="173"/>
  <c r="L22" i="173"/>
  <c r="L21" i="173"/>
  <c r="L20" i="173"/>
  <c r="L19" i="173"/>
  <c r="L18" i="173"/>
  <c r="L25" i="173"/>
  <c r="F25" i="173"/>
  <c r="AB13" i="172" l="1"/>
  <c r="O5" i="162" l="1"/>
  <c r="M110" i="175" l="1"/>
  <c r="M147" i="175"/>
  <c r="N12" i="143" l="1"/>
  <c r="BE14" i="137"/>
  <c r="BE16" i="137"/>
  <c r="N11" i="174" l="1"/>
  <c r="S104" i="175"/>
  <c r="D147" i="175"/>
  <c r="AM26" i="137"/>
  <c r="AM25" i="137"/>
  <c r="AM24" i="137"/>
  <c r="AM21" i="137"/>
  <c r="AM20" i="137"/>
  <c r="AM19" i="137"/>
  <c r="AM17" i="137"/>
  <c r="AM15" i="137"/>
  <c r="AM14" i="137"/>
  <c r="AO11" i="147" l="1"/>
  <c r="AO7" i="147"/>
  <c r="L10" i="144"/>
  <c r="F44" i="172" l="1"/>
  <c r="F43" i="172"/>
  <c r="F42" i="172"/>
  <c r="F41" i="172"/>
  <c r="E40" i="172"/>
  <c r="D40" i="172"/>
  <c r="C40" i="172"/>
  <c r="AA13" i="172"/>
  <c r="E11" i="172" l="1"/>
  <c r="M60" i="163" l="1"/>
  <c r="M46" i="163"/>
  <c r="M31" i="163"/>
  <c r="M17" i="163"/>
  <c r="O90" i="147"/>
  <c r="O81" i="147"/>
  <c r="O72" i="147"/>
  <c r="O62" i="147"/>
  <c r="O37" i="147"/>
  <c r="J21" i="172" l="1"/>
  <c r="D21" i="172"/>
  <c r="C21" i="172"/>
  <c r="L19" i="171" l="1"/>
  <c r="H31" i="144" l="1"/>
  <c r="E46" i="144" l="1"/>
  <c r="E45" i="144"/>
  <c r="S8" i="178"/>
  <c r="S5" i="143"/>
  <c r="E5" i="166"/>
  <c r="D5" i="166"/>
  <c r="I5" i="166"/>
  <c r="J5" i="166"/>
  <c r="K5" i="166"/>
  <c r="O5" i="166"/>
  <c r="N8" i="178"/>
  <c r="J8" i="178"/>
  <c r="I8" i="178"/>
  <c r="H8" i="178"/>
  <c r="E8" i="178"/>
  <c r="D8" i="178"/>
  <c r="C8" i="178"/>
  <c r="O5" i="146"/>
  <c r="K5" i="146"/>
  <c r="D5" i="146"/>
  <c r="C5" i="143"/>
  <c r="U5" i="146"/>
  <c r="T5" i="143"/>
  <c r="L97" i="147" l="1"/>
  <c r="I90" i="147" l="1"/>
  <c r="I81" i="147"/>
  <c r="I72" i="147"/>
  <c r="T29" i="146" l="1"/>
  <c r="T27" i="146"/>
  <c r="T25" i="146"/>
  <c r="AP13" i="137"/>
  <c r="E22" i="163" l="1"/>
  <c r="E51" i="163" s="1"/>
  <c r="E65" i="163" s="1"/>
  <c r="M5" i="162"/>
  <c r="D11" i="174" l="1"/>
  <c r="C11" i="174"/>
  <c r="D27" i="146" l="1"/>
  <c r="U27" i="146"/>
  <c r="L29" i="146"/>
  <c r="L25" i="146"/>
  <c r="D29" i="146"/>
  <c r="U29" i="146"/>
  <c r="D25" i="146"/>
  <c r="E49" i="147"/>
  <c r="U25" i="146"/>
  <c r="T12" i="143" l="1"/>
  <c r="H40" i="144"/>
  <c r="H22" i="144"/>
  <c r="K56" i="144" l="1"/>
  <c r="K38" i="144"/>
  <c r="K47" i="144"/>
  <c r="R54" i="147" l="1"/>
  <c r="R46" i="147"/>
  <c r="F101" i="175"/>
  <c r="G9" i="144"/>
  <c r="H49" i="144" l="1"/>
  <c r="F38" i="172"/>
  <c r="F37" i="172"/>
  <c r="E21" i="169"/>
  <c r="T6" i="167" s="1"/>
  <c r="T6" i="166"/>
  <c r="E21" i="168"/>
  <c r="L70" i="147" l="1"/>
  <c r="L69" i="147"/>
  <c r="E33" i="147"/>
  <c r="E32" i="147"/>
  <c r="I53" i="147"/>
  <c r="I44" i="147"/>
  <c r="E41" i="147"/>
  <c r="I17" i="147"/>
  <c r="I62" i="147" l="1"/>
  <c r="T23" i="146" s="1"/>
  <c r="D23" i="146"/>
  <c r="U23" i="146"/>
  <c r="L23" i="146"/>
  <c r="I37" i="147"/>
  <c r="T21" i="146" s="1"/>
  <c r="D23" i="145"/>
  <c r="P21" i="145"/>
  <c r="C23" i="145" s="1"/>
  <c r="E23" i="145" s="1"/>
  <c r="F23" i="145" s="1"/>
  <c r="S21" i="145"/>
  <c r="R21" i="145"/>
  <c r="T7" i="146" l="1"/>
  <c r="D21" i="146"/>
  <c r="D7" i="146" s="1"/>
  <c r="L21" i="146"/>
  <c r="L7" i="146" s="1"/>
  <c r="U21" i="146"/>
  <c r="U7" i="146" s="1"/>
  <c r="E44" i="163"/>
  <c r="M6" i="162"/>
  <c r="D111" i="135"/>
  <c r="E105" i="163"/>
  <c r="N8" i="176" l="1"/>
  <c r="T8" i="176"/>
  <c r="S8" i="176"/>
  <c r="J8" i="176"/>
  <c r="I8" i="176"/>
  <c r="H8" i="176"/>
  <c r="E8" i="176"/>
  <c r="D8" i="176"/>
  <c r="C8" i="176"/>
  <c r="U5" i="167"/>
  <c r="T5" i="167"/>
  <c r="O5" i="167"/>
  <c r="N5" i="167"/>
  <c r="K5" i="167"/>
  <c r="J5" i="167"/>
  <c r="I5" i="167"/>
  <c r="F5" i="167"/>
  <c r="E5" i="167"/>
  <c r="D5" i="167"/>
  <c r="N77" i="144" l="1"/>
  <c r="W13" i="137"/>
  <c r="AL13" i="137"/>
  <c r="AK13" i="137"/>
  <c r="AJ13" i="137"/>
  <c r="AI13" i="137"/>
  <c r="AH13" i="137"/>
  <c r="AG13" i="137"/>
  <c r="AF13" i="137"/>
  <c r="AD13" i="137"/>
  <c r="AC13" i="137"/>
  <c r="AB13" i="137"/>
  <c r="AA13" i="137"/>
  <c r="Z13" i="137"/>
  <c r="Y13" i="137"/>
  <c r="AN13" i="137"/>
  <c r="AM13" i="137" s="1"/>
  <c r="BD13" i="137"/>
  <c r="L35" i="172" l="1"/>
  <c r="L36" i="172"/>
  <c r="L37" i="172"/>
  <c r="L38" i="172"/>
  <c r="L34" i="172"/>
  <c r="L32" i="172"/>
  <c r="L39" i="172" s="1"/>
  <c r="L33" i="172"/>
  <c r="BH26" i="137"/>
  <c r="BH25" i="137"/>
  <c r="BH24" i="137"/>
  <c r="BH23" i="137"/>
  <c r="BH22" i="137"/>
  <c r="BH21" i="137"/>
  <c r="BH20" i="137"/>
  <c r="BH19" i="137"/>
  <c r="BH18" i="137"/>
  <c r="BH16" i="137"/>
  <c r="BH15" i="137"/>
  <c r="BH14" i="137"/>
  <c r="D17" i="169" l="1"/>
  <c r="X13" i="137" l="1"/>
  <c r="S13" i="137"/>
  <c r="N13" i="137"/>
  <c r="L13" i="137"/>
  <c r="M13" i="137"/>
  <c r="K13" i="137"/>
  <c r="I13" i="137" l="1"/>
  <c r="E18" i="171"/>
  <c r="D18" i="171"/>
  <c r="L20" i="171"/>
  <c r="C18" i="171" s="1"/>
  <c r="O20" i="171"/>
  <c r="N20" i="171"/>
  <c r="R73" i="147" l="1"/>
  <c r="Q73" i="147"/>
  <c r="R38" i="147" l="1"/>
  <c r="Q38" i="147"/>
  <c r="R17" i="147"/>
  <c r="Q117" i="175"/>
  <c r="P117" i="175"/>
  <c r="Q141" i="175"/>
  <c r="P141" i="175"/>
  <c r="P52" i="144"/>
  <c r="P49" i="144" s="1"/>
  <c r="O52" i="144"/>
  <c r="O49" i="144" s="1"/>
  <c r="P40" i="144"/>
  <c r="O40" i="144"/>
  <c r="P31" i="144"/>
  <c r="O31" i="144"/>
  <c r="P22" i="144"/>
  <c r="O22" i="144"/>
  <c r="E24" i="144" l="1"/>
  <c r="S7" i="134" l="1"/>
  <c r="R7" i="134"/>
  <c r="Q7" i="134"/>
  <c r="P7" i="134"/>
  <c r="O7" i="134"/>
  <c r="N7" i="134"/>
  <c r="M7" i="134"/>
  <c r="L7" i="134"/>
  <c r="K7" i="134"/>
  <c r="J7" i="134"/>
  <c r="I7" i="134"/>
  <c r="H7" i="134"/>
  <c r="G7" i="134"/>
  <c r="F7" i="134"/>
  <c r="E7" i="134"/>
  <c r="D7" i="134"/>
  <c r="C7" i="134"/>
  <c r="S6" i="134"/>
  <c r="R6" i="134"/>
  <c r="Q6" i="134"/>
  <c r="P6" i="134"/>
  <c r="O6" i="134"/>
  <c r="N6" i="134"/>
  <c r="M6" i="134"/>
  <c r="L6" i="134"/>
  <c r="K6" i="134"/>
  <c r="J6" i="134"/>
  <c r="I6" i="134"/>
  <c r="H6" i="134"/>
  <c r="G6" i="134"/>
  <c r="F6" i="134"/>
  <c r="E6" i="134"/>
  <c r="D6" i="134"/>
  <c r="C6" i="134"/>
  <c r="C81" i="147" l="1"/>
  <c r="D81" i="147"/>
  <c r="D90" i="147"/>
  <c r="D72" i="147"/>
  <c r="D62" i="147"/>
  <c r="D53" i="147"/>
  <c r="D44" i="147"/>
  <c r="BE13" i="137" l="1"/>
  <c r="D10" i="145" l="1"/>
  <c r="D11" i="145"/>
  <c r="D12" i="145"/>
  <c r="D13" i="145"/>
  <c r="D14" i="145"/>
  <c r="D15" i="145"/>
  <c r="D16" i="145"/>
  <c r="D17" i="145"/>
  <c r="D18" i="145"/>
  <c r="D20" i="145"/>
  <c r="D21" i="145"/>
  <c r="D22" i="145"/>
  <c r="D24" i="145"/>
  <c r="D28" i="145"/>
  <c r="D29" i="145"/>
  <c r="D30" i="145"/>
  <c r="D31" i="145"/>
  <c r="D32" i="145"/>
  <c r="Q17" i="173" l="1"/>
  <c r="F27" i="169"/>
  <c r="E6" i="169" s="1"/>
  <c r="A15" i="162" l="1"/>
  <c r="A16" i="162"/>
  <c r="A17" i="162"/>
  <c r="A18" i="162" s="1"/>
  <c r="A19" i="162" s="1"/>
  <c r="A20" i="162" s="1"/>
  <c r="A21" i="162" s="1"/>
  <c r="A22" i="162" s="1"/>
  <c r="A23" i="162" s="1"/>
  <c r="A24" i="162" s="1"/>
  <c r="A25" i="162" s="1"/>
  <c r="A26" i="162" s="1"/>
  <c r="A27" i="162" s="1"/>
  <c r="A28" i="162" s="1"/>
  <c r="B16" i="162"/>
  <c r="B15" i="162"/>
  <c r="A8" i="162"/>
  <c r="A9" i="162" s="1"/>
  <c r="A10" i="162" s="1"/>
  <c r="A11" i="162" s="1"/>
  <c r="A12" i="162" s="1"/>
  <c r="A13" i="162" s="1"/>
  <c r="A14" i="162" s="1"/>
  <c r="A7" i="162"/>
  <c r="N30" i="147"/>
  <c r="N24" i="147"/>
  <c r="A8" i="146"/>
  <c r="A9" i="146" s="1"/>
  <c r="A10" i="146" s="1"/>
  <c r="A11" i="146" s="1"/>
  <c r="A12" i="146" s="1"/>
  <c r="A13" i="146" s="1"/>
  <c r="A14" i="146" s="1"/>
  <c r="A15" i="146" s="1"/>
  <c r="A16" i="146" s="1"/>
  <c r="A17" i="146" s="1"/>
  <c r="A18" i="146" s="1"/>
  <c r="A19" i="146" s="1"/>
  <c r="A20" i="146" s="1"/>
  <c r="A21" i="146" s="1"/>
  <c r="A22" i="146" s="1"/>
  <c r="A23" i="146" s="1"/>
  <c r="A24" i="146" s="1"/>
  <c r="A25" i="146" s="1"/>
  <c r="A26" i="146" s="1"/>
  <c r="A27" i="146" s="1"/>
  <c r="A28" i="146" s="1"/>
  <c r="A29" i="146" s="1"/>
  <c r="A7" i="146"/>
  <c r="G20" i="143" l="1"/>
  <c r="L20" i="143"/>
  <c r="M20" i="143"/>
  <c r="P20" i="143"/>
  <c r="Q20" i="143"/>
  <c r="R20" i="143"/>
  <c r="G21" i="143"/>
  <c r="L21" i="143"/>
  <c r="M21" i="143"/>
  <c r="P21" i="143"/>
  <c r="Q21" i="143"/>
  <c r="R21" i="143"/>
  <c r="G22" i="143"/>
  <c r="L22" i="143"/>
  <c r="M22" i="143"/>
  <c r="P22" i="143"/>
  <c r="Q22" i="143"/>
  <c r="R22" i="143"/>
  <c r="G24" i="143"/>
  <c r="L24" i="143"/>
  <c r="M24" i="143"/>
  <c r="P24" i="143"/>
  <c r="Q24" i="143"/>
  <c r="R24" i="143"/>
  <c r="G25" i="143"/>
  <c r="L25" i="143"/>
  <c r="M25" i="143"/>
  <c r="P25" i="143"/>
  <c r="Q25" i="143"/>
  <c r="R25" i="143"/>
  <c r="R19" i="143"/>
  <c r="Q19" i="143"/>
  <c r="P19" i="143"/>
  <c r="M19" i="143"/>
  <c r="L19" i="143"/>
  <c r="G19" i="143"/>
  <c r="D20" i="143"/>
  <c r="D21" i="143"/>
  <c r="D22" i="143"/>
  <c r="D24" i="143"/>
  <c r="D25" i="143"/>
  <c r="D19" i="143"/>
  <c r="T16" i="143"/>
  <c r="S16" i="143"/>
  <c r="R16" i="143"/>
  <c r="Q16" i="143"/>
  <c r="P16" i="143"/>
  <c r="O16" i="143"/>
  <c r="N16" i="143"/>
  <c r="M16" i="143"/>
  <c r="L16" i="143"/>
  <c r="K16" i="143"/>
  <c r="J16" i="143"/>
  <c r="I16" i="143"/>
  <c r="H16" i="143"/>
  <c r="G16" i="143"/>
  <c r="F16" i="143"/>
  <c r="E16" i="143"/>
  <c r="C16" i="143"/>
  <c r="D16" i="143"/>
  <c r="V5" i="167"/>
  <c r="U8" i="176"/>
  <c r="BG26" i="137"/>
  <c r="BG25" i="137"/>
  <c r="BG24" i="137"/>
  <c r="W5" i="167" s="1"/>
  <c r="BG23" i="137"/>
  <c r="BG22" i="137"/>
  <c r="BG21" i="137"/>
  <c r="V8" i="176" s="1"/>
  <c r="BG19" i="137"/>
  <c r="BG18" i="137"/>
  <c r="BG16" i="137"/>
  <c r="W7" i="146" s="1"/>
  <c r="BG15" i="137"/>
  <c r="BG14" i="137"/>
  <c r="W5" i="143" s="1"/>
  <c r="BG20" i="137"/>
  <c r="T5" i="166"/>
  <c r="U5" i="166"/>
  <c r="P5" i="166"/>
  <c r="L5" i="166"/>
  <c r="G5" i="166"/>
  <c r="F5" i="166"/>
  <c r="T5" i="174"/>
  <c r="S5" i="174"/>
  <c r="U5" i="162"/>
  <c r="T5" i="162"/>
  <c r="P5" i="162"/>
  <c r="K5" i="162"/>
  <c r="I5" i="162"/>
  <c r="F5" i="162"/>
  <c r="D5" i="162"/>
  <c r="L5" i="162"/>
  <c r="J5" i="162"/>
  <c r="G5" i="162"/>
  <c r="D5" i="174"/>
  <c r="O5" i="174"/>
  <c r="N5" i="174"/>
  <c r="K5" i="174"/>
  <c r="I5" i="174"/>
  <c r="H5" i="174"/>
  <c r="F5" i="174"/>
  <c r="E5" i="174"/>
  <c r="C5" i="174"/>
  <c r="W5" i="162" l="1"/>
  <c r="V5" i="162"/>
  <c r="N5" i="143"/>
  <c r="O5" i="143"/>
  <c r="K5" i="143"/>
  <c r="J5" i="143"/>
  <c r="I5" i="143"/>
  <c r="H5" i="143"/>
  <c r="F5" i="143"/>
  <c r="E5" i="143"/>
  <c r="F21" i="143" l="1"/>
  <c r="F22" i="143"/>
  <c r="F25" i="143"/>
  <c r="N81" i="144" s="1"/>
  <c r="F20" i="143"/>
  <c r="F24" i="143"/>
  <c r="F19" i="143"/>
  <c r="O21" i="143"/>
  <c r="O22" i="143"/>
  <c r="O20" i="143"/>
  <c r="O19" i="143"/>
  <c r="O25" i="143"/>
  <c r="N80" i="144" s="1"/>
  <c r="O24" i="143"/>
  <c r="I20" i="143"/>
  <c r="I19" i="143"/>
  <c r="I21" i="143"/>
  <c r="I24" i="143"/>
  <c r="I22" i="143"/>
  <c r="I25" i="143"/>
  <c r="K22" i="143"/>
  <c r="K51" i="144" s="1"/>
  <c r="K25" i="143"/>
  <c r="K20" i="143"/>
  <c r="K21" i="143"/>
  <c r="K24" i="143"/>
  <c r="K19" i="143"/>
  <c r="J25" i="143"/>
  <c r="J20" i="143"/>
  <c r="J21" i="143"/>
  <c r="J24" i="143"/>
  <c r="J22" i="143"/>
  <c r="K54" i="144" s="1"/>
  <c r="J19" i="143"/>
  <c r="H19" i="143"/>
  <c r="H22" i="143"/>
  <c r="K55" i="144" s="1"/>
  <c r="H21" i="143"/>
  <c r="H24" i="143"/>
  <c r="H25" i="143"/>
  <c r="H20" i="143"/>
  <c r="E20" i="143"/>
  <c r="E21" i="143"/>
  <c r="E22" i="143"/>
  <c r="E24" i="143"/>
  <c r="E25" i="143"/>
  <c r="E19" i="143"/>
  <c r="N19" i="143"/>
  <c r="N25" i="143"/>
  <c r="N79" i="144" s="1"/>
  <c r="N20" i="143"/>
  <c r="N22" i="143"/>
  <c r="K52" i="144" s="1"/>
  <c r="N24" i="143"/>
  <c r="N21" i="143"/>
  <c r="S24" i="143"/>
  <c r="S21" i="143"/>
  <c r="S25" i="143"/>
  <c r="S20" i="143"/>
  <c r="S19" i="143"/>
  <c r="S22" i="143"/>
  <c r="K50" i="144" s="1"/>
  <c r="T22" i="179" l="1"/>
  <c r="T12" i="179"/>
  <c r="T23" i="177"/>
  <c r="T22" i="177"/>
  <c r="T13" i="177"/>
  <c r="T12" i="177"/>
  <c r="S100" i="175"/>
  <c r="S99" i="175"/>
  <c r="S17" i="175"/>
  <c r="S16" i="175"/>
  <c r="S7" i="175"/>
  <c r="S6" i="175"/>
  <c r="D131" i="175"/>
  <c r="E132" i="175" l="1"/>
  <c r="F82" i="179" l="1"/>
  <c r="F72" i="179"/>
  <c r="F71" i="179"/>
  <c r="F70" i="179"/>
  <c r="F57" i="179"/>
  <c r="F56" i="179"/>
  <c r="F55" i="179"/>
  <c r="F54" i="179"/>
  <c r="F53" i="179"/>
  <c r="F52" i="179"/>
  <c r="F51" i="179"/>
  <c r="F50" i="179"/>
  <c r="F49" i="179"/>
  <c r="C39" i="179"/>
  <c r="F38" i="179"/>
  <c r="C38" i="179"/>
  <c r="F37" i="179"/>
  <c r="C37" i="179"/>
  <c r="T36" i="179"/>
  <c r="C82" i="179" s="1"/>
  <c r="S36" i="179"/>
  <c r="B82" i="179" s="1"/>
  <c r="F36" i="179"/>
  <c r="T35" i="179"/>
  <c r="C72" i="179" s="1"/>
  <c r="S35" i="179"/>
  <c r="B72" i="179" s="1"/>
  <c r="F35" i="179"/>
  <c r="T34" i="179"/>
  <c r="C71" i="179" s="1"/>
  <c r="S34" i="179"/>
  <c r="B71" i="179" s="1"/>
  <c r="F34" i="179"/>
  <c r="T33" i="179"/>
  <c r="C70" i="179" s="1"/>
  <c r="S33" i="179"/>
  <c r="B70" i="179" s="1"/>
  <c r="F33" i="179"/>
  <c r="C33" i="179"/>
  <c r="T32" i="179"/>
  <c r="C59" i="179" s="1"/>
  <c r="S32" i="179"/>
  <c r="B59" i="179" s="1"/>
  <c r="F32" i="179"/>
  <c r="T31" i="179"/>
  <c r="C58" i="179" s="1"/>
  <c r="F31" i="179"/>
  <c r="T30" i="179"/>
  <c r="C57" i="179" s="1"/>
  <c r="S30" i="179"/>
  <c r="B57" i="179" s="1"/>
  <c r="F30" i="179"/>
  <c r="T29" i="179"/>
  <c r="C56" i="179" s="1"/>
  <c r="S29" i="179"/>
  <c r="B56" i="179" s="1"/>
  <c r="T28" i="179"/>
  <c r="C55" i="179" s="1"/>
  <c r="S28" i="179"/>
  <c r="B55" i="179" s="1"/>
  <c r="T27" i="179"/>
  <c r="C54" i="179" s="1"/>
  <c r="S27" i="179"/>
  <c r="B54" i="179" s="1"/>
  <c r="T26" i="179"/>
  <c r="C53" i="179" s="1"/>
  <c r="S26" i="179"/>
  <c r="B53" i="179" s="1"/>
  <c r="T25" i="179"/>
  <c r="C52" i="179" s="1"/>
  <c r="S25" i="179"/>
  <c r="B52" i="179" s="1"/>
  <c r="T24" i="179"/>
  <c r="C51" i="179" s="1"/>
  <c r="S24" i="179"/>
  <c r="B51" i="179" s="1"/>
  <c r="T23" i="179"/>
  <c r="C50" i="179" s="1"/>
  <c r="S23" i="179"/>
  <c r="B50" i="179" s="1"/>
  <c r="C49" i="179"/>
  <c r="S22" i="179"/>
  <c r="B49" i="179" s="1"/>
  <c r="T21" i="179"/>
  <c r="T20" i="179"/>
  <c r="S20" i="179"/>
  <c r="B38" i="179" s="1"/>
  <c r="T19" i="179"/>
  <c r="S19" i="179"/>
  <c r="B37" i="179" s="1"/>
  <c r="T18" i="179"/>
  <c r="C36" i="179" s="1"/>
  <c r="S18" i="179"/>
  <c r="B36" i="179" s="1"/>
  <c r="T17" i="179"/>
  <c r="C35" i="179" s="1"/>
  <c r="S17" i="179"/>
  <c r="B35" i="179" s="1"/>
  <c r="C17" i="179"/>
  <c r="B17" i="179"/>
  <c r="T16" i="179"/>
  <c r="C34" i="179" s="1"/>
  <c r="S16" i="179"/>
  <c r="B34" i="179" s="1"/>
  <c r="T15" i="179"/>
  <c r="S15" i="179"/>
  <c r="B33" i="179" s="1"/>
  <c r="T14" i="179"/>
  <c r="C32" i="179" s="1"/>
  <c r="S14" i="179"/>
  <c r="B32" i="179" s="1"/>
  <c r="T13" i="179"/>
  <c r="C31" i="179" s="1"/>
  <c r="S13" i="179"/>
  <c r="B31" i="179" s="1"/>
  <c r="C30" i="179"/>
  <c r="S12" i="179"/>
  <c r="B30" i="179" s="1"/>
  <c r="T27" i="178"/>
  <c r="M82" i="179" s="1"/>
  <c r="L27" i="178"/>
  <c r="D27" i="178"/>
  <c r="R25" i="178"/>
  <c r="J25" i="178"/>
  <c r="M52" i="179" s="1"/>
  <c r="N52" i="179" s="1"/>
  <c r="H52" i="179" s="1"/>
  <c r="M24" i="178"/>
  <c r="E24" i="178"/>
  <c r="R23" i="178"/>
  <c r="O23" i="178"/>
  <c r="J23" i="178"/>
  <c r="G23" i="178"/>
  <c r="Q21" i="178"/>
  <c r="I21" i="178"/>
  <c r="S16" i="178"/>
  <c r="Q16" i="178"/>
  <c r="N16" i="178"/>
  <c r="K16" i="178"/>
  <c r="I16" i="178"/>
  <c r="F16" i="178"/>
  <c r="C16" i="178"/>
  <c r="T23" i="178"/>
  <c r="S23" i="178"/>
  <c r="R16" i="178"/>
  <c r="Q23" i="178"/>
  <c r="P16" i="178"/>
  <c r="O16" i="178"/>
  <c r="N23" i="178"/>
  <c r="M23" i="178"/>
  <c r="L23" i="178"/>
  <c r="K23" i="178"/>
  <c r="J16" i="178"/>
  <c r="I23" i="178"/>
  <c r="H16" i="178"/>
  <c r="G16" i="178"/>
  <c r="F23" i="178"/>
  <c r="E23" i="178"/>
  <c r="D23" i="178"/>
  <c r="C23" i="178"/>
  <c r="T24" i="178"/>
  <c r="S27" i="178"/>
  <c r="R27" i="178"/>
  <c r="Q25" i="178"/>
  <c r="P21" i="178"/>
  <c r="O21" i="178"/>
  <c r="L24" i="178"/>
  <c r="K27" i="178"/>
  <c r="J27" i="178"/>
  <c r="I25" i="178"/>
  <c r="H21" i="178"/>
  <c r="G21" i="178"/>
  <c r="D24" i="178"/>
  <c r="M30" i="179" s="1"/>
  <c r="C27" i="178"/>
  <c r="T23" i="176"/>
  <c r="R16" i="176"/>
  <c r="P16" i="176"/>
  <c r="M23" i="176"/>
  <c r="L23" i="176"/>
  <c r="J16" i="176"/>
  <c r="H16" i="176"/>
  <c r="G16" i="176"/>
  <c r="E23" i="176"/>
  <c r="D23" i="176"/>
  <c r="C16" i="176"/>
  <c r="S23" i="176"/>
  <c r="K16" i="176"/>
  <c r="C23" i="176"/>
  <c r="F23" i="176"/>
  <c r="F82" i="177"/>
  <c r="F72" i="177"/>
  <c r="F71" i="177"/>
  <c r="F70" i="177"/>
  <c r="E71" i="177"/>
  <c r="E72" i="177" s="1"/>
  <c r="B59" i="177"/>
  <c r="F57" i="177"/>
  <c r="F56" i="177"/>
  <c r="F55" i="177"/>
  <c r="F54" i="177"/>
  <c r="F53" i="177"/>
  <c r="F52" i="177"/>
  <c r="F51" i="177"/>
  <c r="F50" i="177"/>
  <c r="F49" i="177"/>
  <c r="E50" i="177"/>
  <c r="E51" i="177" s="1"/>
  <c r="E52" i="177" s="1"/>
  <c r="E53" i="177" s="1"/>
  <c r="E54" i="177" s="1"/>
  <c r="E55" i="177" s="1"/>
  <c r="E56" i="177" s="1"/>
  <c r="E57" i="177" s="1"/>
  <c r="E58" i="177" s="1"/>
  <c r="E59" i="177" s="1"/>
  <c r="C39" i="177"/>
  <c r="F38" i="177"/>
  <c r="C38" i="177"/>
  <c r="F37" i="177"/>
  <c r="C37" i="177"/>
  <c r="T36" i="177"/>
  <c r="C82" i="177" s="1"/>
  <c r="S36" i="177"/>
  <c r="B82" i="177" s="1"/>
  <c r="F36" i="177"/>
  <c r="T35" i="177"/>
  <c r="C72" i="177" s="1"/>
  <c r="S35" i="177"/>
  <c r="B72" i="177" s="1"/>
  <c r="F35" i="177"/>
  <c r="T34" i="177"/>
  <c r="C71" i="177" s="1"/>
  <c r="S34" i="177"/>
  <c r="B71" i="177" s="1"/>
  <c r="F34" i="177"/>
  <c r="T33" i="177"/>
  <c r="C70" i="177" s="1"/>
  <c r="S33" i="177"/>
  <c r="B70" i="177" s="1"/>
  <c r="F33" i="177"/>
  <c r="C33" i="177"/>
  <c r="T32" i="177"/>
  <c r="C59" i="177" s="1"/>
  <c r="S32" i="177"/>
  <c r="F32" i="177"/>
  <c r="T31" i="177"/>
  <c r="C58" i="177" s="1"/>
  <c r="F31" i="177"/>
  <c r="T30" i="177"/>
  <c r="C57" i="177" s="1"/>
  <c r="S30" i="177"/>
  <c r="B57" i="177" s="1"/>
  <c r="F30" i="177"/>
  <c r="E31" i="177"/>
  <c r="E32" i="177" s="1"/>
  <c r="E33" i="177" s="1"/>
  <c r="E34" i="177" s="1"/>
  <c r="E35" i="177" s="1"/>
  <c r="E36" i="177" s="1"/>
  <c r="E37" i="177" s="1"/>
  <c r="E38" i="177" s="1"/>
  <c r="E39" i="177" s="1"/>
  <c r="T29" i="177"/>
  <c r="C56" i="177" s="1"/>
  <c r="S29" i="177"/>
  <c r="B56" i="177" s="1"/>
  <c r="T28" i="177"/>
  <c r="C55" i="177" s="1"/>
  <c r="S28" i="177"/>
  <c r="B55" i="177" s="1"/>
  <c r="T27" i="177"/>
  <c r="C54" i="177" s="1"/>
  <c r="S27" i="177"/>
  <c r="B54" i="177" s="1"/>
  <c r="T26" i="177"/>
  <c r="C53" i="177" s="1"/>
  <c r="S26" i="177"/>
  <c r="B53" i="177" s="1"/>
  <c r="T25" i="177"/>
  <c r="C52" i="177" s="1"/>
  <c r="S25" i="177"/>
  <c r="B52" i="177" s="1"/>
  <c r="T24" i="177"/>
  <c r="C51" i="177" s="1"/>
  <c r="S24" i="177"/>
  <c r="B51" i="177" s="1"/>
  <c r="C50" i="177"/>
  <c r="S23" i="177"/>
  <c r="B50" i="177" s="1"/>
  <c r="C49" i="177"/>
  <c r="S22" i="177"/>
  <c r="B49" i="177" s="1"/>
  <c r="T21" i="177"/>
  <c r="T20" i="177"/>
  <c r="S20" i="177"/>
  <c r="B38" i="177" s="1"/>
  <c r="T19" i="177"/>
  <c r="S19" i="177"/>
  <c r="B37" i="177" s="1"/>
  <c r="T18" i="177"/>
  <c r="C36" i="177" s="1"/>
  <c r="S18" i="177"/>
  <c r="B36" i="177" s="1"/>
  <c r="T17" i="177"/>
  <c r="C35" i="177" s="1"/>
  <c r="S17" i="177"/>
  <c r="B35" i="177" s="1"/>
  <c r="C17" i="177"/>
  <c r="B17" i="177"/>
  <c r="T16" i="177"/>
  <c r="C34" i="177" s="1"/>
  <c r="S16" i="177"/>
  <c r="B34" i="177" s="1"/>
  <c r="T15" i="177"/>
  <c r="S15" i="177"/>
  <c r="B33" i="177" s="1"/>
  <c r="T14" i="177"/>
  <c r="C32" i="177" s="1"/>
  <c r="S14" i="177"/>
  <c r="B32" i="177" s="1"/>
  <c r="C31" i="177"/>
  <c r="S13" i="177"/>
  <c r="B31" i="177" s="1"/>
  <c r="C30" i="177"/>
  <c r="S12" i="177"/>
  <c r="B30" i="177" s="1"/>
  <c r="O23" i="176"/>
  <c r="N23" i="176"/>
  <c r="G23" i="176"/>
  <c r="Q16" i="176"/>
  <c r="N16" i="176"/>
  <c r="I16" i="176"/>
  <c r="Q23" i="176"/>
  <c r="O16" i="176"/>
  <c r="I23" i="176"/>
  <c r="T24" i="176"/>
  <c r="S27" i="176"/>
  <c r="R27" i="176"/>
  <c r="Q25" i="176"/>
  <c r="P21" i="176"/>
  <c r="O21" i="176"/>
  <c r="L24" i="176"/>
  <c r="K27" i="176"/>
  <c r="J27" i="176"/>
  <c r="I25" i="176"/>
  <c r="H21" i="176"/>
  <c r="G21" i="176"/>
  <c r="D24" i="176"/>
  <c r="C27" i="176"/>
  <c r="F6" i="174"/>
  <c r="F16" i="174" s="1"/>
  <c r="E6" i="174"/>
  <c r="E16" i="174" s="1"/>
  <c r="D6" i="174"/>
  <c r="D16" i="174" s="1"/>
  <c r="C6" i="174"/>
  <c r="C16" i="174" s="1"/>
  <c r="R104" i="175"/>
  <c r="B147" i="175" s="1"/>
  <c r="R103" i="175"/>
  <c r="B146" i="175" s="1"/>
  <c r="C146" i="175"/>
  <c r="R102" i="175"/>
  <c r="B145" i="175" s="1"/>
  <c r="C145" i="175"/>
  <c r="B143" i="175"/>
  <c r="N111" i="175"/>
  <c r="N110" i="175"/>
  <c r="N109" i="175"/>
  <c r="C108" i="175"/>
  <c r="B108" i="175"/>
  <c r="C147" i="175"/>
  <c r="S103" i="175"/>
  <c r="S102" i="175"/>
  <c r="C144" i="175"/>
  <c r="R101" i="175"/>
  <c r="B144" i="175" s="1"/>
  <c r="H108" i="175"/>
  <c r="D121" i="175" s="1"/>
  <c r="H129" i="175" s="1"/>
  <c r="E112" i="175"/>
  <c r="C143" i="175"/>
  <c r="R100" i="175"/>
  <c r="C142" i="175"/>
  <c r="R99" i="175"/>
  <c r="B142" i="175" s="1"/>
  <c r="S98" i="175"/>
  <c r="C129" i="175" s="1"/>
  <c r="R98" i="175"/>
  <c r="B129" i="175" s="1"/>
  <c r="F86" i="175"/>
  <c r="D24" i="175"/>
  <c r="F76" i="175"/>
  <c r="C76" i="175"/>
  <c r="F75" i="175"/>
  <c r="F74" i="175"/>
  <c r="E75" i="175"/>
  <c r="E76" i="175" s="1"/>
  <c r="R26" i="175"/>
  <c r="B63" i="175" s="1"/>
  <c r="F61" i="175"/>
  <c r="R24" i="175"/>
  <c r="B61" i="175" s="1"/>
  <c r="F60" i="175"/>
  <c r="C60" i="175"/>
  <c r="F59" i="175"/>
  <c r="R22" i="175"/>
  <c r="B59" i="175" s="1"/>
  <c r="F58" i="175"/>
  <c r="C58" i="175"/>
  <c r="F57" i="175"/>
  <c r="R20" i="175"/>
  <c r="B57" i="175" s="1"/>
  <c r="C57" i="175"/>
  <c r="F56" i="175"/>
  <c r="R19" i="175"/>
  <c r="B56" i="175" s="1"/>
  <c r="C56" i="175"/>
  <c r="F55" i="175"/>
  <c r="R18" i="175"/>
  <c r="B55" i="175" s="1"/>
  <c r="F54" i="175"/>
  <c r="C54" i="175"/>
  <c r="F53" i="175"/>
  <c r="E54" i="175"/>
  <c r="E55" i="175" s="1"/>
  <c r="E56" i="175" s="1"/>
  <c r="E57" i="175" s="1"/>
  <c r="E58" i="175" s="1"/>
  <c r="E59" i="175" s="1"/>
  <c r="E60" i="175" s="1"/>
  <c r="E61" i="175" s="1"/>
  <c r="E62" i="175" s="1"/>
  <c r="E63" i="175" s="1"/>
  <c r="C43" i="175"/>
  <c r="F42" i="175"/>
  <c r="R14" i="175"/>
  <c r="B42" i="175" s="1"/>
  <c r="C42" i="175"/>
  <c r="F41" i="175"/>
  <c r="C41" i="175"/>
  <c r="F40" i="175"/>
  <c r="C40" i="175"/>
  <c r="F39" i="175"/>
  <c r="R11" i="175"/>
  <c r="B39" i="175" s="1"/>
  <c r="F38" i="175"/>
  <c r="R10" i="175"/>
  <c r="B38" i="175" s="1"/>
  <c r="F37" i="175"/>
  <c r="R9" i="175"/>
  <c r="B37" i="175" s="1"/>
  <c r="C37" i="175"/>
  <c r="F36" i="175"/>
  <c r="C36" i="175"/>
  <c r="F35" i="175"/>
  <c r="E35" i="175"/>
  <c r="E36" i="175" s="1"/>
  <c r="E37" i="175" s="1"/>
  <c r="E38" i="175" s="1"/>
  <c r="E39" i="175" s="1"/>
  <c r="E40" i="175" s="1"/>
  <c r="E41" i="175" s="1"/>
  <c r="E42" i="175" s="1"/>
  <c r="E43" i="175" s="1"/>
  <c r="R7" i="175"/>
  <c r="B35" i="175" s="1"/>
  <c r="C35" i="175"/>
  <c r="F34" i="175"/>
  <c r="D21" i="175"/>
  <c r="C34" i="175"/>
  <c r="S30" i="175"/>
  <c r="C86" i="175" s="1"/>
  <c r="R30" i="175"/>
  <c r="B86" i="175" s="1"/>
  <c r="S29" i="175"/>
  <c r="R29" i="175"/>
  <c r="B76" i="175" s="1"/>
  <c r="S28" i="175"/>
  <c r="C75" i="175" s="1"/>
  <c r="R28" i="175"/>
  <c r="B75" i="175" s="1"/>
  <c r="S27" i="175"/>
  <c r="C74" i="175" s="1"/>
  <c r="R27" i="175"/>
  <c r="B74" i="175" s="1"/>
  <c r="S26" i="175"/>
  <c r="C63" i="175" s="1"/>
  <c r="S25" i="175"/>
  <c r="C62" i="175" s="1"/>
  <c r="S24" i="175"/>
  <c r="C61" i="175" s="1"/>
  <c r="S23" i="175"/>
  <c r="R23" i="175"/>
  <c r="B60" i="175" s="1"/>
  <c r="D23" i="175"/>
  <c r="S22" i="175"/>
  <c r="C59" i="175" s="1"/>
  <c r="D22" i="175"/>
  <c r="S21" i="175"/>
  <c r="R21" i="175"/>
  <c r="B58" i="175" s="1"/>
  <c r="C21" i="175"/>
  <c r="B21" i="175"/>
  <c r="S20" i="175"/>
  <c r="S19" i="175"/>
  <c r="S18" i="175"/>
  <c r="C55" i="175" s="1"/>
  <c r="R17" i="175"/>
  <c r="B54" i="175" s="1"/>
  <c r="C53" i="175"/>
  <c r="R16" i="175"/>
  <c r="B53" i="175" s="1"/>
  <c r="S15" i="175"/>
  <c r="S14" i="175"/>
  <c r="S13" i="175"/>
  <c r="R13" i="175"/>
  <c r="B41" i="175" s="1"/>
  <c r="S12" i="175"/>
  <c r="R12" i="175"/>
  <c r="B40" i="175" s="1"/>
  <c r="S11" i="175"/>
  <c r="C39" i="175" s="1"/>
  <c r="S10" i="175"/>
  <c r="C38" i="175" s="1"/>
  <c r="S9" i="175"/>
  <c r="E25" i="175"/>
  <c r="R8" i="175"/>
  <c r="B36" i="175" s="1"/>
  <c r="R6" i="175"/>
  <c r="B34" i="175" s="1"/>
  <c r="Q34" i="174"/>
  <c r="P34" i="174"/>
  <c r="O34" i="174"/>
  <c r="G34" i="174"/>
  <c r="F34" i="174"/>
  <c r="S27" i="174"/>
  <c r="R27" i="174"/>
  <c r="P27" i="174"/>
  <c r="M27" i="174"/>
  <c r="K27" i="174"/>
  <c r="J27" i="174"/>
  <c r="H27" i="174"/>
  <c r="C27" i="174"/>
  <c r="T16" i="174"/>
  <c r="Q16" i="174"/>
  <c r="O16" i="174"/>
  <c r="L16" i="174"/>
  <c r="I16" i="174"/>
  <c r="H16" i="174"/>
  <c r="G16" i="174"/>
  <c r="T9" i="174"/>
  <c r="T27" i="174" s="1"/>
  <c r="S9" i="174"/>
  <c r="S34" i="174" s="1"/>
  <c r="R9" i="174"/>
  <c r="R34" i="174" s="1"/>
  <c r="Q9" i="174"/>
  <c r="Q27" i="174" s="1"/>
  <c r="P9" i="174"/>
  <c r="O9" i="174"/>
  <c r="O27" i="174" s="1"/>
  <c r="N9" i="174"/>
  <c r="N27" i="174" s="1"/>
  <c r="M9" i="174"/>
  <c r="M34" i="174" s="1"/>
  <c r="L9" i="174"/>
  <c r="L27" i="174" s="1"/>
  <c r="K9" i="174"/>
  <c r="K34" i="174" s="1"/>
  <c r="J9" i="174"/>
  <c r="J34" i="174" s="1"/>
  <c r="I9" i="174"/>
  <c r="I27" i="174" s="1"/>
  <c r="H9" i="174"/>
  <c r="H34" i="174" s="1"/>
  <c r="G9" i="174"/>
  <c r="G27" i="174" s="1"/>
  <c r="F9" i="174"/>
  <c r="F27" i="174" s="1"/>
  <c r="E9" i="174"/>
  <c r="E34" i="174" s="1"/>
  <c r="D9" i="174"/>
  <c r="D27" i="174" s="1"/>
  <c r="C9" i="174"/>
  <c r="S16" i="174"/>
  <c r="R16" i="174"/>
  <c r="P16" i="174"/>
  <c r="N16" i="174"/>
  <c r="M16" i="174"/>
  <c r="K16" i="174"/>
  <c r="J16" i="174"/>
  <c r="T12" i="174"/>
  <c r="S12" i="174"/>
  <c r="P17" i="174"/>
  <c r="N18" i="174"/>
  <c r="L12" i="174"/>
  <c r="K12" i="174"/>
  <c r="H17" i="174"/>
  <c r="G12" i="174"/>
  <c r="F18" i="174"/>
  <c r="E18" i="174"/>
  <c r="D12" i="174"/>
  <c r="E38" i="174" l="1"/>
  <c r="E37" i="174"/>
  <c r="E36" i="174"/>
  <c r="N38" i="174"/>
  <c r="N37" i="174"/>
  <c r="N36" i="174"/>
  <c r="M60" i="175" s="1"/>
  <c r="N60" i="175" s="1"/>
  <c r="H60" i="175" s="1"/>
  <c r="F38" i="174"/>
  <c r="F37" i="174"/>
  <c r="F36" i="174"/>
  <c r="M83" i="179"/>
  <c r="N82" i="179"/>
  <c r="M35" i="179"/>
  <c r="N35" i="179" s="1"/>
  <c r="H35" i="179" s="1"/>
  <c r="D16" i="178"/>
  <c r="L16" i="178"/>
  <c r="T16" i="178"/>
  <c r="J21" i="178"/>
  <c r="R21" i="178"/>
  <c r="H23" i="178"/>
  <c r="P23" i="178"/>
  <c r="F24" i="178"/>
  <c r="N24" i="178"/>
  <c r="C25" i="178"/>
  <c r="M50" i="179" s="1"/>
  <c r="K25" i="178"/>
  <c r="M53" i="179" s="1"/>
  <c r="N53" i="179" s="1"/>
  <c r="H53" i="179" s="1"/>
  <c r="S25" i="178"/>
  <c r="M58" i="179" s="1"/>
  <c r="N58" i="179" s="1"/>
  <c r="H58" i="179" s="1"/>
  <c r="H26" i="178"/>
  <c r="P26" i="178"/>
  <c r="E27" i="178"/>
  <c r="M27" i="178"/>
  <c r="E16" i="178"/>
  <c r="M16" i="178"/>
  <c r="C21" i="178"/>
  <c r="K21" i="178"/>
  <c r="S21" i="178"/>
  <c r="G24" i="178"/>
  <c r="O24" i="178"/>
  <c r="D25" i="178"/>
  <c r="M49" i="179" s="1"/>
  <c r="L25" i="178"/>
  <c r="M54" i="179" s="1"/>
  <c r="N54" i="179" s="1"/>
  <c r="H54" i="179" s="1"/>
  <c r="T25" i="178"/>
  <c r="M59" i="179" s="1"/>
  <c r="N59" i="179" s="1"/>
  <c r="H59" i="179" s="1"/>
  <c r="I26" i="178"/>
  <c r="Q26" i="178"/>
  <c r="F27" i="178"/>
  <c r="N27" i="178"/>
  <c r="O26" i="178"/>
  <c r="D21" i="178"/>
  <c r="L21" i="178"/>
  <c r="T21" i="178"/>
  <c r="H24" i="178"/>
  <c r="P24" i="178"/>
  <c r="E25" i="178"/>
  <c r="M51" i="179" s="1"/>
  <c r="N51" i="179" s="1"/>
  <c r="H51" i="179" s="1"/>
  <c r="M25" i="178"/>
  <c r="M55" i="179" s="1"/>
  <c r="N55" i="179" s="1"/>
  <c r="H55" i="179" s="1"/>
  <c r="J26" i="178"/>
  <c r="M70" i="179" s="1"/>
  <c r="R26" i="178"/>
  <c r="G27" i="178"/>
  <c r="O27" i="178"/>
  <c r="M32" i="179"/>
  <c r="N32" i="179" s="1"/>
  <c r="H32" i="179" s="1"/>
  <c r="M36" i="179"/>
  <c r="N36" i="179" s="1"/>
  <c r="H36" i="179" s="1"/>
  <c r="E21" i="178"/>
  <c r="M21" i="178"/>
  <c r="I24" i="178"/>
  <c r="Q24" i="178"/>
  <c r="F25" i="178"/>
  <c r="N25" i="178"/>
  <c r="M56" i="179" s="1"/>
  <c r="N56" i="179" s="1"/>
  <c r="H56" i="179" s="1"/>
  <c r="C26" i="178"/>
  <c r="K26" i="178"/>
  <c r="S26" i="178"/>
  <c r="H27" i="178"/>
  <c r="P27" i="178"/>
  <c r="F21" i="178"/>
  <c r="N21" i="178"/>
  <c r="J24" i="178"/>
  <c r="R24" i="178"/>
  <c r="G25" i="178"/>
  <c r="O25" i="178"/>
  <c r="D26" i="178"/>
  <c r="L26" i="178"/>
  <c r="T26" i="178"/>
  <c r="M72" i="179" s="1"/>
  <c r="N72" i="179" s="1"/>
  <c r="H72" i="179" s="1"/>
  <c r="I27" i="178"/>
  <c r="Q27" i="178"/>
  <c r="G26" i="178"/>
  <c r="C24" i="178"/>
  <c r="M31" i="179" s="1"/>
  <c r="N31" i="179" s="1"/>
  <c r="H31" i="179" s="1"/>
  <c r="K24" i="178"/>
  <c r="S24" i="178"/>
  <c r="H25" i="178"/>
  <c r="P25" i="178"/>
  <c r="M57" i="179" s="1"/>
  <c r="N57" i="179" s="1"/>
  <c r="H57" i="179" s="1"/>
  <c r="E26" i="178"/>
  <c r="M26" i="178"/>
  <c r="F26" i="178"/>
  <c r="N26" i="178"/>
  <c r="M71" i="179" s="1"/>
  <c r="N71" i="179" s="1"/>
  <c r="H71" i="179" s="1"/>
  <c r="S16" i="176"/>
  <c r="K23" i="176"/>
  <c r="F16" i="176"/>
  <c r="D27" i="176"/>
  <c r="L27" i="176"/>
  <c r="T27" i="176"/>
  <c r="M82" i="177" s="1"/>
  <c r="M83" i="177" s="1"/>
  <c r="E24" i="176"/>
  <c r="M32" i="177" s="1"/>
  <c r="N32" i="177" s="1"/>
  <c r="H32" i="177" s="1"/>
  <c r="M24" i="176"/>
  <c r="I21" i="176"/>
  <c r="J25" i="176"/>
  <c r="M52" i="177" s="1"/>
  <c r="N52" i="177" s="1"/>
  <c r="H52" i="177" s="1"/>
  <c r="Q21" i="176"/>
  <c r="R25" i="176"/>
  <c r="M31" i="177"/>
  <c r="N31" i="177" s="1"/>
  <c r="H31" i="177" s="1"/>
  <c r="M35" i="177"/>
  <c r="N35" i="177" s="1"/>
  <c r="H35" i="177" s="1"/>
  <c r="D16" i="176"/>
  <c r="L16" i="176"/>
  <c r="T16" i="176"/>
  <c r="J21" i="176"/>
  <c r="R21" i="176"/>
  <c r="H23" i="176"/>
  <c r="P23" i="176"/>
  <c r="F24" i="176"/>
  <c r="N24" i="176"/>
  <c r="C25" i="176"/>
  <c r="K25" i="176"/>
  <c r="M53" i="177" s="1"/>
  <c r="N53" i="177" s="1"/>
  <c r="H53" i="177" s="1"/>
  <c r="S25" i="176"/>
  <c r="M58" i="177" s="1"/>
  <c r="N58" i="177" s="1"/>
  <c r="H58" i="177" s="1"/>
  <c r="H26" i="176"/>
  <c r="P26" i="176"/>
  <c r="E27" i="176"/>
  <c r="M27" i="176"/>
  <c r="G26" i="176"/>
  <c r="E16" i="176"/>
  <c r="M16" i="176"/>
  <c r="C21" i="176"/>
  <c r="K21" i="176"/>
  <c r="S21" i="176"/>
  <c r="G24" i="176"/>
  <c r="O24" i="176"/>
  <c r="D25" i="176"/>
  <c r="M50" i="177" s="1"/>
  <c r="N50" i="177" s="1"/>
  <c r="H50" i="177" s="1"/>
  <c r="L25" i="176"/>
  <c r="M54" i="177" s="1"/>
  <c r="N54" i="177" s="1"/>
  <c r="H54" i="177" s="1"/>
  <c r="T25" i="176"/>
  <c r="M59" i="177" s="1"/>
  <c r="N59" i="177" s="1"/>
  <c r="H59" i="177" s="1"/>
  <c r="I26" i="176"/>
  <c r="Q26" i="176"/>
  <c r="F27" i="176"/>
  <c r="N27" i="176"/>
  <c r="D21" i="176"/>
  <c r="L21" i="176"/>
  <c r="T21" i="176"/>
  <c r="J23" i="176"/>
  <c r="R23" i="176"/>
  <c r="H24" i="176"/>
  <c r="P24" i="176"/>
  <c r="E25" i="176"/>
  <c r="M51" i="177" s="1"/>
  <c r="N51" i="177" s="1"/>
  <c r="H51" i="177" s="1"/>
  <c r="M25" i="176"/>
  <c r="M55" i="177" s="1"/>
  <c r="N55" i="177" s="1"/>
  <c r="H55" i="177" s="1"/>
  <c r="J26" i="176"/>
  <c r="M70" i="177" s="1"/>
  <c r="R26" i="176"/>
  <c r="G27" i="176"/>
  <c r="O27" i="176"/>
  <c r="M36" i="177"/>
  <c r="N36" i="177" s="1"/>
  <c r="H36" i="177" s="1"/>
  <c r="O26" i="176"/>
  <c r="E21" i="176"/>
  <c r="M21" i="176"/>
  <c r="I24" i="176"/>
  <c r="Q24" i="176"/>
  <c r="F25" i="176"/>
  <c r="N25" i="176"/>
  <c r="M56" i="177" s="1"/>
  <c r="N56" i="177" s="1"/>
  <c r="H56" i="177" s="1"/>
  <c r="C26" i="176"/>
  <c r="K26" i="176"/>
  <c r="S26" i="176"/>
  <c r="H27" i="176"/>
  <c r="P27" i="176"/>
  <c r="F21" i="176"/>
  <c r="N21" i="176"/>
  <c r="J24" i="176"/>
  <c r="R24" i="176"/>
  <c r="G25" i="176"/>
  <c r="O25" i="176"/>
  <c r="D26" i="176"/>
  <c r="L26" i="176"/>
  <c r="T26" i="176"/>
  <c r="M72" i="177" s="1"/>
  <c r="N72" i="177" s="1"/>
  <c r="H72" i="177" s="1"/>
  <c r="I27" i="176"/>
  <c r="Q27" i="176"/>
  <c r="C24" i="176"/>
  <c r="K24" i="176"/>
  <c r="S24" i="176"/>
  <c r="H25" i="176"/>
  <c r="P25" i="176"/>
  <c r="M57" i="177" s="1"/>
  <c r="N57" i="177" s="1"/>
  <c r="H57" i="177" s="1"/>
  <c r="E26" i="176"/>
  <c r="M26" i="176"/>
  <c r="F26" i="176"/>
  <c r="N26" i="176"/>
  <c r="M71" i="177" s="1"/>
  <c r="N71" i="177" s="1"/>
  <c r="H71" i="177" s="1"/>
  <c r="E27" i="174"/>
  <c r="D34" i="174"/>
  <c r="F12" i="174"/>
  <c r="N17" i="174"/>
  <c r="D17" i="174"/>
  <c r="K18" i="174"/>
  <c r="T18" i="174"/>
  <c r="T37" i="174" s="1"/>
  <c r="M76" i="175" s="1"/>
  <c r="N76" i="175" s="1"/>
  <c r="H76" i="175" s="1"/>
  <c r="F17" i="174"/>
  <c r="N12" i="174"/>
  <c r="G17" i="174"/>
  <c r="M145" i="175" s="1"/>
  <c r="N145" i="175" s="1"/>
  <c r="H145" i="175" s="1"/>
  <c r="L18" i="174"/>
  <c r="E32" i="174"/>
  <c r="E35" i="174"/>
  <c r="M18" i="174"/>
  <c r="P12" i="174"/>
  <c r="E17" i="174"/>
  <c r="T34" i="174"/>
  <c r="N35" i="174"/>
  <c r="T36" i="174"/>
  <c r="M63" i="175" s="1"/>
  <c r="N63" i="175" s="1"/>
  <c r="H63" i="175" s="1"/>
  <c r="Q18" i="174"/>
  <c r="I12" i="174"/>
  <c r="T17" i="174"/>
  <c r="N32" i="174"/>
  <c r="I34" i="174"/>
  <c r="K17" i="174"/>
  <c r="O17" i="174"/>
  <c r="H12" i="174"/>
  <c r="D18" i="174"/>
  <c r="R18" i="174"/>
  <c r="L34" i="174"/>
  <c r="F35" i="174"/>
  <c r="R12" i="174"/>
  <c r="P18" i="174"/>
  <c r="C17" i="174"/>
  <c r="M143" i="175" s="1"/>
  <c r="S17" i="174"/>
  <c r="Q12" i="174"/>
  <c r="L17" i="174"/>
  <c r="S18" i="174"/>
  <c r="F32" i="174"/>
  <c r="N34" i="174"/>
  <c r="M75" i="175"/>
  <c r="N75" i="175" s="1"/>
  <c r="H75" i="175" s="1"/>
  <c r="E12" i="174"/>
  <c r="I18" i="174"/>
  <c r="M17" i="174"/>
  <c r="H18" i="174"/>
  <c r="R17" i="174"/>
  <c r="C18" i="174"/>
  <c r="Q17" i="174"/>
  <c r="Q21" i="174" s="1"/>
  <c r="G18" i="174"/>
  <c r="O18" i="174"/>
  <c r="C34" i="174"/>
  <c r="M12" i="174"/>
  <c r="F110" i="175" l="1"/>
  <c r="B110" i="175" s="1"/>
  <c r="C36" i="174"/>
  <c r="C37" i="174"/>
  <c r="C38" i="174"/>
  <c r="P36" i="174"/>
  <c r="P37" i="174"/>
  <c r="P38" i="174"/>
  <c r="S36" i="174"/>
  <c r="S38" i="174"/>
  <c r="S37" i="174"/>
  <c r="L38" i="174"/>
  <c r="L37" i="174"/>
  <c r="L36" i="174"/>
  <c r="M58" i="175" s="1"/>
  <c r="N58" i="175" s="1"/>
  <c r="H58" i="175" s="1"/>
  <c r="G38" i="174"/>
  <c r="G37" i="174"/>
  <c r="G36" i="174"/>
  <c r="D38" i="174"/>
  <c r="D37" i="174"/>
  <c r="D36" i="174"/>
  <c r="K37" i="174"/>
  <c r="K36" i="174"/>
  <c r="M57" i="175" s="1"/>
  <c r="N57" i="175" s="1"/>
  <c r="H57" i="175" s="1"/>
  <c r="K38" i="174"/>
  <c r="H21" i="174"/>
  <c r="H38" i="174"/>
  <c r="H36" i="174"/>
  <c r="H37" i="174"/>
  <c r="R38" i="174"/>
  <c r="R36" i="174"/>
  <c r="R37" i="174"/>
  <c r="M38" i="174"/>
  <c r="M37" i="174"/>
  <c r="M36" i="174"/>
  <c r="O38" i="174"/>
  <c r="O37" i="174"/>
  <c r="O36" i="174"/>
  <c r="I36" i="174"/>
  <c r="I38" i="174"/>
  <c r="I37" i="174"/>
  <c r="Q37" i="174"/>
  <c r="Q36" i="174"/>
  <c r="Q38" i="174"/>
  <c r="N50" i="179"/>
  <c r="H50" i="179" s="1"/>
  <c r="N143" i="175"/>
  <c r="H143" i="175" s="1"/>
  <c r="M142" i="175"/>
  <c r="T35" i="174"/>
  <c r="K35" i="174"/>
  <c r="M38" i="175" s="1"/>
  <c r="N38" i="175" s="1"/>
  <c r="H38" i="175" s="1"/>
  <c r="U27" i="178"/>
  <c r="M39" i="179"/>
  <c r="N39" i="179" s="1"/>
  <c r="H39" i="179" s="1"/>
  <c r="M33" i="179"/>
  <c r="N33" i="179" s="1"/>
  <c r="H33" i="179" s="1"/>
  <c r="M73" i="179"/>
  <c r="N70" i="179"/>
  <c r="M34" i="179"/>
  <c r="N34" i="179" s="1"/>
  <c r="H34" i="179" s="1"/>
  <c r="U24" i="178"/>
  <c r="U26" i="178"/>
  <c r="U25" i="178"/>
  <c r="M38" i="179"/>
  <c r="N38" i="179" s="1"/>
  <c r="H38" i="179" s="1"/>
  <c r="M37" i="179"/>
  <c r="N37" i="179" s="1"/>
  <c r="H37" i="179" s="1"/>
  <c r="N83" i="179"/>
  <c r="M20" i="179" s="1"/>
  <c r="H82" i="179"/>
  <c r="H83" i="179" s="1"/>
  <c r="U27" i="176"/>
  <c r="N82" i="177"/>
  <c r="H82" i="177" s="1"/>
  <c r="H83" i="177" s="1"/>
  <c r="M34" i="177"/>
  <c r="N34" i="177" s="1"/>
  <c r="H34" i="177" s="1"/>
  <c r="M39" i="177"/>
  <c r="N39" i="177" s="1"/>
  <c r="H39" i="177" s="1"/>
  <c r="U26" i="176"/>
  <c r="M30" i="177"/>
  <c r="U24" i="176"/>
  <c r="M38" i="177"/>
  <c r="N38" i="177" s="1"/>
  <c r="H38" i="177" s="1"/>
  <c r="M73" i="177"/>
  <c r="N70" i="177"/>
  <c r="M49" i="177"/>
  <c r="U25" i="176"/>
  <c r="M37" i="177"/>
  <c r="N37" i="177" s="1"/>
  <c r="H37" i="177" s="1"/>
  <c r="M33" i="177"/>
  <c r="N33" i="177" s="1"/>
  <c r="H33" i="177" s="1"/>
  <c r="R21" i="174"/>
  <c r="O21" i="174"/>
  <c r="L32" i="174"/>
  <c r="L35" i="174"/>
  <c r="M39" i="175" s="1"/>
  <c r="N39" i="175" s="1"/>
  <c r="H39" i="175" s="1"/>
  <c r="F21" i="174"/>
  <c r="K32" i="174"/>
  <c r="N21" i="174"/>
  <c r="D21" i="174"/>
  <c r="T32" i="174"/>
  <c r="T38" i="174"/>
  <c r="M86" i="175" s="1"/>
  <c r="I35" i="174"/>
  <c r="I32" i="174"/>
  <c r="M32" i="174"/>
  <c r="M59" i="175"/>
  <c r="N59" i="175" s="1"/>
  <c r="H59" i="175" s="1"/>
  <c r="M35" i="174"/>
  <c r="M61" i="175"/>
  <c r="N61" i="175" s="1"/>
  <c r="H61" i="175" s="1"/>
  <c r="P35" i="174"/>
  <c r="P32" i="174"/>
  <c r="C12" i="174"/>
  <c r="P21" i="174"/>
  <c r="M144" i="175"/>
  <c r="N144" i="175" s="1"/>
  <c r="H144" i="175" s="1"/>
  <c r="E21" i="174"/>
  <c r="I17" i="174"/>
  <c r="I21" i="174" s="1"/>
  <c r="S35" i="174"/>
  <c r="S32" i="174"/>
  <c r="M62" i="175"/>
  <c r="N62" i="175" s="1"/>
  <c r="H62" i="175" s="1"/>
  <c r="M21" i="174"/>
  <c r="S21" i="174"/>
  <c r="N147" i="175"/>
  <c r="H147" i="175" s="1"/>
  <c r="K21" i="174"/>
  <c r="M41" i="175"/>
  <c r="N41" i="175" s="1"/>
  <c r="H41" i="175" s="1"/>
  <c r="J21" i="174"/>
  <c r="O12" i="174"/>
  <c r="C35" i="174"/>
  <c r="M35" i="175" s="1"/>
  <c r="M54" i="175"/>
  <c r="C32" i="174"/>
  <c r="H35" i="174"/>
  <c r="H32" i="174"/>
  <c r="M146" i="175"/>
  <c r="N146" i="175" s="1"/>
  <c r="H146" i="175" s="1"/>
  <c r="L21" i="174"/>
  <c r="Q35" i="174"/>
  <c r="Q32" i="174"/>
  <c r="D32" i="174"/>
  <c r="D35" i="174"/>
  <c r="M34" i="175" s="1"/>
  <c r="T21" i="174"/>
  <c r="M111" i="175"/>
  <c r="F111" i="175" s="1"/>
  <c r="M36" i="175"/>
  <c r="N36" i="175" s="1"/>
  <c r="H36" i="175" s="1"/>
  <c r="O32" i="174"/>
  <c r="O35" i="174"/>
  <c r="G32" i="174"/>
  <c r="M55" i="175"/>
  <c r="N55" i="175" s="1"/>
  <c r="H55" i="175" s="1"/>
  <c r="G35" i="174"/>
  <c r="C21" i="174"/>
  <c r="R32" i="174"/>
  <c r="R35" i="174"/>
  <c r="G21" i="174"/>
  <c r="N54" i="175" l="1"/>
  <c r="H54" i="175" s="1"/>
  <c r="M53" i="175"/>
  <c r="M60" i="179"/>
  <c r="N49" i="179"/>
  <c r="H70" i="179"/>
  <c r="H73" i="179" s="1"/>
  <c r="N73" i="179"/>
  <c r="M19" i="179" s="1"/>
  <c r="M40" i="179"/>
  <c r="N30" i="179"/>
  <c r="N83" i="177"/>
  <c r="M20" i="177" s="1"/>
  <c r="H70" i="177"/>
  <c r="H73" i="177" s="1"/>
  <c r="N73" i="177"/>
  <c r="M19" i="177" s="1"/>
  <c r="N49" i="177"/>
  <c r="M60" i="177"/>
  <c r="M40" i="177"/>
  <c r="N30" i="177"/>
  <c r="M87" i="175"/>
  <c r="N86" i="175"/>
  <c r="M148" i="175"/>
  <c r="N142" i="175"/>
  <c r="N35" i="175"/>
  <c r="H35" i="175" s="1"/>
  <c r="M42" i="175"/>
  <c r="N42" i="175" s="1"/>
  <c r="H42" i="175" s="1"/>
  <c r="M40" i="175"/>
  <c r="N40" i="175" s="1"/>
  <c r="H40" i="175" s="1"/>
  <c r="M43" i="175"/>
  <c r="N43" i="175" s="1"/>
  <c r="H43" i="175" s="1"/>
  <c r="B117" i="175" l="1"/>
  <c r="O141" i="175"/>
  <c r="H30" i="179"/>
  <c r="H40" i="179" s="1"/>
  <c r="N40" i="179"/>
  <c r="M17" i="179" s="1"/>
  <c r="H49" i="179"/>
  <c r="H60" i="179" s="1"/>
  <c r="N60" i="179"/>
  <c r="M18" i="179" s="1"/>
  <c r="H30" i="177"/>
  <c r="H40" i="177" s="1"/>
  <c r="N40" i="177"/>
  <c r="M17" i="177" s="1"/>
  <c r="H49" i="177"/>
  <c r="H60" i="177" s="1"/>
  <c r="N60" i="177"/>
  <c r="M18" i="177" s="1"/>
  <c r="N87" i="175"/>
  <c r="M24" i="175" s="1"/>
  <c r="H86" i="175"/>
  <c r="H87" i="175" s="1"/>
  <c r="N53" i="175"/>
  <c r="N34" i="175"/>
  <c r="N148" i="175"/>
  <c r="F130" i="175" s="1"/>
  <c r="H142" i="175"/>
  <c r="M22" i="179" l="1"/>
  <c r="M22" i="177"/>
  <c r="H34" i="175"/>
  <c r="H53" i="175"/>
  <c r="F18" i="179" l="1"/>
  <c r="H18" i="179" s="1"/>
  <c r="F19" i="179"/>
  <c r="H19" i="179" s="1"/>
  <c r="F7" i="179"/>
  <c r="F17" i="179"/>
  <c r="H17" i="179" s="1"/>
  <c r="F20" i="179"/>
  <c r="H20" i="179" s="1"/>
  <c r="F18" i="177"/>
  <c r="H18" i="177" s="1"/>
  <c r="F19" i="177"/>
  <c r="H19" i="177" s="1"/>
  <c r="F7" i="177"/>
  <c r="F17" i="177"/>
  <c r="H17" i="177" s="1"/>
  <c r="F20" i="177"/>
  <c r="H20" i="177" s="1"/>
  <c r="D17" i="171" l="1"/>
  <c r="O19" i="171"/>
  <c r="N19" i="171"/>
  <c r="C17" i="171"/>
  <c r="O18" i="171"/>
  <c r="N18" i="171"/>
  <c r="L18" i="171"/>
  <c r="C16" i="171" s="1"/>
  <c r="D16" i="171"/>
  <c r="E17" i="171"/>
  <c r="E16" i="171"/>
  <c r="E40" i="147"/>
  <c r="E39" i="147"/>
  <c r="E38" i="147"/>
  <c r="E37" i="147"/>
  <c r="E31" i="147"/>
  <c r="E27" i="147"/>
  <c r="E26" i="147"/>
  <c r="E21" i="147"/>
  <c r="E20" i="147"/>
  <c r="E19" i="147"/>
  <c r="E30" i="147"/>
  <c r="E24" i="147"/>
  <c r="E17" i="147"/>
  <c r="E18" i="147"/>
  <c r="T20" i="146" s="1"/>
  <c r="E25" i="147"/>
  <c r="E50" i="147"/>
  <c r="E48" i="147"/>
  <c r="E47" i="147"/>
  <c r="E46" i="147"/>
  <c r="E45" i="147"/>
  <c r="E44" i="147"/>
  <c r="E34" i="147"/>
  <c r="F43" i="147"/>
  <c r="E35" i="147"/>
  <c r="E28" i="147"/>
  <c r="E22" i="147"/>
  <c r="F29" i="147"/>
  <c r="E42" i="147" s="1"/>
  <c r="F23" i="147"/>
  <c r="D6" i="147"/>
  <c r="E6" i="147"/>
  <c r="C11" i="146"/>
  <c r="C37" i="147"/>
  <c r="D37" i="147"/>
  <c r="D30" i="147"/>
  <c r="C30" i="147"/>
  <c r="D24" i="147"/>
  <c r="C24" i="147"/>
  <c r="D17" i="147"/>
  <c r="C17" i="147"/>
  <c r="G5" i="147"/>
  <c r="B21" i="146"/>
  <c r="F36" i="147" l="1"/>
  <c r="C21" i="146"/>
  <c r="T6" i="146"/>
  <c r="T22" i="146"/>
  <c r="T24" i="146" s="1"/>
  <c r="T26" i="146" s="1"/>
  <c r="T28" i="146" s="1"/>
  <c r="C17" i="169"/>
  <c r="E17" i="169"/>
  <c r="E18" i="169"/>
  <c r="E19" i="169"/>
  <c r="E20" i="169"/>
  <c r="E22" i="169"/>
  <c r="E23" i="169"/>
  <c r="E24" i="169"/>
  <c r="E25" i="169"/>
  <c r="E26" i="169"/>
  <c r="D6" i="168" l="1"/>
  <c r="E6" i="168"/>
  <c r="D17" i="168" l="1"/>
  <c r="D99" i="163"/>
  <c r="D60" i="163"/>
  <c r="D46" i="163"/>
  <c r="D31" i="163"/>
  <c r="D17" i="163"/>
  <c r="M10" i="162"/>
  <c r="E22" i="162"/>
  <c r="F22" i="162"/>
  <c r="G22" i="162"/>
  <c r="H22" i="162"/>
  <c r="I22" i="162"/>
  <c r="J22" i="162"/>
  <c r="K22" i="162"/>
  <c r="L22" i="162"/>
  <c r="M22" i="162"/>
  <c r="N22" i="162"/>
  <c r="O22" i="162"/>
  <c r="P22" i="162"/>
  <c r="Q22" i="162"/>
  <c r="R22" i="162"/>
  <c r="S22" i="162"/>
  <c r="T22" i="162"/>
  <c r="U22" i="162"/>
  <c r="E24" i="162"/>
  <c r="F24" i="162"/>
  <c r="G24" i="162"/>
  <c r="H24" i="162"/>
  <c r="I24" i="162"/>
  <c r="J24" i="162"/>
  <c r="K24" i="162"/>
  <c r="L24" i="162"/>
  <c r="M24" i="162"/>
  <c r="N24" i="162"/>
  <c r="O24" i="162"/>
  <c r="P24" i="162"/>
  <c r="Q24" i="162"/>
  <c r="R24" i="162"/>
  <c r="S24" i="162"/>
  <c r="T24" i="162"/>
  <c r="U24" i="162"/>
  <c r="E26" i="162"/>
  <c r="F26" i="162"/>
  <c r="G26" i="162"/>
  <c r="H26" i="162"/>
  <c r="I26" i="162"/>
  <c r="J26" i="162"/>
  <c r="K26" i="162"/>
  <c r="L26" i="162"/>
  <c r="M26" i="162"/>
  <c r="N26" i="162"/>
  <c r="O26" i="162"/>
  <c r="P26" i="162"/>
  <c r="Q26" i="162"/>
  <c r="R26" i="162"/>
  <c r="S26" i="162"/>
  <c r="T26" i="162"/>
  <c r="U26" i="162"/>
  <c r="E28" i="162"/>
  <c r="F28" i="162"/>
  <c r="G28" i="162"/>
  <c r="H28" i="162"/>
  <c r="I28" i="162"/>
  <c r="J28" i="162"/>
  <c r="K28" i="162"/>
  <c r="L28" i="162"/>
  <c r="M28" i="162"/>
  <c r="N28" i="162"/>
  <c r="O28" i="162"/>
  <c r="P28" i="162"/>
  <c r="Q28" i="162"/>
  <c r="R28" i="162"/>
  <c r="S28" i="162"/>
  <c r="T28" i="162"/>
  <c r="U28" i="162"/>
  <c r="D28" i="162"/>
  <c r="D26" i="162"/>
  <c r="D24" i="162"/>
  <c r="D22" i="162"/>
  <c r="B28" i="162"/>
  <c r="B26" i="162"/>
  <c r="B24" i="162"/>
  <c r="B22" i="162"/>
  <c r="V22" i="162" l="1"/>
  <c r="G6" i="163" s="1"/>
  <c r="V28" i="162"/>
  <c r="AB6" i="163" s="1"/>
  <c r="V26" i="162"/>
  <c r="U6" i="163" s="1"/>
  <c r="V24" i="162"/>
  <c r="N6" i="163" s="1"/>
  <c r="D10" i="172"/>
  <c r="B29" i="146"/>
  <c r="B27" i="146"/>
  <c r="B25" i="146"/>
  <c r="B23" i="146"/>
  <c r="D10" i="146"/>
  <c r="E10" i="146"/>
  <c r="F10" i="146"/>
  <c r="H10" i="146"/>
  <c r="I10" i="146"/>
  <c r="J10" i="146"/>
  <c r="K10" i="146"/>
  <c r="L10" i="146"/>
  <c r="N10" i="146"/>
  <c r="O10" i="146"/>
  <c r="Q10" i="146"/>
  <c r="R10" i="146"/>
  <c r="S10" i="146"/>
  <c r="U10" i="146"/>
  <c r="C12" i="146"/>
  <c r="C23" i="146" s="1"/>
  <c r="C13" i="146"/>
  <c r="C25" i="146" s="1"/>
  <c r="C14" i="146"/>
  <c r="C27" i="146" s="1"/>
  <c r="C15" i="146"/>
  <c r="C29" i="146" s="1"/>
  <c r="D16" i="146"/>
  <c r="E16" i="146"/>
  <c r="F16" i="146"/>
  <c r="G16" i="146"/>
  <c r="H16" i="146"/>
  <c r="I16" i="146"/>
  <c r="J16" i="146"/>
  <c r="K16" i="146"/>
  <c r="L16" i="146"/>
  <c r="M16" i="146"/>
  <c r="N16" i="146"/>
  <c r="O16" i="146"/>
  <c r="P16" i="146"/>
  <c r="Q16" i="146"/>
  <c r="R16" i="146"/>
  <c r="S16" i="146"/>
  <c r="T16" i="146"/>
  <c r="U16" i="146"/>
  <c r="D77" i="144" l="1"/>
  <c r="B15" i="143" s="1"/>
  <c r="B25" i="143" s="1"/>
  <c r="D64" i="144"/>
  <c r="B14" i="143" s="1"/>
  <c r="B24" i="143" s="1"/>
  <c r="D49" i="144"/>
  <c r="B12" i="143" s="1"/>
  <c r="B22" i="143" s="1"/>
  <c r="D40" i="144"/>
  <c r="B11" i="143" s="1"/>
  <c r="B21" i="143" s="1"/>
  <c r="D31" i="144"/>
  <c r="B10" i="143" s="1"/>
  <c r="B20" i="143" s="1"/>
  <c r="D22" i="144"/>
  <c r="B9" i="143" s="1"/>
  <c r="B19" i="143" s="1"/>
  <c r="S4" i="134" l="1"/>
  <c r="R4" i="134"/>
  <c r="Q4" i="134"/>
  <c r="M21" i="144" l="1"/>
  <c r="T12" i="172" l="1"/>
  <c r="T13" i="172" l="1"/>
  <c r="T14" i="172" l="1"/>
  <c r="T15" i="172" l="1"/>
  <c r="T16" i="172" l="1"/>
  <c r="T17" i="172" l="1"/>
  <c r="G27" i="173"/>
  <c r="F26" i="173" l="1"/>
  <c r="F24" i="173"/>
  <c r="F23" i="173"/>
  <c r="F22" i="173"/>
  <c r="F21" i="173"/>
  <c r="F20" i="173"/>
  <c r="F19" i="173"/>
  <c r="F18" i="173"/>
  <c r="L17" i="173"/>
  <c r="D18" i="173"/>
  <c r="S17" i="173"/>
  <c r="R17" i="173"/>
  <c r="E18" i="173" l="1"/>
  <c r="F8" i="173"/>
  <c r="G8" i="173"/>
  <c r="E8" i="173"/>
  <c r="L16" i="168" l="1"/>
  <c r="L16" i="169"/>
  <c r="E27" i="145" l="1"/>
  <c r="E32" i="145" l="1"/>
  <c r="F32" i="145"/>
  <c r="P27" i="145"/>
  <c r="C32" i="145" s="1"/>
  <c r="R27" i="145"/>
  <c r="S27" i="145"/>
  <c r="F33" i="172" l="1"/>
  <c r="F34" i="172"/>
  <c r="D39" i="177" s="1"/>
  <c r="F36" i="172"/>
  <c r="F39" i="172"/>
  <c r="D39" i="179" s="1"/>
  <c r="F35" i="172"/>
  <c r="D43" i="175" s="1"/>
  <c r="F32" i="172"/>
  <c r="E31" i="172"/>
  <c r="C31" i="172"/>
  <c r="D31" i="172"/>
  <c r="AB12" i="172"/>
  <c r="G20" i="172"/>
  <c r="G23" i="172" s="1"/>
  <c r="G19" i="172"/>
  <c r="E17" i="172"/>
  <c r="E16" i="172"/>
  <c r="E15" i="172"/>
  <c r="E14" i="172"/>
  <c r="E21" i="172" s="1"/>
  <c r="E13" i="172"/>
  <c r="E12" i="172"/>
  <c r="AB10" i="172"/>
  <c r="AA10" i="172"/>
  <c r="AA12" i="172" s="1"/>
  <c r="J10" i="172"/>
  <c r="C10" i="172"/>
  <c r="V16" i="169"/>
  <c r="X16" i="168"/>
  <c r="X16" i="163"/>
  <c r="X17" i="163" s="1"/>
  <c r="X18" i="163" s="1"/>
  <c r="X19" i="163" s="1"/>
  <c r="X20" i="163" s="1"/>
  <c r="X25" i="144"/>
  <c r="O12" i="171"/>
  <c r="O13" i="171"/>
  <c r="O14" i="171"/>
  <c r="O15" i="171"/>
  <c r="O16" i="171"/>
  <c r="O17" i="171"/>
  <c r="O11" i="171"/>
  <c r="E26" i="145"/>
  <c r="F27" i="145"/>
  <c r="E25" i="145"/>
  <c r="E24" i="145"/>
  <c r="K6" i="143"/>
  <c r="K8" i="143" s="1"/>
  <c r="K18" i="143" s="1"/>
  <c r="L6" i="146"/>
  <c r="E83" i="147"/>
  <c r="P17" i="145"/>
  <c r="C18" i="145" s="1"/>
  <c r="F19" i="145"/>
  <c r="F82" i="144"/>
  <c r="F70" i="144"/>
  <c r="S18" i="143" s="1"/>
  <c r="B6" i="134"/>
  <c r="B7" i="134"/>
  <c r="B5" i="134"/>
  <c r="F11" i="171"/>
  <c r="F10" i="171"/>
  <c r="F9" i="171"/>
  <c r="E15" i="171"/>
  <c r="E14" i="171"/>
  <c r="E13" i="171"/>
  <c r="E12" i="171"/>
  <c r="E11" i="171"/>
  <c r="E10" i="171"/>
  <c r="E9" i="171"/>
  <c r="L11" i="171"/>
  <c r="C9" i="171" s="1"/>
  <c r="D15" i="171"/>
  <c r="L17" i="171"/>
  <c r="C15" i="171" s="1"/>
  <c r="D14" i="171"/>
  <c r="L16" i="171"/>
  <c r="C14" i="171" s="1"/>
  <c r="D13" i="171"/>
  <c r="L15" i="171"/>
  <c r="C13" i="171" s="1"/>
  <c r="D12" i="171"/>
  <c r="L14" i="171"/>
  <c r="C12" i="171" s="1"/>
  <c r="D11" i="171"/>
  <c r="L13" i="171"/>
  <c r="C11" i="171" s="1"/>
  <c r="D10" i="171"/>
  <c r="L12" i="171"/>
  <c r="C10" i="171" s="1"/>
  <c r="D9" i="171"/>
  <c r="F110" i="163"/>
  <c r="F111" i="163"/>
  <c r="F92" i="163"/>
  <c r="E18" i="163"/>
  <c r="X21" i="163"/>
  <c r="E23" i="144"/>
  <c r="H77" i="144"/>
  <c r="F83" i="144"/>
  <c r="X26" i="144"/>
  <c r="W21" i="144"/>
  <c r="W22" i="144" s="1"/>
  <c r="W23" i="144" s="1"/>
  <c r="W24" i="144" s="1"/>
  <c r="I21" i="144"/>
  <c r="D23" i="136"/>
  <c r="K21" i="144" s="1"/>
  <c r="D22" i="136"/>
  <c r="E16" i="136"/>
  <c r="E15" i="136"/>
  <c r="E14" i="136"/>
  <c r="E12" i="136"/>
  <c r="X24" i="144"/>
  <c r="X23" i="144"/>
  <c r="X22" i="144"/>
  <c r="X21" i="144"/>
  <c r="K63" i="144"/>
  <c r="L63" i="144"/>
  <c r="L76" i="144"/>
  <c r="K76" i="144"/>
  <c r="I76" i="144"/>
  <c r="H21" i="144"/>
  <c r="N17" i="171"/>
  <c r="N16" i="171"/>
  <c r="N15" i="171"/>
  <c r="N14" i="171"/>
  <c r="N13" i="171"/>
  <c r="N12" i="171"/>
  <c r="N11" i="171"/>
  <c r="K20" i="144"/>
  <c r="E41" i="145"/>
  <c r="U16" i="169"/>
  <c r="J16" i="169"/>
  <c r="I16" i="169"/>
  <c r="H16" i="169"/>
  <c r="F27" i="168"/>
  <c r="C17" i="168"/>
  <c r="E18" i="168"/>
  <c r="E26" i="168"/>
  <c r="E25" i="168"/>
  <c r="E24" i="168"/>
  <c r="E23" i="168"/>
  <c r="E22" i="168"/>
  <c r="E20" i="168"/>
  <c r="E19" i="168"/>
  <c r="E17" i="168"/>
  <c r="W16" i="168"/>
  <c r="J16" i="168"/>
  <c r="I16" i="168"/>
  <c r="H16" i="168"/>
  <c r="F6" i="168"/>
  <c r="U6" i="166"/>
  <c r="S6" i="166"/>
  <c r="R6" i="166"/>
  <c r="Q6" i="166"/>
  <c r="P6" i="166"/>
  <c r="O6" i="166"/>
  <c r="N6" i="166"/>
  <c r="M6" i="166"/>
  <c r="L6" i="166"/>
  <c r="K6" i="166"/>
  <c r="J6" i="166"/>
  <c r="I6" i="166"/>
  <c r="H6" i="166"/>
  <c r="G6" i="166"/>
  <c r="F6" i="166"/>
  <c r="E6" i="166"/>
  <c r="D6" i="166"/>
  <c r="U6" i="167"/>
  <c r="S6" i="167"/>
  <c r="R6" i="167"/>
  <c r="Q6" i="167"/>
  <c r="P6" i="167"/>
  <c r="O6" i="167"/>
  <c r="N6" i="167"/>
  <c r="M6" i="167"/>
  <c r="L6" i="167"/>
  <c r="K6" i="167"/>
  <c r="J6" i="167"/>
  <c r="I6" i="167"/>
  <c r="H6" i="167"/>
  <c r="G6" i="167"/>
  <c r="F6" i="167"/>
  <c r="E6" i="167"/>
  <c r="D6" i="167"/>
  <c r="N21" i="169" s="1" a="1"/>
  <c r="N21" i="169" s="1"/>
  <c r="AA6" i="163"/>
  <c r="AB5" i="163" s="1"/>
  <c r="T6" i="163"/>
  <c r="U5" i="163" s="1"/>
  <c r="M6" i="163"/>
  <c r="N5" i="163" s="1"/>
  <c r="F6" i="163"/>
  <c r="G5" i="163" s="1"/>
  <c r="G31" i="163"/>
  <c r="G46" i="163" s="1"/>
  <c r="G60" i="163" s="1"/>
  <c r="F73" i="163"/>
  <c r="F59" i="163"/>
  <c r="F45" i="163"/>
  <c r="F30" i="163"/>
  <c r="E29" i="163"/>
  <c r="E23" i="163"/>
  <c r="I6" i="162"/>
  <c r="I21" i="162" s="1"/>
  <c r="G6" i="162"/>
  <c r="W21" i="163"/>
  <c r="W20" i="163"/>
  <c r="D80" i="163"/>
  <c r="Y6" i="163"/>
  <c r="R6" i="163"/>
  <c r="K6" i="163"/>
  <c r="D6" i="163"/>
  <c r="E28" i="163"/>
  <c r="E27" i="163"/>
  <c r="E26" i="163"/>
  <c r="E25" i="163"/>
  <c r="E39" i="163" s="1"/>
  <c r="E24" i="163"/>
  <c r="E21" i="163"/>
  <c r="E20" i="163"/>
  <c r="W19" i="163"/>
  <c r="E19" i="163"/>
  <c r="W18" i="163"/>
  <c r="W17" i="163"/>
  <c r="E17" i="163"/>
  <c r="W16" i="163"/>
  <c r="C12" i="162"/>
  <c r="C24" i="162" s="1"/>
  <c r="C13" i="162"/>
  <c r="C14" i="162"/>
  <c r="C28" i="162" s="1"/>
  <c r="C11" i="162"/>
  <c r="C22" i="162" s="1"/>
  <c r="U10" i="162"/>
  <c r="S10" i="162"/>
  <c r="R10" i="162"/>
  <c r="Q10" i="162"/>
  <c r="O10" i="162"/>
  <c r="N10" i="162"/>
  <c r="L10" i="162"/>
  <c r="K10" i="162"/>
  <c r="J10" i="162"/>
  <c r="I10" i="162"/>
  <c r="H10" i="162"/>
  <c r="F10" i="162"/>
  <c r="E10" i="162"/>
  <c r="D10" i="162"/>
  <c r="U6" i="162"/>
  <c r="U25" i="162" s="1"/>
  <c r="S6" i="162"/>
  <c r="S21" i="162" s="1"/>
  <c r="R6" i="162"/>
  <c r="R25" i="162" s="1"/>
  <c r="Q6" i="162"/>
  <c r="Q21" i="162" s="1"/>
  <c r="P6" i="162"/>
  <c r="O6" i="162"/>
  <c r="O27" i="162" s="1"/>
  <c r="N6" i="162"/>
  <c r="L6" i="162"/>
  <c r="L27" i="162" s="1"/>
  <c r="K6" i="162"/>
  <c r="K21" i="162" s="1"/>
  <c r="J6" i="162"/>
  <c r="H6" i="162"/>
  <c r="H21" i="162" s="1"/>
  <c r="F6" i="162"/>
  <c r="F21" i="162" s="1"/>
  <c r="E6" i="162"/>
  <c r="E27" i="162" s="1"/>
  <c r="D6" i="162"/>
  <c r="C31" i="163"/>
  <c r="C80" i="163"/>
  <c r="C99" i="163"/>
  <c r="AH6" i="147"/>
  <c r="AK5" i="147"/>
  <c r="AA6" i="147"/>
  <c r="AD5" i="147"/>
  <c r="S6" i="147"/>
  <c r="V5" i="147"/>
  <c r="F71" i="147"/>
  <c r="F98" i="147"/>
  <c r="E97" i="147"/>
  <c r="F89" i="147"/>
  <c r="E88" i="147"/>
  <c r="F80" i="147"/>
  <c r="E79" i="147"/>
  <c r="F61" i="147"/>
  <c r="E60" i="147"/>
  <c r="F52" i="147"/>
  <c r="E51" i="147"/>
  <c r="C90" i="147"/>
  <c r="C72" i="147"/>
  <c r="C62" i="147"/>
  <c r="C53" i="147"/>
  <c r="C44" i="147"/>
  <c r="K6" i="147"/>
  <c r="N5" i="147"/>
  <c r="F9" i="144"/>
  <c r="U6" i="146"/>
  <c r="S6" i="146"/>
  <c r="R6" i="146"/>
  <c r="Q6" i="146"/>
  <c r="Q20" i="146" s="1"/>
  <c r="P6" i="146"/>
  <c r="O6" i="146"/>
  <c r="N6" i="146"/>
  <c r="M6" i="146"/>
  <c r="K6" i="146"/>
  <c r="K20" i="146" s="1"/>
  <c r="J6" i="146"/>
  <c r="I6" i="146"/>
  <c r="H6" i="146"/>
  <c r="G6" i="146"/>
  <c r="F6" i="146"/>
  <c r="E6" i="146"/>
  <c r="E20" i="146" s="1"/>
  <c r="D6" i="146"/>
  <c r="F57" i="144"/>
  <c r="F48" i="144"/>
  <c r="F39" i="144"/>
  <c r="F30" i="144"/>
  <c r="E38" i="144" s="1"/>
  <c r="E29" i="144"/>
  <c r="E28" i="144"/>
  <c r="E27" i="144"/>
  <c r="E26" i="144"/>
  <c r="E25" i="144"/>
  <c r="E22" i="144"/>
  <c r="G8" i="144"/>
  <c r="F42" i="145"/>
  <c r="D40" i="145"/>
  <c r="P28" i="145"/>
  <c r="C40" i="145" s="1"/>
  <c r="R14" i="145"/>
  <c r="S14" i="145"/>
  <c r="P14" i="145"/>
  <c r="C15" i="145" s="1"/>
  <c r="E15" i="145" s="1"/>
  <c r="F15" i="145" s="1"/>
  <c r="P10" i="145"/>
  <c r="C11" i="145" s="1"/>
  <c r="E11" i="145" s="1"/>
  <c r="F11" i="145" s="1"/>
  <c r="R10" i="145"/>
  <c r="S10" i="145"/>
  <c r="P11" i="145"/>
  <c r="C12" i="145" s="1"/>
  <c r="E12" i="145" s="1"/>
  <c r="F12" i="145" s="1"/>
  <c r="R11" i="145"/>
  <c r="S11" i="145"/>
  <c r="P12" i="145"/>
  <c r="C13" i="145" s="1"/>
  <c r="E13" i="145" s="1"/>
  <c r="F13" i="145" s="1"/>
  <c r="R12" i="145"/>
  <c r="S12" i="145"/>
  <c r="P13" i="145"/>
  <c r="C14" i="145" s="1"/>
  <c r="E14" i="145" s="1"/>
  <c r="F14" i="145" s="1"/>
  <c r="R13" i="145"/>
  <c r="S13" i="145"/>
  <c r="P15" i="145"/>
  <c r="C16" i="145" s="1"/>
  <c r="E16" i="145" s="1"/>
  <c r="F16" i="145" s="1"/>
  <c r="R15" i="145"/>
  <c r="S15" i="145"/>
  <c r="P16" i="145"/>
  <c r="C17" i="145" s="1"/>
  <c r="E17" i="145" s="1"/>
  <c r="F17" i="145" s="1"/>
  <c r="R16" i="145"/>
  <c r="S16" i="145"/>
  <c r="R17" i="145"/>
  <c r="S17" i="145"/>
  <c r="P18" i="145"/>
  <c r="C20" i="145" s="1"/>
  <c r="E20" i="145" s="1"/>
  <c r="F20" i="145" s="1"/>
  <c r="R18" i="145"/>
  <c r="S18" i="145"/>
  <c r="P19" i="145"/>
  <c r="C21" i="145" s="1"/>
  <c r="E21" i="145" s="1"/>
  <c r="F21" i="145" s="1"/>
  <c r="R19" i="145"/>
  <c r="S19" i="145"/>
  <c r="P20" i="145"/>
  <c r="C22" i="145" s="1"/>
  <c r="E22" i="145" s="1"/>
  <c r="F22" i="145" s="1"/>
  <c r="R20" i="145"/>
  <c r="S20" i="145"/>
  <c r="P22" i="145"/>
  <c r="C24" i="145" s="1"/>
  <c r="R22" i="145"/>
  <c r="S22" i="145"/>
  <c r="P23" i="145"/>
  <c r="C28" i="145" s="1"/>
  <c r="E28" i="145" s="1"/>
  <c r="F28" i="145" s="1"/>
  <c r="R23" i="145"/>
  <c r="S23" i="145"/>
  <c r="P24" i="145"/>
  <c r="C29" i="145" s="1"/>
  <c r="E29" i="145" s="1"/>
  <c r="F29" i="145" s="1"/>
  <c r="R24" i="145"/>
  <c r="S24" i="145"/>
  <c r="P25" i="145"/>
  <c r="C30" i="145" s="1"/>
  <c r="E30" i="145" s="1"/>
  <c r="F30" i="145" s="1"/>
  <c r="R25" i="145"/>
  <c r="S25" i="145"/>
  <c r="P26" i="145"/>
  <c r="C31" i="145" s="1"/>
  <c r="E31" i="145" s="1"/>
  <c r="F31" i="145" s="1"/>
  <c r="R26" i="145"/>
  <c r="S26" i="145"/>
  <c r="P9" i="145"/>
  <c r="C10" i="145" s="1"/>
  <c r="E10" i="145" s="1"/>
  <c r="F10" i="145" s="1"/>
  <c r="K39" i="145"/>
  <c r="J39" i="145"/>
  <c r="I39" i="145"/>
  <c r="S28" i="145"/>
  <c r="R28" i="145"/>
  <c r="S9" i="145"/>
  <c r="R9" i="145"/>
  <c r="C22" i="144"/>
  <c r="W26" i="144"/>
  <c r="W25" i="144"/>
  <c r="T6" i="143"/>
  <c r="T8" i="143" s="1"/>
  <c r="T18" i="143" s="1"/>
  <c r="S6" i="143"/>
  <c r="S8" i="143" s="1"/>
  <c r="F78" i="135"/>
  <c r="R6" i="143"/>
  <c r="R8" i="143" s="1"/>
  <c r="R18" i="143" s="1"/>
  <c r="Q6" i="143"/>
  <c r="Q8" i="143" s="1"/>
  <c r="Q18" i="143" s="1"/>
  <c r="P6" i="143"/>
  <c r="P8" i="143" s="1"/>
  <c r="P18" i="143" s="1"/>
  <c r="O6" i="143"/>
  <c r="O8" i="143" s="1"/>
  <c r="O18" i="143" s="1"/>
  <c r="N6" i="143"/>
  <c r="N8" i="143" s="1"/>
  <c r="N18" i="143" s="1"/>
  <c r="M6" i="143"/>
  <c r="M8" i="143" s="1"/>
  <c r="M18" i="143" s="1"/>
  <c r="L6" i="143"/>
  <c r="L8" i="143" s="1"/>
  <c r="L18" i="143" s="1"/>
  <c r="J6" i="143"/>
  <c r="J8" i="143" s="1"/>
  <c r="J18" i="143" s="1"/>
  <c r="I6" i="143"/>
  <c r="I8" i="143" s="1"/>
  <c r="I18" i="143" s="1"/>
  <c r="H6" i="143"/>
  <c r="H8" i="143" s="1"/>
  <c r="H18" i="143" s="1"/>
  <c r="G6" i="143"/>
  <c r="G8" i="143" s="1"/>
  <c r="G18" i="143" s="1"/>
  <c r="F6" i="143"/>
  <c r="F8" i="143" s="1"/>
  <c r="F18" i="143" s="1"/>
  <c r="E6" i="143"/>
  <c r="E8" i="143" s="1"/>
  <c r="E18" i="143" s="1"/>
  <c r="D6" i="143"/>
  <c r="D8" i="143" s="1"/>
  <c r="D18" i="143" s="1"/>
  <c r="C6" i="143"/>
  <c r="C8" i="143" s="1"/>
  <c r="C18" i="143" s="1"/>
  <c r="D4" i="134"/>
  <c r="E4" i="134"/>
  <c r="F4" i="134"/>
  <c r="G4" i="134"/>
  <c r="H4" i="134"/>
  <c r="I4" i="134"/>
  <c r="J4" i="134"/>
  <c r="K4" i="134"/>
  <c r="L4" i="134"/>
  <c r="M4" i="134"/>
  <c r="N4" i="134"/>
  <c r="O4" i="134"/>
  <c r="P4" i="134"/>
  <c r="D21" i="136"/>
  <c r="D19" i="136"/>
  <c r="D13" i="136"/>
  <c r="Q12" i="135"/>
  <c r="Q11" i="135"/>
  <c r="Q10" i="135"/>
  <c r="Q9" i="135"/>
  <c r="Q8" i="135"/>
  <c r="Q7" i="135"/>
  <c r="F79" i="135"/>
  <c r="F77" i="135"/>
  <c r="F76" i="135"/>
  <c r="F75" i="135"/>
  <c r="F74" i="135"/>
  <c r="F73" i="135"/>
  <c r="F72" i="135"/>
  <c r="F71" i="135"/>
  <c r="F70" i="135"/>
  <c r="F69" i="135"/>
  <c r="F68" i="135"/>
  <c r="F67" i="135"/>
  <c r="F66" i="135"/>
  <c r="F65" i="135"/>
  <c r="F64" i="135"/>
  <c r="F63" i="135"/>
  <c r="F62" i="135"/>
  <c r="F61" i="135"/>
  <c r="F60" i="135"/>
  <c r="F59" i="135"/>
  <c r="F58" i="135"/>
  <c r="F57" i="135"/>
  <c r="F56" i="135"/>
  <c r="F55" i="135"/>
  <c r="F54" i="135"/>
  <c r="F53" i="135"/>
  <c r="F52" i="135"/>
  <c r="F51" i="135"/>
  <c r="F50" i="135"/>
  <c r="F49" i="135"/>
  <c r="F48" i="135"/>
  <c r="F45" i="135"/>
  <c r="F44" i="135"/>
  <c r="F43" i="135"/>
  <c r="F42" i="135"/>
  <c r="F41" i="135"/>
  <c r="F40" i="135"/>
  <c r="F39" i="135"/>
  <c r="F38" i="135"/>
  <c r="F37" i="135"/>
  <c r="F36" i="135"/>
  <c r="F35" i="135"/>
  <c r="F34" i="135"/>
  <c r="F33" i="135"/>
  <c r="F32" i="135"/>
  <c r="F31" i="135"/>
  <c r="F30" i="135"/>
  <c r="F29" i="135"/>
  <c r="F28" i="135"/>
  <c r="F27" i="135"/>
  <c r="F26" i="135"/>
  <c r="F25" i="135"/>
  <c r="F24" i="135"/>
  <c r="F23" i="135"/>
  <c r="F22" i="135"/>
  <c r="F21" i="135"/>
  <c r="F20" i="135"/>
  <c r="F19" i="135"/>
  <c r="F18" i="135"/>
  <c r="F17" i="135"/>
  <c r="F16" i="135"/>
  <c r="F15" i="135"/>
  <c r="F14" i="135"/>
  <c r="F13" i="135"/>
  <c r="F12" i="135"/>
  <c r="F11" i="135"/>
  <c r="F10" i="135"/>
  <c r="F9" i="135"/>
  <c r="F8" i="135"/>
  <c r="F7" i="135"/>
  <c r="C4" i="134"/>
  <c r="K46" i="144" l="1"/>
  <c r="K45" i="144"/>
  <c r="K24" i="144"/>
  <c r="K27" i="144"/>
  <c r="N21" i="168"/>
  <c r="N20" i="168"/>
  <c r="K28" i="144"/>
  <c r="O44" i="163"/>
  <c r="N22" i="168"/>
  <c r="N23" i="168"/>
  <c r="N24" i="168"/>
  <c r="N25" i="168"/>
  <c r="N26" i="168"/>
  <c r="K25" i="144"/>
  <c r="N18" i="168"/>
  <c r="N19" i="168"/>
  <c r="K23" i="144"/>
  <c r="D62" i="175"/>
  <c r="R25" i="175" s="1"/>
  <c r="B62" i="175" s="1"/>
  <c r="R15" i="175"/>
  <c r="B43" i="175" s="1"/>
  <c r="D58" i="179"/>
  <c r="S31" i="179" s="1"/>
  <c r="B58" i="179" s="1"/>
  <c r="S21" i="179"/>
  <c r="B39" i="179" s="1"/>
  <c r="D58" i="177"/>
  <c r="S31" i="177" s="1"/>
  <c r="B58" i="177" s="1"/>
  <c r="S21" i="177"/>
  <c r="B39" i="177" s="1"/>
  <c r="E36" i="144"/>
  <c r="K36" i="144" s="1"/>
  <c r="O29" i="163"/>
  <c r="O17" i="163"/>
  <c r="O24" i="163"/>
  <c r="O18" i="163"/>
  <c r="T6" i="162"/>
  <c r="O25" i="163"/>
  <c r="O26" i="163"/>
  <c r="O19" i="163"/>
  <c r="O27" i="163"/>
  <c r="O28" i="163"/>
  <c r="N20" i="169" a="1"/>
  <c r="N20" i="169" s="1"/>
  <c r="N17" i="169" a="1"/>
  <c r="N17" i="169" s="1"/>
  <c r="N22" i="169" a="1"/>
  <c r="N22" i="169" s="1"/>
  <c r="N23" i="169" a="1"/>
  <c r="N23" i="169" s="1"/>
  <c r="N24" i="169" a="1"/>
  <c r="N24" i="169" s="1"/>
  <c r="N18" i="169" a="1"/>
  <c r="N18" i="169" s="1"/>
  <c r="N25" i="169" a="1"/>
  <c r="N25" i="169" s="1"/>
  <c r="N26" i="169" a="1"/>
  <c r="N26" i="169" s="1"/>
  <c r="N19" i="169" a="1"/>
  <c r="N19" i="169" s="1"/>
  <c r="O20" i="163"/>
  <c r="O21" i="163"/>
  <c r="O23" i="163"/>
  <c r="J21" i="144"/>
  <c r="F8" i="171"/>
  <c r="D23" i="162"/>
  <c r="L23" i="162"/>
  <c r="F28" i="146"/>
  <c r="F20" i="146"/>
  <c r="O26" i="146"/>
  <c r="O20" i="146"/>
  <c r="P27" i="162"/>
  <c r="P25" i="162"/>
  <c r="P23" i="162"/>
  <c r="P21" i="162"/>
  <c r="L24" i="146"/>
  <c r="L20" i="146"/>
  <c r="G24" i="146"/>
  <c r="G22" i="146"/>
  <c r="G20" i="146"/>
  <c r="G28" i="146"/>
  <c r="G26" i="146"/>
  <c r="P26" i="146"/>
  <c r="P22" i="146"/>
  <c r="P28" i="146"/>
  <c r="P24" i="146"/>
  <c r="P20" i="146"/>
  <c r="H26" i="146"/>
  <c r="H20" i="146"/>
  <c r="S6" i="163"/>
  <c r="C26" i="162"/>
  <c r="I24" i="146"/>
  <c r="I20" i="146"/>
  <c r="R24" i="146"/>
  <c r="R20" i="146"/>
  <c r="J28" i="146"/>
  <c r="J20" i="146"/>
  <c r="S26" i="146"/>
  <c r="S20" i="146"/>
  <c r="T25" i="162"/>
  <c r="T27" i="162"/>
  <c r="T21" i="162"/>
  <c r="T23" i="162"/>
  <c r="M27" i="162"/>
  <c r="M23" i="162"/>
  <c r="M25" i="162"/>
  <c r="M21" i="162"/>
  <c r="G23" i="162"/>
  <c r="G21" i="162"/>
  <c r="G25" i="162"/>
  <c r="G27" i="162"/>
  <c r="D26" i="146"/>
  <c r="D20" i="146"/>
  <c r="M26" i="146"/>
  <c r="M22" i="146"/>
  <c r="M24" i="146"/>
  <c r="M20" i="146"/>
  <c r="M28" i="146"/>
  <c r="U24" i="146"/>
  <c r="U20" i="146"/>
  <c r="N28" i="146"/>
  <c r="N20" i="146"/>
  <c r="L22" i="146"/>
  <c r="L28" i="146"/>
  <c r="E85" i="147"/>
  <c r="L26" i="146"/>
  <c r="D28" i="146"/>
  <c r="L21" i="162"/>
  <c r="E62" i="163"/>
  <c r="O62" i="163" s="1"/>
  <c r="E41" i="163"/>
  <c r="O41" i="163" s="1"/>
  <c r="E68" i="163"/>
  <c r="O68" i="163" s="1"/>
  <c r="R27" i="162"/>
  <c r="U27" i="162"/>
  <c r="E32" i="144"/>
  <c r="K32" i="144" s="1"/>
  <c r="R23" i="162"/>
  <c r="D22" i="146"/>
  <c r="H23" i="162"/>
  <c r="D24" i="146"/>
  <c r="U23" i="162"/>
  <c r="I27" i="162"/>
  <c r="D27" i="162"/>
  <c r="O28" i="146"/>
  <c r="Q22" i="146"/>
  <c r="E87" i="147"/>
  <c r="Q28" i="146"/>
  <c r="O24" i="146"/>
  <c r="T6" i="147"/>
  <c r="E59" i="147"/>
  <c r="O22" i="146"/>
  <c r="E35" i="144"/>
  <c r="E25" i="162"/>
  <c r="N24" i="146"/>
  <c r="S27" i="162"/>
  <c r="E69" i="147"/>
  <c r="E81" i="147"/>
  <c r="E53" i="147"/>
  <c r="H28" i="146"/>
  <c r="L25" i="162"/>
  <c r="S23" i="162"/>
  <c r="E54" i="147"/>
  <c r="S25" i="162"/>
  <c r="Q24" i="146"/>
  <c r="H24" i="146"/>
  <c r="Q26" i="146"/>
  <c r="H22" i="146"/>
  <c r="E23" i="162"/>
  <c r="E37" i="144"/>
  <c r="K37" i="144" s="1"/>
  <c r="R21" i="162"/>
  <c r="U22" i="146"/>
  <c r="Q27" i="162"/>
  <c r="Q25" i="162"/>
  <c r="K26" i="146"/>
  <c r="S28" i="146"/>
  <c r="J22" i="146"/>
  <c r="N26" i="146"/>
  <c r="N22" i="146"/>
  <c r="O23" i="162"/>
  <c r="U26" i="146"/>
  <c r="J24" i="146"/>
  <c r="J26" i="146"/>
  <c r="Q23" i="162"/>
  <c r="I22" i="146"/>
  <c r="F24" i="146"/>
  <c r="O25" i="162"/>
  <c r="H25" i="162"/>
  <c r="K23" i="162"/>
  <c r="I28" i="146"/>
  <c r="E33" i="144"/>
  <c r="K33" i="144" s="1"/>
  <c r="K27" i="162"/>
  <c r="E21" i="162"/>
  <c r="U28" i="146"/>
  <c r="I26" i="146"/>
  <c r="K25" i="162"/>
  <c r="L6" i="147"/>
  <c r="E47" i="144"/>
  <c r="C49" i="144"/>
  <c r="E31" i="163"/>
  <c r="O31" i="163" s="1"/>
  <c r="E71" i="163"/>
  <c r="O71" i="163" s="1"/>
  <c r="E64" i="163"/>
  <c r="O64" i="163" s="1"/>
  <c r="E43" i="163"/>
  <c r="O43" i="163" s="1"/>
  <c r="E72" i="163"/>
  <c r="O72" i="163" s="1"/>
  <c r="E42" i="163"/>
  <c r="O42" i="163" s="1"/>
  <c r="E63" i="163"/>
  <c r="O63" i="163" s="1"/>
  <c r="E34" i="163"/>
  <c r="E35" i="163"/>
  <c r="O35" i="163" s="1"/>
  <c r="C64" i="144"/>
  <c r="C40" i="144"/>
  <c r="E34" i="144"/>
  <c r="K34" i="144" s="1"/>
  <c r="E31" i="144"/>
  <c r="C31" i="144"/>
  <c r="C77" i="144"/>
  <c r="E82" i="147"/>
  <c r="E92" i="147"/>
  <c r="E58" i="147"/>
  <c r="E86" i="147"/>
  <c r="E26" i="146"/>
  <c r="E22" i="146"/>
  <c r="E28" i="146"/>
  <c r="E24" i="146"/>
  <c r="AI6" i="147"/>
  <c r="E56" i="144"/>
  <c r="N25" i="162"/>
  <c r="N27" i="162"/>
  <c r="N23" i="162"/>
  <c r="N21" i="162"/>
  <c r="E61" i="163"/>
  <c r="O61" i="163" s="1"/>
  <c r="E32" i="163"/>
  <c r="O32" i="163" s="1"/>
  <c r="J21" i="162"/>
  <c r="J27" i="162"/>
  <c r="J23" i="162"/>
  <c r="J25" i="162"/>
  <c r="E69" i="163"/>
  <c r="O69" i="163" s="1"/>
  <c r="E40" i="163"/>
  <c r="O40" i="163" s="1"/>
  <c r="E66" i="163"/>
  <c r="O66" i="163" s="1"/>
  <c r="E37" i="163"/>
  <c r="O37" i="163" s="1"/>
  <c r="E84" i="147"/>
  <c r="E56" i="147"/>
  <c r="E70" i="163"/>
  <c r="O70" i="163" s="1"/>
  <c r="E70" i="147"/>
  <c r="K22" i="146"/>
  <c r="K24" i="146"/>
  <c r="K28" i="146"/>
  <c r="AB6" i="147"/>
  <c r="E60" i="163"/>
  <c r="O60" i="163" s="1"/>
  <c r="D25" i="162"/>
  <c r="D21" i="162"/>
  <c r="F26" i="146"/>
  <c r="F22" i="146"/>
  <c r="F27" i="162"/>
  <c r="F25" i="162"/>
  <c r="F23" i="162"/>
  <c r="U21" i="162"/>
  <c r="H27" i="162"/>
  <c r="O21" i="162"/>
  <c r="E33" i="163"/>
  <c r="O33" i="163" s="1"/>
  <c r="I23" i="162"/>
  <c r="I25" i="162"/>
  <c r="F1" i="136"/>
  <c r="E55" i="147"/>
  <c r="I63" i="144"/>
  <c r="R22" i="146"/>
  <c r="R26" i="146"/>
  <c r="R28" i="146"/>
  <c r="E67" i="163"/>
  <c r="O67" i="163" s="1"/>
  <c r="E38" i="163"/>
  <c r="O38" i="163" s="1"/>
  <c r="S24" i="146"/>
  <c r="S22" i="146"/>
  <c r="E57" i="147"/>
  <c r="L6" i="163"/>
  <c r="Z6" i="163"/>
  <c r="E6" i="163"/>
  <c r="K21" i="169" l="1"/>
  <c r="H60" i="163"/>
  <c r="H17" i="163"/>
  <c r="L51" i="163"/>
  <c r="L36" i="163"/>
  <c r="L65" i="163"/>
  <c r="G6" i="169"/>
  <c r="E62" i="147"/>
  <c r="E72" i="147" s="1"/>
  <c r="E63" i="147"/>
  <c r="E73" i="147" s="1"/>
  <c r="K19" i="169"/>
  <c r="E96" i="147"/>
  <c r="K25" i="169"/>
  <c r="E49" i="163"/>
  <c r="O49" i="163" s="1"/>
  <c r="O34" i="163"/>
  <c r="K18" i="169"/>
  <c r="K24" i="169"/>
  <c r="E41" i="144"/>
  <c r="K41" i="144" s="1"/>
  <c r="K23" i="169"/>
  <c r="E42" i="144"/>
  <c r="K42" i="144" s="1"/>
  <c r="K22" i="169"/>
  <c r="E40" i="144"/>
  <c r="K17" i="169"/>
  <c r="L17" i="169"/>
  <c r="K20" i="169"/>
  <c r="E54" i="163"/>
  <c r="O54" i="163" s="1"/>
  <c r="O39" i="163"/>
  <c r="E91" i="147"/>
  <c r="E44" i="144"/>
  <c r="K26" i="169"/>
  <c r="H5" i="173"/>
  <c r="F98" i="175"/>
  <c r="F4" i="179"/>
  <c r="F6" i="175"/>
  <c r="F4" i="177"/>
  <c r="G3" i="147"/>
  <c r="E56" i="163"/>
  <c r="O56" i="163" s="1"/>
  <c r="E94" i="147"/>
  <c r="E90" i="147"/>
  <c r="E68" i="147"/>
  <c r="E46" i="163"/>
  <c r="O46" i="163" s="1"/>
  <c r="E58" i="163"/>
  <c r="O58" i="163" s="1"/>
  <c r="E57" i="163"/>
  <c r="O57" i="163" s="1"/>
  <c r="E50" i="163"/>
  <c r="O50" i="163" s="1"/>
  <c r="E43" i="144"/>
  <c r="K43" i="144" s="1"/>
  <c r="AD3" i="147"/>
  <c r="L27" i="173"/>
  <c r="E67" i="147"/>
  <c r="E95" i="147"/>
  <c r="E47" i="163"/>
  <c r="O47" i="163" s="1"/>
  <c r="E52" i="163"/>
  <c r="O52" i="163" s="1"/>
  <c r="E65" i="147"/>
  <c r="E55" i="163"/>
  <c r="O55" i="163" s="1"/>
  <c r="E93" i="147"/>
  <c r="E48" i="163"/>
  <c r="O48" i="163" s="1"/>
  <c r="N3" i="147"/>
  <c r="V3" i="147"/>
  <c r="G3" i="168"/>
  <c r="N3" i="163"/>
  <c r="G6" i="144"/>
  <c r="G3" i="169"/>
  <c r="U3" i="163"/>
  <c r="G3" i="163"/>
  <c r="AB3" i="163"/>
  <c r="AK3" i="147"/>
  <c r="E66" i="147"/>
  <c r="E53" i="163"/>
  <c r="O53" i="163" s="1"/>
  <c r="E64" i="147"/>
  <c r="I18" i="173" l="1"/>
  <c r="I21" i="173"/>
  <c r="I20" i="173"/>
  <c r="I26" i="173"/>
  <c r="I25" i="173"/>
  <c r="I23" i="173"/>
  <c r="I22" i="173"/>
  <c r="I19" i="173"/>
  <c r="I24" i="173"/>
  <c r="L44" i="163"/>
  <c r="H46" i="163"/>
  <c r="H31" i="163"/>
  <c r="E53" i="144"/>
  <c r="E49" i="144"/>
  <c r="H8" i="173"/>
  <c r="E55" i="144"/>
  <c r="E51" i="144"/>
  <c r="E54" i="144"/>
  <c r="E50" i="144"/>
  <c r="E78" i="147"/>
  <c r="E52" i="144"/>
  <c r="E77" i="147"/>
  <c r="E75" i="147"/>
  <c r="E76" i="147"/>
  <c r="E74" i="147"/>
  <c r="N17" i="168" l="1"/>
  <c r="K21" i="168" s="1"/>
  <c r="L17" i="168" l="1"/>
  <c r="G6" i="168"/>
  <c r="K23" i="168"/>
  <c r="K24" i="168"/>
  <c r="K20" i="168"/>
  <c r="K19" i="168"/>
  <c r="K17" i="168"/>
  <c r="K26" i="168"/>
  <c r="K22" i="168"/>
  <c r="K18" i="168"/>
  <c r="K25" i="168"/>
  <c r="L21" i="163" l="1"/>
  <c r="L18" i="163" l="1"/>
  <c r="L22" i="163"/>
  <c r="L26" i="163"/>
  <c r="L19" i="163"/>
  <c r="L28" i="163"/>
  <c r="L27" i="163"/>
  <c r="L23" i="163"/>
  <c r="L17" i="163"/>
  <c r="L24" i="163"/>
  <c r="L20" i="163"/>
  <c r="L25" i="163"/>
  <c r="L29" i="163"/>
  <c r="L64" i="163" l="1"/>
  <c r="L61" i="163"/>
  <c r="L72" i="163"/>
  <c r="L71" i="163"/>
  <c r="L69" i="163"/>
  <c r="L68" i="163"/>
  <c r="L70" i="163"/>
  <c r="L60" i="163"/>
  <c r="L67" i="163"/>
  <c r="L63" i="163"/>
  <c r="L62" i="163"/>
  <c r="L66" i="163"/>
  <c r="L33" i="163" l="1"/>
  <c r="L32" i="163"/>
  <c r="L37" i="163"/>
  <c r="L40" i="163"/>
  <c r="L31" i="163"/>
  <c r="L41" i="163"/>
  <c r="L43" i="163"/>
  <c r="L35" i="163"/>
  <c r="L34" i="163"/>
  <c r="L42" i="163"/>
  <c r="L39" i="163"/>
  <c r="L38" i="163"/>
  <c r="L49" i="163" l="1"/>
  <c r="L50" i="163"/>
  <c r="L47" i="163"/>
  <c r="L48" i="163"/>
  <c r="L46" i="163"/>
  <c r="L54" i="163"/>
  <c r="L56" i="163"/>
  <c r="L55" i="163"/>
  <c r="L58" i="163"/>
  <c r="L57" i="163"/>
  <c r="L53" i="163"/>
  <c r="L52" i="163"/>
  <c r="J17" i="162" l="1"/>
  <c r="D17" i="162"/>
  <c r="N17" i="162"/>
  <c r="U17" i="162"/>
  <c r="Q17" i="162"/>
  <c r="P17" i="162"/>
  <c r="R17" i="162"/>
  <c r="H17" i="162"/>
  <c r="G17" i="162"/>
  <c r="F17" i="162"/>
  <c r="I17" i="162"/>
  <c r="T17" i="162"/>
  <c r="K17" i="162"/>
  <c r="M17" i="162"/>
  <c r="O17" i="162"/>
  <c r="L17" i="162"/>
  <c r="S17" i="162"/>
  <c r="E17" i="162"/>
  <c r="M40" i="144" l="1"/>
  <c r="M31" i="144" l="1"/>
  <c r="M49" i="144"/>
  <c r="M22" i="144" l="1"/>
  <c r="K7" i="146" l="1"/>
  <c r="K29" i="146" s="1"/>
  <c r="S7" i="146"/>
  <c r="S29" i="146" s="1"/>
  <c r="M7" i="146"/>
  <c r="M29" i="146" s="1"/>
  <c r="Q7" i="146"/>
  <c r="Q29" i="146" s="1"/>
  <c r="P7" i="146"/>
  <c r="P29" i="146" s="1"/>
  <c r="N7" i="146"/>
  <c r="N29" i="146" s="1"/>
  <c r="E7" i="146"/>
  <c r="E29" i="146" s="1"/>
  <c r="I7" i="146"/>
  <c r="I29" i="146" s="1"/>
  <c r="G7" i="146"/>
  <c r="G29" i="146" s="1"/>
  <c r="F7" i="146"/>
  <c r="F29" i="146" s="1"/>
  <c r="O7" i="146"/>
  <c r="O29" i="146" s="1"/>
  <c r="H7" i="146"/>
  <c r="H29" i="146" s="1"/>
  <c r="J7" i="146"/>
  <c r="J29" i="146" s="1"/>
  <c r="R7" i="146"/>
  <c r="R29" i="146" s="1"/>
  <c r="C19" i="143" l="1"/>
  <c r="C24" i="143"/>
  <c r="C21" i="143"/>
  <c r="C20" i="143"/>
  <c r="C22" i="143"/>
  <c r="K49" i="144" s="1"/>
  <c r="C25" i="143"/>
  <c r="N78" i="144" s="1"/>
  <c r="T25" i="143"/>
  <c r="T24" i="143"/>
  <c r="V5" i="143"/>
  <c r="T21" i="143"/>
  <c r="K44" i="144" s="1"/>
  <c r="T19" i="143"/>
  <c r="K26" i="144" s="1"/>
  <c r="T20" i="143"/>
  <c r="K35" i="144" s="1"/>
  <c r="T22" i="143"/>
  <c r="K53" i="144" s="1"/>
  <c r="V7" i="146"/>
  <c r="K22" i="144" l="1"/>
  <c r="V19" i="143"/>
  <c r="K40" i="144"/>
  <c r="V21" i="143"/>
  <c r="V22" i="143"/>
  <c r="K31" i="144"/>
  <c r="V20" i="143"/>
  <c r="J5" i="174" l="1"/>
  <c r="U5" i="174" s="1"/>
  <c r="BG17" i="137"/>
  <c r="BG13" i="137" s="1"/>
  <c r="BH17" i="137"/>
  <c r="BH13" i="137" s="1"/>
  <c r="AE13" i="137"/>
  <c r="Q13" i="137" s="1"/>
  <c r="J12" i="174" l="1"/>
  <c r="J18" i="174"/>
  <c r="V5" i="174"/>
  <c r="J17" i="174"/>
  <c r="M109" i="175" l="1"/>
  <c r="F109" i="175" s="1"/>
  <c r="U17" i="174"/>
  <c r="J38" i="174"/>
  <c r="U38" i="174" s="1"/>
  <c r="J35" i="174"/>
  <c r="J32" i="174"/>
  <c r="J37" i="174"/>
  <c r="J36" i="174"/>
  <c r="U18" i="174"/>
  <c r="M56" i="175" l="1"/>
  <c r="U36" i="174"/>
  <c r="U37" i="174"/>
  <c r="M74" i="175"/>
  <c r="U35" i="174"/>
  <c r="M37" i="175"/>
  <c r="N37" i="175" l="1"/>
  <c r="M44" i="175"/>
  <c r="N74" i="175"/>
  <c r="M77" i="175"/>
  <c r="M64" i="175"/>
  <c r="N56" i="175"/>
  <c r="H56" i="175" l="1"/>
  <c r="H64" i="175" s="1"/>
  <c r="N64" i="175"/>
  <c r="M22" i="175" s="1"/>
  <c r="N77" i="175"/>
  <c r="M23" i="175" s="1"/>
  <c r="H74" i="175"/>
  <c r="H77" i="175" s="1"/>
  <c r="N44" i="175"/>
  <c r="M21" i="175" s="1"/>
  <c r="H37" i="175"/>
  <c r="H44" i="175" s="1"/>
  <c r="M26" i="175" l="1"/>
  <c r="F24" i="175" s="1"/>
  <c r="H24" i="175" s="1"/>
  <c r="F9" i="175" l="1"/>
  <c r="F21" i="175"/>
  <c r="H21" i="175" s="1"/>
  <c r="F23" i="175"/>
  <c r="H23" i="175" s="1"/>
  <c r="F22" i="175"/>
  <c r="H22" i="17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Rocco De Miglio</author>
  </authors>
  <commentList>
    <comment ref="J10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F12" authorId="1" shapeId="0" xr:uid="{D42C9A6C-23BF-4603-9D9D-125CECACE6E9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kt</t>
        </r>
      </text>
    </comment>
    <comment ref="F13" authorId="1" shapeId="0" xr:uid="{84E255E5-9B7A-44D9-BBCB-C45BB6BB576A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kt</t>
        </r>
      </text>
    </comment>
    <comment ref="F14" authorId="1" shapeId="0" xr:uid="{CB338F80-6D39-4193-898B-249E78D1626F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kt</t>
        </r>
      </text>
    </comment>
    <comment ref="F15" authorId="1" shapeId="0" xr:uid="{FF5384A7-446D-4FCA-8CF5-438DE80C9524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kt</t>
        </r>
      </text>
    </comment>
    <comment ref="F16" authorId="1" shapeId="0" xr:uid="{E9E35D87-C07E-478E-93A9-48F0C760DE3A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kt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Rocco De Miglio</author>
    <author>Maurizio Gargiulo</author>
    <author>Amit Kanudia</author>
    <author>Siakkis</author>
  </authors>
  <commentList>
    <comment ref="G9" authorId="0" shapeId="0" xr:uid="{FAE9C1D5-4BBE-4F98-8AE6-5C5E2F96EF90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TBC with local data (that seem greater than this) and with the energy balance</t>
        </r>
      </text>
    </comment>
    <comment ref="D19" authorId="1" shapeId="0" xr:uid="{00000000-0006-0000-03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Y19" authorId="1" shapeId="0" xr:uid="{00000000-0006-0000-03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Z19" authorId="2" shapeId="0" xr:uid="{00000000-0006-0000-03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A19" authorId="1" shapeId="0" xr:uid="{00000000-0006-0000-03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S20" authorId="1" shapeId="0" xr:uid="{00000000-0006-0000-03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D31" authorId="0" shapeId="0" xr:uid="{CDB72233-7BCC-445C-A042-4F4554DB7A9A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to keep track of the ferrochrome smelting</t>
        </r>
      </text>
    </comment>
    <comment ref="D61" authorId="1" shapeId="0" xr:uid="{00000000-0006-0000-0300-000006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H61" authorId="3" shapeId="0" xr:uid="{00000000-0006-0000-0300-000007000000}">
      <text>
        <r>
          <rPr>
            <b/>
            <sz val="9"/>
            <color indexed="81"/>
            <rFont val="Tahoma"/>
            <family val="2"/>
          </rPr>
          <t>Siakkis: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Default is 1.
and 31.536 for Electricity or CHP pps</t>
        </r>
      </text>
    </comment>
    <comment ref="D74" authorId="1" shapeId="0" xr:uid="{00000000-0006-0000-0300-000008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Corporate Edition</author>
  </authors>
  <commentList>
    <comment ref="AA4" authorId="0" shapeId="0" xr:uid="{526C098F-5F30-43BF-830A-F20865DB7677}">
      <text>
        <r>
          <rPr>
            <b/>
            <sz val="9"/>
            <color indexed="81"/>
            <rFont val="Tahoma"/>
            <family val="2"/>
          </rPr>
          <t>Corporate Edition:</t>
        </r>
        <r>
          <rPr>
            <sz val="9"/>
            <color indexed="81"/>
            <rFont val="Tahoma"/>
            <family val="2"/>
          </rPr>
          <t xml:space="preserve">
TO BE VERIFIED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V4" authorId="0" shapeId="0" xr:uid="{81101739-335B-49E4-B3EE-B3B936CCBA55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W4" authorId="1" shapeId="0" xr:uid="{9E3EBBC7-FE00-4DD6-87D0-A65C700CA926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X4" authorId="0" shapeId="0" xr:uid="{6766A3E4-6F2B-444B-B273-2CD914CD99B6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Q5" authorId="0" shapeId="0" xr:uid="{5B27BFA9-4CCA-48E3-B149-D66AA1B27231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C19" authorId="0" shapeId="0" xr:uid="{95D26418-F3AE-4CE1-8C7F-7F3D8939F9CB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V96" authorId="0" shapeId="0" xr:uid="{DCE11AD2-EFC5-4F68-9974-EA189E8E3C24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W96" authorId="1" shapeId="0" xr:uid="{A032AF60-B83D-4D6E-8D77-AF926491D80A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X96" authorId="0" shapeId="0" xr:uid="{54EAADC2-C32A-4551-8B01-6DAB20C5A218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Q97" authorId="0" shapeId="0" xr:uid="{FD59586C-5921-4FD7-9158-CD1E64FE8E78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C106" authorId="0" shapeId="0" xr:uid="{FA917F83-1DE0-464D-A6D9-648DE275F74B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C127" authorId="0" shapeId="0" xr:uid="{616D083C-F7DB-4CB3-AEC8-E8419E44C04E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C140" authorId="0" shapeId="0" xr:uid="{D617E452-9083-4C12-B032-05C5FEDF9568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D14" authorId="0" shapeId="0" xr:uid="{00000000-0006-0000-07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AA14" authorId="0" shapeId="0" xr:uid="{00000000-0006-0000-07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B14" authorId="1" shapeId="0" xr:uid="{00000000-0006-0000-07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C14" authorId="0" shapeId="0" xr:uid="{00000000-0006-0000-07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U15" authorId="0" shapeId="0" xr:uid="{00000000-0006-0000-07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Corporate Edition</author>
  </authors>
  <commentList>
    <comment ref="AA7" authorId="0" shapeId="0" xr:uid="{AA9CFDBD-59B3-4236-B796-AC60632B2C96}">
      <text>
        <r>
          <rPr>
            <b/>
            <sz val="9"/>
            <color indexed="81"/>
            <rFont val="Tahoma"/>
            <family val="2"/>
          </rPr>
          <t>Corporate Edition:</t>
        </r>
        <r>
          <rPr>
            <sz val="9"/>
            <color indexed="81"/>
            <rFont val="Tahoma"/>
            <family val="2"/>
          </rPr>
          <t xml:space="preserve">
TO BE VERIFIED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W10" authorId="0" shapeId="0" xr:uid="{770E2CC0-EDE6-4D8F-8CD2-8264095FE608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X10" authorId="1" shapeId="0" xr:uid="{7E9E128D-3C3B-4BBC-ADF4-637B915A9A18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Y10" authorId="0" shapeId="0" xr:uid="{B5861A69-0A94-4215-8B4B-098EB8967BE3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11" authorId="0" shapeId="0" xr:uid="{DE837B03-2E2E-45B2-8F70-790E9A1E7CE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C15" authorId="0" shapeId="0" xr:uid="{BE8BC583-F783-43E8-8B22-5C03F091846D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C152" authorId="0" shapeId="0" xr:uid="{0F97269F-3F21-423D-A335-9619317C9484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Corporate Edition</author>
  </authors>
  <commentList>
    <comment ref="AB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Corporate Edition:</t>
        </r>
        <r>
          <rPr>
            <sz val="9"/>
            <color indexed="81"/>
            <rFont val="Tahoma"/>
            <family val="2"/>
          </rPr>
          <t xml:space="preserve">
TO BE VERIFIED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D14" authorId="0" shapeId="0" xr:uid="{00000000-0006-0000-15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Y14" authorId="0" shapeId="0" xr:uid="{00000000-0006-0000-15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Z14" authorId="1" shapeId="0" xr:uid="{00000000-0006-0000-15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A14" authorId="0" shapeId="0" xr:uid="{00000000-0006-0000-15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S15" authorId="0" shapeId="0" xr:uid="{00000000-0006-0000-15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D77" authorId="0" shapeId="0" xr:uid="{00000000-0006-0000-1500-000006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D96" authorId="0" shapeId="0" xr:uid="{00000000-0006-0000-1500-000007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D14" authorId="0" shapeId="0" xr:uid="{00000000-0006-0000-17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Y14" authorId="0" shapeId="0" xr:uid="{00000000-0006-0000-17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Z14" authorId="1" shapeId="0" xr:uid="{00000000-0006-0000-17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A14" authorId="0" shapeId="0" xr:uid="{00000000-0006-0000-17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S15" authorId="0" shapeId="0" xr:uid="{00000000-0006-0000-17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D14" authorId="0" shapeId="0" xr:uid="{00000000-0006-0000-19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W14" authorId="0" shapeId="0" xr:uid="{00000000-0006-0000-19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X14" authorId="1" shapeId="0" xr:uid="{00000000-0006-0000-19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Y14" authorId="0" shapeId="0" xr:uid="{00000000-0006-0000-19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Q15" authorId="0" shapeId="0" xr:uid="{00000000-0006-0000-19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Corporate Edition</author>
  </authors>
  <commentList>
    <comment ref="AA7" authorId="0" shapeId="0" xr:uid="{748274AC-0419-418D-AFFB-01C346C88EB1}">
      <text>
        <r>
          <rPr>
            <b/>
            <sz val="9"/>
            <color indexed="81"/>
            <rFont val="Tahoma"/>
            <family val="2"/>
          </rPr>
          <t>Corporate Edition:</t>
        </r>
        <r>
          <rPr>
            <sz val="9"/>
            <color indexed="81"/>
            <rFont val="Tahoma"/>
            <family val="2"/>
          </rPr>
          <t xml:space="preserve">
TO BE VERIFIED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W10" authorId="0" shapeId="0" xr:uid="{1EEACDFD-143A-4E34-AC2D-A907FB4BED67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X10" authorId="1" shapeId="0" xr:uid="{F59172C3-DC18-47DB-9157-739AADAA163A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Y10" authorId="0" shapeId="0" xr:uid="{66876479-BD6B-46A3-B572-5C7E45A41EFF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11" authorId="0" shapeId="0" xr:uid="{0B94FE1F-BBD7-4940-953C-D39449EB6F0C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C15" authorId="0" shapeId="0" xr:uid="{E351F5A7-BE19-4E10-8E2F-9748C564FE34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C166" authorId="0" shapeId="0" xr:uid="{15A53982-CFE2-4EE2-8ED3-72FA57396D2B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  <author>Rocco De Miglio</author>
  </authors>
  <commentList>
    <comment ref="E15" authorId="0" shapeId="0" xr:uid="{00000000-0006-0000-1D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T15" authorId="0" shapeId="0" xr:uid="{00000000-0006-0000-1D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U15" authorId="1" shapeId="0" xr:uid="{00000000-0006-0000-1D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V15" authorId="0" shapeId="0" xr:uid="{00000000-0006-0000-1D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N16" authorId="0" shapeId="0" xr:uid="{00000000-0006-0000-1D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18" authorId="2" shapeId="0" xr:uid="{58F37121-21AE-48A6-A70E-D66673CBEEA2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to allow extra use of this implicit process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D7" authorId="0" shapeId="0" xr:uid="{00000000-0006-0000-1C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AC8" authorId="0" shapeId="0" xr:uid="{00000000-0006-0000-1C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D8" authorId="1" shapeId="0" xr:uid="{00000000-0006-0000-1C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E8" authorId="0" shapeId="0" xr:uid="{00000000-0006-0000-1C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W9" authorId="0" shapeId="0" xr:uid="{00000000-0006-0000-1C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D28" authorId="0" shapeId="0" xr:uid="{00000000-0006-0000-1C00-000006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D214" authorId="0" shapeId="0" xr:uid="{00000000-0006-0000-1C00-000007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D7" authorId="0" shapeId="0" xr:uid="{00000000-0006-0000-1E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T7" authorId="0" shapeId="0" xr:uid="{00000000-0006-0000-1E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U7" authorId="1" shapeId="0" xr:uid="{00000000-0006-0000-1E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V7" authorId="0" shapeId="0" xr:uid="{00000000-0006-0000-1E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N8" authorId="0" shapeId="0" xr:uid="{00000000-0006-0000-1E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D37" authorId="0" shapeId="0" xr:uid="{00000000-0006-0000-1E00-000006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  <author>Rocco De Miglio</author>
  </authors>
  <commentList>
    <comment ref="B5" authorId="0" shapeId="0" xr:uid="{00000000-0006-0000-1F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5" authorId="1" shapeId="0" xr:uid="{00000000-0006-0000-1F00-000002000000}">
      <text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5" authorId="2" shapeId="0" xr:uid="{00000000-0006-0000-1F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2" shapeId="0" xr:uid="{00000000-0006-0000-1F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5" authorId="2" shapeId="0" xr:uid="{00000000-0006-0000-1F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M5" authorId="0" shapeId="0" xr:uid="{00000000-0006-0000-1F00-000006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R5" authorId="1" shapeId="0" xr:uid="{00000000-0006-0000-1F00-000007000000}">
      <text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S5" authorId="2" shapeId="0" xr:uid="{00000000-0006-0000-1F00-000008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T5" authorId="2" shapeId="0" xr:uid="{00000000-0006-0000-1F00-000009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U5" authorId="2" shapeId="0" xr:uid="{00000000-0006-0000-1F00-00000A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W5" authorId="0" shapeId="0" xr:uid="{00000000-0006-0000-1F00-00000B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B5" authorId="1" shapeId="0" xr:uid="{00000000-0006-0000-1F00-00000C000000}">
      <text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AC5" authorId="2" shapeId="0" xr:uid="{00000000-0006-0000-1F00-00000D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D5" authorId="2" shapeId="0" xr:uid="{00000000-0006-0000-1F00-00000E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E5" authorId="2" shapeId="0" xr:uid="{00000000-0006-0000-1F00-00000F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AG5" authorId="0" shapeId="0" xr:uid="{00000000-0006-0000-1F00-000010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L5" authorId="1" shapeId="0" xr:uid="{00000000-0006-0000-1F00-000011000000}">
      <text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AM5" authorId="2" shapeId="0" xr:uid="{00000000-0006-0000-1F00-000012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N5" authorId="2" shapeId="0" xr:uid="{00000000-0006-0000-1F00-000013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O5" authorId="2" shapeId="0" xr:uid="{00000000-0006-0000-1F00-000014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88" authorId="3" shapeId="0" xr:uid="{2F39F2C0-3BC5-41F8-9C56-D9CEA788F1BD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to control on-site CHPs</t>
        </r>
      </text>
    </comment>
    <comment ref="G89" authorId="3" shapeId="0" xr:uid="{BB90B8EF-ED0E-4360-B7FA-91530005BDF7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to control on-site CHPs</t>
        </r>
      </text>
    </comment>
    <comment ref="G90" authorId="3" shapeId="0" xr:uid="{EBE6C693-C77D-43E8-B9A9-5B769F35E71F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to control on-site CHPs</t>
        </r>
      </text>
    </comment>
    <comment ref="G91" authorId="3" shapeId="0" xr:uid="{3B5CD73C-0F1F-4844-817C-FE2299BEFAE3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to control on-site CHPs</t>
        </r>
      </text>
    </comment>
    <comment ref="G92" authorId="3" shapeId="0" xr:uid="{5B20602B-97C7-413D-963B-B18646CEFD2C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to control on-site CHPs</t>
        </r>
      </text>
    </comment>
    <comment ref="G93" authorId="3" shapeId="0" xr:uid="{C9053793-7881-49BB-B7A6-8F88FC2D91A7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to control on-site CHPs</t>
        </r>
      </text>
    </comment>
    <comment ref="G94" authorId="3" shapeId="0" xr:uid="{4D4F8E33-92A7-4F1A-BDCA-B6D690F05396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to control on-site CHPs</t>
        </r>
      </text>
    </comment>
    <comment ref="G95" authorId="3" shapeId="0" xr:uid="{EE15B097-CAA4-457D-B148-E8737E296761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to control on-site CHPs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<sst xmlns="http://schemas.openxmlformats.org/spreadsheetml/2006/main" count="3376" uniqueCount="852">
  <si>
    <t>CommName</t>
  </si>
  <si>
    <t>TechName</t>
  </si>
  <si>
    <t>TechDesc</t>
  </si>
  <si>
    <t>FIXOM</t>
  </si>
  <si>
    <t>CommDesc</t>
  </si>
  <si>
    <t>Unit</t>
  </si>
  <si>
    <t>VAROM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</si>
  <si>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</si>
  <si>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</si>
  <si>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</si>
  <si>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</si>
  <si>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</si>
  <si>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</si>
  <si>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</si>
  <si>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</si>
  <si>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</si>
  <si>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</si>
  <si>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EFF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</si>
  <si>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</si>
  <si>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</si>
  <si>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</si>
  <si>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</si>
  <si>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</si>
  <si>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</si>
  <si>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</si>
  <si>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</si>
  <si>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</si>
  <si>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</si>
  <si>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</si>
  <si>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</si>
  <si>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</si>
  <si>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</si>
  <si>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</si>
  <si>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</si>
  <si>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</si>
  <si>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</si>
  <si>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</si>
  <si>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Efficiency</t>
  </si>
  <si>
    <t>Processes</t>
  </si>
  <si>
    <t>Variable O&amp;M Cost</t>
  </si>
  <si>
    <t>Fixed O&amp;M Cost</t>
  </si>
  <si>
    <t>*TechDesc</t>
  </si>
  <si>
    <t>*Commodity Set Membership</t>
  </si>
  <si>
    <t>*Process Set Membership</t>
  </si>
  <si>
    <t>Sense of the Balance EQN.</t>
  </si>
  <si>
    <t>Timeslice Level</t>
  </si>
  <si>
    <t>Primary Commodity Group</t>
  </si>
  <si>
    <t>TimeSlice level of Process Activity</t>
  </si>
  <si>
    <t>*Units</t>
  </si>
  <si>
    <t>kg/GJ</t>
  </si>
  <si>
    <t>* Definition of the Commodities used in this workbook</t>
  </si>
  <si>
    <t>English</t>
  </si>
  <si>
    <t>NRG</t>
  </si>
  <si>
    <t>Anthracite</t>
  </si>
  <si>
    <t>COABIC</t>
  </si>
  <si>
    <t>Other bituminous coal</t>
  </si>
  <si>
    <t>COACOC</t>
  </si>
  <si>
    <t>Coke oven coke</t>
  </si>
  <si>
    <t>COACTA</t>
  </si>
  <si>
    <t>Coal tar</t>
  </si>
  <si>
    <t>COABKB</t>
  </si>
  <si>
    <t>OILCRD</t>
  </si>
  <si>
    <t>OILNGL</t>
  </si>
  <si>
    <t>OILFDS</t>
  </si>
  <si>
    <t>OILRFG</t>
  </si>
  <si>
    <t>Refinery gas</t>
  </si>
  <si>
    <t>OILDSL</t>
  </si>
  <si>
    <t>OILGSL</t>
  </si>
  <si>
    <t>OILGSA</t>
  </si>
  <si>
    <t>Aviation Gasoline</t>
  </si>
  <si>
    <t>OILLPG</t>
  </si>
  <si>
    <t>OILHFO1</t>
  </si>
  <si>
    <t>OILHFO2</t>
  </si>
  <si>
    <t>OILKER</t>
  </si>
  <si>
    <t>OILNAP</t>
  </si>
  <si>
    <t>Naphtha</t>
  </si>
  <si>
    <t>OILPCK</t>
  </si>
  <si>
    <t>Petroleum Coke</t>
  </si>
  <si>
    <t>OILBIT</t>
  </si>
  <si>
    <t>Bitumen</t>
  </si>
  <si>
    <t>OILLUB</t>
  </si>
  <si>
    <t>Lubricants</t>
  </si>
  <si>
    <t>OILOTH</t>
  </si>
  <si>
    <t>GASNAT</t>
  </si>
  <si>
    <t>GASBFG</t>
  </si>
  <si>
    <t>BIOLOG</t>
  </si>
  <si>
    <t>BIOWMU</t>
  </si>
  <si>
    <t>BIOWID</t>
  </si>
  <si>
    <t>BIOWAN</t>
  </si>
  <si>
    <t>BIOETH</t>
  </si>
  <si>
    <t>BIODSL</t>
  </si>
  <si>
    <t>BIOBGS</t>
  </si>
  <si>
    <t>BIOPLT</t>
  </si>
  <si>
    <t>BIOCHR</t>
  </si>
  <si>
    <t>Charcoal</t>
  </si>
  <si>
    <t>RESHYD</t>
  </si>
  <si>
    <t>RESSOL</t>
  </si>
  <si>
    <t>RESWIN</t>
  </si>
  <si>
    <t>RESGEO</t>
  </si>
  <si>
    <t>NUCLFL</t>
  </si>
  <si>
    <t>INDCOABIC</t>
  </si>
  <si>
    <t>INDCOACOC</t>
  </si>
  <si>
    <t>INDCOACTA</t>
  </si>
  <si>
    <t>INDCOABKB</t>
  </si>
  <si>
    <t>INDOILDSL</t>
  </si>
  <si>
    <t>INDOILGSL</t>
  </si>
  <si>
    <t>INDOILLPG</t>
  </si>
  <si>
    <t>INDOILHFO1</t>
  </si>
  <si>
    <t>INDOILKER</t>
  </si>
  <si>
    <t>INDOILNAP</t>
  </si>
  <si>
    <t>INDOILPCK</t>
  </si>
  <si>
    <t>INDOILOTH</t>
  </si>
  <si>
    <t>INDGASNAT</t>
  </si>
  <si>
    <t>INDGASBFG</t>
  </si>
  <si>
    <t>INDBIOLOG</t>
  </si>
  <si>
    <t>INDBIOWMU</t>
  </si>
  <si>
    <t>INDBIOWID</t>
  </si>
  <si>
    <t>INDBIOETH</t>
  </si>
  <si>
    <t>INDBIODSL</t>
  </si>
  <si>
    <t>INDBIOBGS</t>
  </si>
  <si>
    <t>INDBIOPLT</t>
  </si>
  <si>
    <t>INDBIOCHR</t>
  </si>
  <si>
    <t>INDRESHYD</t>
  </si>
  <si>
    <t>INDRESSOL</t>
  </si>
  <si>
    <t>INDRESWIN</t>
  </si>
  <si>
    <t>INDRESGEO</t>
  </si>
  <si>
    <t>DAYNITE</t>
  </si>
  <si>
    <t>ELC</t>
  </si>
  <si>
    <t>SUPELC</t>
  </si>
  <si>
    <t>INDELC</t>
  </si>
  <si>
    <t>ENV</t>
  </si>
  <si>
    <t>TOTCO2</t>
  </si>
  <si>
    <t>Gg</t>
  </si>
  <si>
    <t>CO2</t>
  </si>
  <si>
    <t>TOTCH4</t>
  </si>
  <si>
    <t>CH4</t>
  </si>
  <si>
    <t>TOTN2O</t>
  </si>
  <si>
    <t>N2O</t>
  </si>
  <si>
    <t>INDCO2</t>
  </si>
  <si>
    <t>CO2 (IND)</t>
  </si>
  <si>
    <t>INDCH4</t>
  </si>
  <si>
    <t>CH4 (IND)</t>
  </si>
  <si>
    <t>INDN2O</t>
  </si>
  <si>
    <t>N2O (IND)</t>
  </si>
  <si>
    <t>Default Units</t>
  </si>
  <si>
    <t>Energy</t>
  </si>
  <si>
    <t>Currency Unit</t>
  </si>
  <si>
    <t>Emissions</t>
  </si>
  <si>
    <t>NCAP_TLIFE</t>
  </si>
  <si>
    <t>* Definition of the Processes used in this worksheet</t>
  </si>
  <si>
    <t>*Region</t>
  </si>
  <si>
    <t>Technical Lifetime of Process</t>
  </si>
  <si>
    <t>*</t>
  </si>
  <si>
    <t>Total all products</t>
  </si>
  <si>
    <t>Solid fuels</t>
  </si>
  <si>
    <t>Lignite / Brown Coal</t>
  </si>
  <si>
    <t>BKB</t>
  </si>
  <si>
    <t>Oil (total)</t>
  </si>
  <si>
    <t>Crude oil</t>
  </si>
  <si>
    <t>Natural Gas Liguids</t>
  </si>
  <si>
    <t>Refinery Feedstocks</t>
  </si>
  <si>
    <t>Additives / Oxygenates</t>
  </si>
  <si>
    <t>Other Hydrocarb. (w/o bio)</t>
  </si>
  <si>
    <t>LPG</t>
  </si>
  <si>
    <t>Motor Gasoline (w/o bio)</t>
  </si>
  <si>
    <t>Gasoline Type Jet Fuel</t>
  </si>
  <si>
    <t>Kerosene Type Jet Fuel</t>
  </si>
  <si>
    <t>Other Kerosene</t>
  </si>
  <si>
    <t>Gas/Diesel Oil (w/o bio)</t>
  </si>
  <si>
    <t>Fuel Oil</t>
  </si>
  <si>
    <t>White spirit and SBP</t>
  </si>
  <si>
    <t>Paraffin Waxes</t>
  </si>
  <si>
    <t>Other Products</t>
  </si>
  <si>
    <t>Gas</t>
  </si>
  <si>
    <t>Natural gas</t>
  </si>
  <si>
    <t xml:space="preserve">Coke oven gas </t>
  </si>
  <si>
    <t>Blast furnace gas</t>
  </si>
  <si>
    <t>Total Renewables</t>
  </si>
  <si>
    <t>Hydro power</t>
  </si>
  <si>
    <t>Wind power</t>
  </si>
  <si>
    <t>Solar thermal</t>
  </si>
  <si>
    <t>Solar PV</t>
  </si>
  <si>
    <t>Solid biomass</t>
  </si>
  <si>
    <t>Biogas (all)</t>
  </si>
  <si>
    <t>Municipal wastes (renew.)</t>
  </si>
  <si>
    <t>Geo-thermal</t>
  </si>
  <si>
    <t>Wastes (non ren.)</t>
  </si>
  <si>
    <t>Industrial wastes</t>
  </si>
  <si>
    <t>Municial wastes (non-ren.)</t>
  </si>
  <si>
    <t>Derived heat</t>
  </si>
  <si>
    <t>Electricity</t>
  </si>
  <si>
    <t>Available for Final Consumption</t>
  </si>
  <si>
    <t>B_101500</t>
  </si>
  <si>
    <t>Final non-energy consumption</t>
  </si>
  <si>
    <t>B_101600</t>
  </si>
  <si>
    <t>+</t>
  </si>
  <si>
    <t>Non-Energy Use in Transformation sector</t>
  </si>
  <si>
    <t>B_101603</t>
  </si>
  <si>
    <t>Non-Energy Use in Energy sector</t>
  </si>
  <si>
    <t>B_101604</t>
  </si>
  <si>
    <t>Non-Energy Use in Industry sector</t>
  </si>
  <si>
    <t>B_101605</t>
  </si>
  <si>
    <t>of which Non-Energy Use in Chemical/Petrochemical Industry</t>
  </si>
  <si>
    <t>B_101601</t>
  </si>
  <si>
    <t>Non-Energy Use in Transport sector</t>
  </si>
  <si>
    <t>B_101606</t>
  </si>
  <si>
    <t>Non-Energy Use in Other sectors</t>
  </si>
  <si>
    <t>B_101607</t>
  </si>
  <si>
    <t>Non-Energy Use in Industry, Transformation and Energy Sectors</t>
  </si>
  <si>
    <t>B_101608</t>
  </si>
  <si>
    <t>Final energy consumption</t>
  </si>
  <si>
    <t>B_101700</t>
  </si>
  <si>
    <t>Industry</t>
  </si>
  <si>
    <t>B_101800</t>
  </si>
  <si>
    <t>Iron &amp; steel industry</t>
  </si>
  <si>
    <t>B_101805</t>
  </si>
  <si>
    <t>Chemical and Petrochemical industry</t>
  </si>
  <si>
    <t>B_101815</t>
  </si>
  <si>
    <t>Non-ferrous metal industry</t>
  </si>
  <si>
    <t>B_101810</t>
  </si>
  <si>
    <t>Non-metallic Minerals (Glass, pottery &amp; building mat. Industry)</t>
  </si>
  <si>
    <t>B_101820</t>
  </si>
  <si>
    <t>Transport Equipment</t>
  </si>
  <si>
    <t>B_101846</t>
  </si>
  <si>
    <t>Machinery</t>
  </si>
  <si>
    <t>B_101847</t>
  </si>
  <si>
    <t>Mining and Quarrying</t>
  </si>
  <si>
    <t>B_101825</t>
  </si>
  <si>
    <t>Food and Tabacco</t>
  </si>
  <si>
    <t>B_101830</t>
  </si>
  <si>
    <t>Paper, Pulp and Print</t>
  </si>
  <si>
    <t>B_101840</t>
  </si>
  <si>
    <t>Wood and Wood Products</t>
  </si>
  <si>
    <t>B_101851</t>
  </si>
  <si>
    <t>Construction</t>
  </si>
  <si>
    <t>B_101852</t>
  </si>
  <si>
    <t>Textile and Leather</t>
  </si>
  <si>
    <t>B_101835</t>
  </si>
  <si>
    <t>Non-specified (Industry)</t>
  </si>
  <si>
    <t>B_101853</t>
  </si>
  <si>
    <t>Transport</t>
  </si>
  <si>
    <t>B_101900</t>
  </si>
  <si>
    <t>Rail</t>
  </si>
  <si>
    <t>B_101910</t>
  </si>
  <si>
    <t>Road</t>
  </si>
  <si>
    <t>B_101920</t>
  </si>
  <si>
    <t>International aviation</t>
  </si>
  <si>
    <t>B_101931</t>
  </si>
  <si>
    <t>Domestic aviation</t>
  </si>
  <si>
    <t>B_101932</t>
  </si>
  <si>
    <t>Domestic Navigation</t>
  </si>
  <si>
    <t>B_101940</t>
  </si>
  <si>
    <t>Pipeline transport</t>
  </si>
  <si>
    <t>B_101945</t>
  </si>
  <si>
    <t>Non-specified (Transport)</t>
  </si>
  <si>
    <t>B_101950</t>
  </si>
  <si>
    <t>Other Sectors</t>
  </si>
  <si>
    <t>B_102000</t>
  </si>
  <si>
    <t>Services</t>
  </si>
  <si>
    <t>B_102035</t>
  </si>
  <si>
    <t>Residential</t>
  </si>
  <si>
    <t>B_102010</t>
  </si>
  <si>
    <t>Agriculture / Forestry</t>
  </si>
  <si>
    <t>B_102030</t>
  </si>
  <si>
    <t>Fishing</t>
  </si>
  <si>
    <t>B_102020</t>
  </si>
  <si>
    <t>Non-specified (Other)</t>
  </si>
  <si>
    <t>B_102040</t>
  </si>
  <si>
    <t>Statistical differences</t>
  </si>
  <si>
    <t>B_102200</t>
  </si>
  <si>
    <t>Flow/Product</t>
  </si>
  <si>
    <t>Total</t>
  </si>
  <si>
    <t>Breakout by end-use (Fractional Shares)</t>
  </si>
  <si>
    <t>End-use description</t>
  </si>
  <si>
    <t>Final energy consumption by end-use (PJ)</t>
  </si>
  <si>
    <t>DMD</t>
  </si>
  <si>
    <t>Demands for the Base Year</t>
  </si>
  <si>
    <t>Demand</t>
  </si>
  <si>
    <t>Attribute</t>
  </si>
  <si>
    <t>*Unit</t>
  </si>
  <si>
    <t>Demand Commodity Name</t>
  </si>
  <si>
    <t>Demand Unit</t>
  </si>
  <si>
    <t>Demand Value</t>
  </si>
  <si>
    <t>E</t>
  </si>
  <si>
    <t>*Demand Name</t>
  </si>
  <si>
    <t>PRC_RESID</t>
  </si>
  <si>
    <t>Existing Installed Capacity</t>
  </si>
  <si>
    <t>VDA_FLOP</t>
  </si>
  <si>
    <t>*Units:</t>
  </si>
  <si>
    <t>PRE</t>
  </si>
  <si>
    <t>Infrastructure for fuels Consumed in the Agricultural Sector</t>
  </si>
  <si>
    <t>Activity to Capacity Units</t>
  </si>
  <si>
    <t>ELE</t>
  </si>
  <si>
    <t>DEM</t>
  </si>
  <si>
    <t>Years</t>
  </si>
  <si>
    <t>Commodity</t>
  </si>
  <si>
    <t>ACT_BND</t>
  </si>
  <si>
    <t>NO</t>
  </si>
  <si>
    <t>COST</t>
  </si>
  <si>
    <t>NCAP_AFA</t>
  </si>
  <si>
    <t>NCAP_CHPR</t>
  </si>
  <si>
    <t>Ratio of heat produced to electricity produced</t>
  </si>
  <si>
    <t>PRC_CAPACT</t>
  </si>
  <si>
    <t>[0 - 1]</t>
  </si>
  <si>
    <t>ELCMLO</t>
  </si>
  <si>
    <t>Units by Attribute and Sector</t>
  </si>
  <si>
    <t>Meaning</t>
  </si>
  <si>
    <t>Sector</t>
  </si>
  <si>
    <t>Units</t>
  </si>
  <si>
    <t>Equivalent</t>
  </si>
  <si>
    <t>COMEMI</t>
  </si>
  <si>
    <t>Emission Coefficient</t>
  </si>
  <si>
    <t>All</t>
  </si>
  <si>
    <t>Extraction cost/Import Cost/Export cost</t>
  </si>
  <si>
    <t>Mining</t>
  </si>
  <si>
    <t>Annual Bound</t>
  </si>
  <si>
    <t>Capacity to Activity</t>
  </si>
  <si>
    <t>BASE_YEAR</t>
  </si>
  <si>
    <t>END_YEAR</t>
  </si>
  <si>
    <t>Existing Capacity</t>
  </si>
  <si>
    <t>000s Units</t>
  </si>
  <si>
    <t>Energy/Unit - delivered/year</t>
  </si>
  <si>
    <t>Capacity</t>
  </si>
  <si>
    <t>GJ/kW</t>
  </si>
  <si>
    <t>€/GJ</t>
  </si>
  <si>
    <t>Technical Lifetime</t>
  </si>
  <si>
    <t>€/GJ/a</t>
  </si>
  <si>
    <t>PJ</t>
  </si>
  <si>
    <t>GW</t>
  </si>
  <si>
    <t>Generic processes</t>
  </si>
  <si>
    <t>[ 0 -1 ]</t>
  </si>
  <si>
    <t>Source</t>
  </si>
  <si>
    <t>Number of Holdings</t>
  </si>
  <si>
    <t>Number of Tractors</t>
  </si>
  <si>
    <t xml:space="preserve">Number of Greenhouses </t>
  </si>
  <si>
    <t>%</t>
  </si>
  <si>
    <t>IPCC Emission Factor Database (2006 Values)available at  https://www.ipcc-nggip.iges.or.jp/EFDB/find_ef.php</t>
  </si>
  <si>
    <t>GASNAT_HP</t>
  </si>
  <si>
    <t>GASNAT_MP</t>
  </si>
  <si>
    <t>GASNAT_LP</t>
  </si>
  <si>
    <t>INDHTH</t>
  </si>
  <si>
    <t>Iron &amp; Steel Demand Technologies</t>
  </si>
  <si>
    <t>Sintering</t>
  </si>
  <si>
    <t>MAT</t>
  </si>
  <si>
    <t>Raw Iron</t>
  </si>
  <si>
    <t>Sintered Iron</t>
  </si>
  <si>
    <t>Pig Iron</t>
  </si>
  <si>
    <t>Crude Steel</t>
  </si>
  <si>
    <t>INDFST</t>
  </si>
  <si>
    <t>Finished Steel</t>
  </si>
  <si>
    <t>Materials</t>
  </si>
  <si>
    <t>Iron &amp; Steel Base-year energy consumption from Energy Balance (PJ)</t>
  </si>
  <si>
    <t>MATRIR</t>
  </si>
  <si>
    <t>MATSIR</t>
  </si>
  <si>
    <t>MATPIR</t>
  </si>
  <si>
    <t>MATCST</t>
  </si>
  <si>
    <t>MATORE</t>
  </si>
  <si>
    <t>Iron Ore</t>
  </si>
  <si>
    <t>Input</t>
  </si>
  <si>
    <t>Output</t>
  </si>
  <si>
    <t>pig iron</t>
  </si>
  <si>
    <t>crude steel</t>
  </si>
  <si>
    <t>finishing</t>
  </si>
  <si>
    <t>Boilers</t>
  </si>
  <si>
    <t>onsite CHP</t>
  </si>
  <si>
    <t>CHP</t>
  </si>
  <si>
    <t>INDCOP</t>
  </si>
  <si>
    <t>INDZNC</t>
  </si>
  <si>
    <t>INDLED</t>
  </si>
  <si>
    <t>INDONF</t>
  </si>
  <si>
    <t>Finished Copper</t>
  </si>
  <si>
    <t>Zinc</t>
  </si>
  <si>
    <t>Lead</t>
  </si>
  <si>
    <t>Other Non-Ferrous</t>
  </si>
  <si>
    <t>MATCRE</t>
  </si>
  <si>
    <t>Copper Ore</t>
  </si>
  <si>
    <t>MATPCP</t>
  </si>
  <si>
    <t>Primary Copper</t>
  </si>
  <si>
    <t>Secondary Copper</t>
  </si>
  <si>
    <t>MATSCP</t>
  </si>
  <si>
    <t>MATZRE</t>
  </si>
  <si>
    <t>MATLRE</t>
  </si>
  <si>
    <t>Zinc Ore</t>
  </si>
  <si>
    <t>Lead Ore</t>
  </si>
  <si>
    <t>Other Non Ferrous</t>
  </si>
  <si>
    <t>Non Ferrous Metals Technologies</t>
  </si>
  <si>
    <t>Finishing Copper</t>
  </si>
  <si>
    <t>Other NF</t>
  </si>
  <si>
    <t>Primary Copper Production</t>
  </si>
  <si>
    <t>Secondary Copper Production</t>
  </si>
  <si>
    <t>Lead Production</t>
  </si>
  <si>
    <t>Zinc production</t>
  </si>
  <si>
    <t>MATCSR</t>
  </si>
  <si>
    <t>Copper Scrap</t>
  </si>
  <si>
    <t>MATONF</t>
  </si>
  <si>
    <t>INDFBT</t>
  </si>
  <si>
    <t>Machine Drive</t>
  </si>
  <si>
    <t>INDHPR</t>
  </si>
  <si>
    <t>INDMCD</t>
  </si>
  <si>
    <t>INDOEN</t>
  </si>
  <si>
    <t>Other Energy</t>
  </si>
  <si>
    <t>Share~UP</t>
  </si>
  <si>
    <t>Final Energy Consumption</t>
  </si>
  <si>
    <t>INDOTH</t>
  </si>
  <si>
    <t>Cement</t>
  </si>
  <si>
    <t>INDCEM</t>
  </si>
  <si>
    <t>INDONM</t>
  </si>
  <si>
    <t>Other Non-Metallic</t>
  </si>
  <si>
    <t>MATCEM</t>
  </si>
  <si>
    <t>Input Materials for Cement</t>
  </si>
  <si>
    <t>MATCNK</t>
  </si>
  <si>
    <t>Clinker</t>
  </si>
  <si>
    <t>Fertilizers</t>
  </si>
  <si>
    <t>Petrochemicals</t>
  </si>
  <si>
    <t>Other Agriculture Chemicals</t>
  </si>
  <si>
    <t>Other Chemicals</t>
  </si>
  <si>
    <t>INDFER</t>
  </si>
  <si>
    <t>INDPCH</t>
  </si>
  <si>
    <t>INDACH</t>
  </si>
  <si>
    <t>INDOCH</t>
  </si>
  <si>
    <t>FER</t>
  </si>
  <si>
    <t>PCH</t>
  </si>
  <si>
    <t>ACH</t>
  </si>
  <si>
    <t>OCH</t>
  </si>
  <si>
    <t>INDMIQ</t>
  </si>
  <si>
    <t>Mining &amp; Quarrying</t>
  </si>
  <si>
    <t>FLO_SHAR~UP</t>
  </si>
  <si>
    <t>Process Name</t>
  </si>
  <si>
    <t>Potential</t>
  </si>
  <si>
    <t>MIN</t>
  </si>
  <si>
    <t>Material cost etc.</t>
  </si>
  <si>
    <t>Unit Consumption</t>
  </si>
  <si>
    <t>For PRCs with Material as Output</t>
  </si>
  <si>
    <t>INDISTHTH</t>
  </si>
  <si>
    <t>INDNFMHTH</t>
  </si>
  <si>
    <t>INDFBTHTH</t>
  </si>
  <si>
    <t>PJ/year</t>
  </si>
  <si>
    <t>INDPCHHTH</t>
  </si>
  <si>
    <t>INDOTHHTH</t>
  </si>
  <si>
    <t>volume</t>
  </si>
  <si>
    <t>cm</t>
  </si>
  <si>
    <t>INDNMMHTH</t>
  </si>
  <si>
    <t>Basic Materials needed in the Industrial Processes</t>
  </si>
  <si>
    <t>Material Costs</t>
  </si>
  <si>
    <t>96 M$/Mt Price 2009 http://pubs.usgs.gov/sir/2012/5188/</t>
  </si>
  <si>
    <t>http://www.letsrecycle.com/prices/metals/metals-prices-archive/prices</t>
  </si>
  <si>
    <t>Iron and Steel Industry</t>
  </si>
  <si>
    <t>Non Metalic Minerals Industry</t>
  </si>
  <si>
    <t>Input Share</t>
  </si>
  <si>
    <t>INDOILHFO</t>
  </si>
  <si>
    <t>~COMEMI</t>
  </si>
  <si>
    <t>INDFBTHPR</t>
  </si>
  <si>
    <t>INDOTHHPR</t>
  </si>
  <si>
    <t>INDFBTMCD</t>
  </si>
  <si>
    <t>INDOTHMCD</t>
  </si>
  <si>
    <t>INDFBTOEN</t>
  </si>
  <si>
    <t>INDOTHOEN</t>
  </si>
  <si>
    <t>Capacity for Materials</t>
  </si>
  <si>
    <t>Cost for Material</t>
  </si>
  <si>
    <t>PJa</t>
  </si>
  <si>
    <t>INDCHPAUT_00</t>
  </si>
  <si>
    <t>CHP Autoproducers</t>
  </si>
  <si>
    <t>INDHTHALC_00</t>
  </si>
  <si>
    <t>Allocation of Derived Heat</t>
  </si>
  <si>
    <t xml:space="preserve"> </t>
  </si>
  <si>
    <t>Annual Availability factor</t>
  </si>
  <si>
    <t>GASNAT_CNG</t>
  </si>
  <si>
    <t>Installed Capacity</t>
  </si>
  <si>
    <t>Heat to Power Ratio</t>
  </si>
  <si>
    <t>INDNED</t>
  </si>
  <si>
    <t>Non-Energy Demand</t>
  </si>
  <si>
    <t>Input per unit output</t>
  </si>
  <si>
    <t>OILWHTSP</t>
  </si>
  <si>
    <t>OILWAX</t>
  </si>
  <si>
    <t>Non Energy Use</t>
  </si>
  <si>
    <t>Final Non-Energy Consumption</t>
  </si>
  <si>
    <t>Availability Factor</t>
  </si>
  <si>
    <t>Generic CHP for Industry</t>
  </si>
  <si>
    <t>Relaxation of Input Shares</t>
  </si>
  <si>
    <t>SEASON</t>
  </si>
  <si>
    <t>INDISTSNTE_00</t>
  </si>
  <si>
    <t>INDISTPIRE_00</t>
  </si>
  <si>
    <t>INDISTCSTE_00</t>
  </si>
  <si>
    <t>INDISTBOIE_00</t>
  </si>
  <si>
    <t>INDISTCHPE_00</t>
  </si>
  <si>
    <t>Iron&amp;Steel Sintering</t>
  </si>
  <si>
    <t>Crude Steel Production</t>
  </si>
  <si>
    <t>Finishing Steel</t>
  </si>
  <si>
    <t>Boilers Iron&amp;Steel</t>
  </si>
  <si>
    <t>On-site CHP Iron&amp;Steel</t>
  </si>
  <si>
    <t>INDNFMPCPE_00</t>
  </si>
  <si>
    <t>INDNFMSCPE_00</t>
  </si>
  <si>
    <t>INDDEMFBTE_00</t>
  </si>
  <si>
    <t xml:space="preserve">Boilers </t>
  </si>
  <si>
    <t>INDPCHBOIE_00</t>
  </si>
  <si>
    <t>INDPCHCHPE_00</t>
  </si>
  <si>
    <t>INDDEMMIQE_00</t>
  </si>
  <si>
    <t>Mining and Quarrying Demand Technology</t>
  </si>
  <si>
    <t>INDDEMCONE_00</t>
  </si>
  <si>
    <t>Construction Demand Technology</t>
  </si>
  <si>
    <t>INDDEMOTHE_00</t>
  </si>
  <si>
    <t>2017</t>
  </si>
  <si>
    <t>NFM Base-year energy consumption from Energy Balance (PJ)</t>
  </si>
  <si>
    <t>Fuel Tech -Other bituminous coal (IND)</t>
  </si>
  <si>
    <t>Fuel Tech -Coke oven coke (IND)</t>
  </si>
  <si>
    <t>Fuel Tech -BKB (brown coal briquettes) (IND)</t>
  </si>
  <si>
    <t>Fuel Tech -Diesel (IND)</t>
  </si>
  <si>
    <t>Fuel Tech -Gasoline (IND)</t>
  </si>
  <si>
    <t>Fuel Tech -Liquified petroleum gas (IND)</t>
  </si>
  <si>
    <t>Fuel Tech -Heavy Fuel Oil</t>
  </si>
  <si>
    <t>Fuel Tech -Kerosene (IND)</t>
  </si>
  <si>
    <t>Fuel Tech -Petroleum Coke (IND)</t>
  </si>
  <si>
    <t>Fuel Tech -Other petroleum products (IND)</t>
  </si>
  <si>
    <t>Fuel Tech -Natural Gas (IND)</t>
  </si>
  <si>
    <t>Fuel Tech -Blast Furnace Gas (IND)</t>
  </si>
  <si>
    <t>Fuel Tech -Wood (IND)</t>
  </si>
  <si>
    <t>Fuel Tech -Biogas (IND)</t>
  </si>
  <si>
    <t>Fuel Tech -Charcoal (IND)</t>
  </si>
  <si>
    <t>Fuel Tech -Industrial Waste (IND)</t>
  </si>
  <si>
    <t>Fuel Tech -Electricity (IND)</t>
  </si>
  <si>
    <t xml:space="preserve">Coking coal </t>
  </si>
  <si>
    <t xml:space="preserve">Other bituminous coal </t>
  </si>
  <si>
    <t xml:space="preserve">Coke oven coke </t>
  </si>
  <si>
    <t xml:space="preserve">Coal tar </t>
  </si>
  <si>
    <t xml:space="preserve">BKB (brown coal briquettes) </t>
  </si>
  <si>
    <t xml:space="preserve">Crude Oil </t>
  </si>
  <si>
    <t xml:space="preserve">Natural gas liquids </t>
  </si>
  <si>
    <t xml:space="preserve">Feedstocks </t>
  </si>
  <si>
    <t xml:space="preserve">Refinery gas </t>
  </si>
  <si>
    <t xml:space="preserve">Diesel </t>
  </si>
  <si>
    <t xml:space="preserve">Gasoline </t>
  </si>
  <si>
    <t xml:space="preserve">Aviation Gasoline </t>
  </si>
  <si>
    <t xml:space="preserve">Liquified petroleum gas </t>
  </si>
  <si>
    <t xml:space="preserve">Low Sulphur Fuel Oil </t>
  </si>
  <si>
    <t xml:space="preserve">High Sulphur Fuel Oil </t>
  </si>
  <si>
    <t xml:space="preserve">Kerosene </t>
  </si>
  <si>
    <t xml:space="preserve">Naphtha </t>
  </si>
  <si>
    <t xml:space="preserve">Petroleum Coke </t>
  </si>
  <si>
    <t xml:space="preserve">Bitumen </t>
  </si>
  <si>
    <t xml:space="preserve">Lubricants </t>
  </si>
  <si>
    <t xml:space="preserve">Other petroleum products </t>
  </si>
  <si>
    <t xml:space="preserve">Natural Gas </t>
  </si>
  <si>
    <t xml:space="preserve">Blast Furnace Gas </t>
  </si>
  <si>
    <t xml:space="preserve">Wood </t>
  </si>
  <si>
    <t xml:space="preserve">Municipal waste </t>
  </si>
  <si>
    <t xml:space="preserve">Industrial Waste </t>
  </si>
  <si>
    <t xml:space="preserve">Animal waste </t>
  </si>
  <si>
    <t xml:space="preserve">Biodiesel </t>
  </si>
  <si>
    <t xml:space="preserve">Bioethanol </t>
  </si>
  <si>
    <t xml:space="preserve">Biogas </t>
  </si>
  <si>
    <t xml:space="preserve">Pellet </t>
  </si>
  <si>
    <t xml:space="preserve">Charcoal </t>
  </si>
  <si>
    <t xml:space="preserve">Hydro Energy </t>
  </si>
  <si>
    <t xml:space="preserve">Solar Energy </t>
  </si>
  <si>
    <t xml:space="preserve">Wind Energy </t>
  </si>
  <si>
    <t xml:space="preserve">Geothermal Energy </t>
  </si>
  <si>
    <t xml:space="preserve">Nuclear Fuel </t>
  </si>
  <si>
    <t xml:space="preserve">Coke oven coke (IND) </t>
  </si>
  <si>
    <t xml:space="preserve">Coal tar (IND) </t>
  </si>
  <si>
    <t xml:space="preserve">BKB (brown coal briquettes) (IND) </t>
  </si>
  <si>
    <t xml:space="preserve">Diesel (IND) </t>
  </si>
  <si>
    <t xml:space="preserve">Gasoline (IND) </t>
  </si>
  <si>
    <t xml:space="preserve">Liquified petroleum gas (IND) </t>
  </si>
  <si>
    <t xml:space="preserve">Low Sulphur Fuel Oil (IND) </t>
  </si>
  <si>
    <t xml:space="preserve">High Sulphur Fuel Oil (IND) </t>
  </si>
  <si>
    <t xml:space="preserve">Kerosene (IND) </t>
  </si>
  <si>
    <t xml:space="preserve">Naphtha (IND) </t>
  </si>
  <si>
    <t xml:space="preserve">Petroleum Coke (IND) </t>
  </si>
  <si>
    <t xml:space="preserve">Other petroleum products (IND) </t>
  </si>
  <si>
    <t xml:space="preserve">Natural Gas (IND) </t>
  </si>
  <si>
    <t xml:space="preserve">Blast Furnace Gas (IND) </t>
  </si>
  <si>
    <t xml:space="preserve">Wood (IND) </t>
  </si>
  <si>
    <t xml:space="preserve">Municipal waste (IND) </t>
  </si>
  <si>
    <t xml:space="preserve">Industrial Waste (IND) </t>
  </si>
  <si>
    <t xml:space="preserve">Pure Bioethanol (IND) </t>
  </si>
  <si>
    <t xml:space="preserve">Biodiesel (IND) </t>
  </si>
  <si>
    <t xml:space="preserve">Bioethanol (IND) </t>
  </si>
  <si>
    <t xml:space="preserve">Biogas (IND) </t>
  </si>
  <si>
    <t xml:space="preserve">Pellet (IND) </t>
  </si>
  <si>
    <t xml:space="preserve">Charcoal (IND) </t>
  </si>
  <si>
    <t xml:space="preserve">Hydro Energy (IND) </t>
  </si>
  <si>
    <t xml:space="preserve">Solar Energy (IND) </t>
  </si>
  <si>
    <t xml:space="preserve">Wind Energy (IND) </t>
  </si>
  <si>
    <t xml:space="preserve">Geothermal Energy (IND) </t>
  </si>
  <si>
    <t xml:space="preserve">Electricity (SUP) </t>
  </si>
  <si>
    <t xml:space="preserve">Electricity (IND) </t>
  </si>
  <si>
    <t xml:space="preserve">High Temperature Heat (IND) </t>
  </si>
  <si>
    <t xml:space="preserve">Medium-Low Voltage electricity </t>
  </si>
  <si>
    <t xml:space="preserve">High pressure natural gas </t>
  </si>
  <si>
    <t xml:space="preserve">Medium pressure natural gas </t>
  </si>
  <si>
    <t xml:space="preserve">Low pressure natural gas </t>
  </si>
  <si>
    <t xml:space="preserve">Compressed Natural Gas </t>
  </si>
  <si>
    <t xml:space="preserve">Heavy Fuel Oil </t>
  </si>
  <si>
    <t xml:space="preserve">Heat for industrial processes </t>
  </si>
  <si>
    <t xml:space="preserve">Machine Drive for industrial purposes </t>
  </si>
  <si>
    <t xml:space="preserve">Other industrial energy consuming processes </t>
  </si>
  <si>
    <t xml:space="preserve">High Temperature Heat (Iron&amp;Steel) </t>
  </si>
  <si>
    <t xml:space="preserve">High Temperature Heat (Non-Ferrous Metals) </t>
  </si>
  <si>
    <t xml:space="preserve">High Temperature Heat (Food Beverage &amp; Tobacco) </t>
  </si>
  <si>
    <t xml:space="preserve">High Temperature Heat (Chemical) </t>
  </si>
  <si>
    <t xml:space="preserve">High Temperature Heat (Other) </t>
  </si>
  <si>
    <t xml:space="preserve">High Temperature Heat (NonMetalic Minerals) </t>
  </si>
  <si>
    <t xml:space="preserve">White spirit and SBP </t>
  </si>
  <si>
    <t xml:space="preserve">Paraffin Waxes </t>
  </si>
  <si>
    <t>PCH Base-year energy consumption from Energy Balance (PJ)</t>
  </si>
  <si>
    <t xml:space="preserve">Fertilizers </t>
  </si>
  <si>
    <t xml:space="preserve">Petrochemicals </t>
  </si>
  <si>
    <t xml:space="preserve">Other Agriculture Chemicals </t>
  </si>
  <si>
    <t xml:space="preserve">Other Chemicals </t>
  </si>
  <si>
    <t xml:space="preserve">onsite CHP </t>
  </si>
  <si>
    <t>M&amp;Q Base-year energy consumption from Energy Balance (PJ)</t>
  </si>
  <si>
    <t>INDNED_E00</t>
  </si>
  <si>
    <t>INDCOABCO</t>
  </si>
  <si>
    <t xml:space="preserve">BrownCoal/Lignite (IND) </t>
  </si>
  <si>
    <t>Bituminous coal (IND)</t>
  </si>
  <si>
    <t>Sub-bituminous coal (IND)</t>
  </si>
  <si>
    <t>INDCOASUB</t>
  </si>
  <si>
    <t>Construction energy consumption from Energy Balance (PJ)</t>
  </si>
  <si>
    <t>Aluminium</t>
  </si>
  <si>
    <t>INDNFMHRAE_00</t>
  </si>
  <si>
    <t>INDNFMHAAE_00</t>
  </si>
  <si>
    <t>Recycled Production Aluminium</t>
  </si>
  <si>
    <t>INDNFMRCAE_00</t>
  </si>
  <si>
    <t>Finishing Aluminium</t>
  </si>
  <si>
    <t>INDALU</t>
  </si>
  <si>
    <t>Bituminous coal</t>
  </si>
  <si>
    <t>Sub-bituminous coal</t>
  </si>
  <si>
    <t>MATBAU</t>
  </si>
  <si>
    <t>Aluminium (Bauxite)</t>
  </si>
  <si>
    <t>Aluminium (Crude)</t>
  </si>
  <si>
    <t>MATCAL</t>
  </si>
  <si>
    <t>MATSCR</t>
  </si>
  <si>
    <t>Aluminium (Scrap)</t>
  </si>
  <si>
    <t>Non-metallic Minerals Base-year energy consumption from Energy Balance (PJ)</t>
  </si>
  <si>
    <t>Other Non Metallic Minerals</t>
  </si>
  <si>
    <t>Break down of Final energy consumption (PJ)</t>
  </si>
  <si>
    <t>Check:</t>
  </si>
  <si>
    <t>Shares of Final energy consumption by end-use for Other Non-Metallic Minerals</t>
  </si>
  <si>
    <t>INDNMM</t>
  </si>
  <si>
    <t>INDNMMSTM</t>
  </si>
  <si>
    <t>Steam</t>
  </si>
  <si>
    <t>INDNMMHPR</t>
  </si>
  <si>
    <t>Process Heat</t>
  </si>
  <si>
    <t>INDNMMMCD</t>
  </si>
  <si>
    <t>INDNMMOEN</t>
  </si>
  <si>
    <t>Check</t>
  </si>
  <si>
    <t>Consumption of Final energy consumption by end-use (PJ)</t>
  </si>
  <si>
    <t>Base-year technologies for Other Non Metallic Minerals Industry</t>
  </si>
  <si>
    <t>Demand Technology</t>
  </si>
  <si>
    <t>Pja</t>
  </si>
  <si>
    <t>Input~2050</t>
  </si>
  <si>
    <t>*Technology Name</t>
  </si>
  <si>
    <t>Service Demand</t>
  </si>
  <si>
    <t>\I: Total</t>
  </si>
  <si>
    <t>Steam Boilers</t>
  </si>
  <si>
    <t>INDDEMONME_00</t>
  </si>
  <si>
    <t>Other Non Metallic Minerals Industry Demand Technology</t>
  </si>
  <si>
    <t>Stock</t>
  </si>
  <si>
    <t>Life</t>
  </si>
  <si>
    <t>Cap2Act</t>
  </si>
  <si>
    <t>AFA</t>
  </si>
  <si>
    <t>Final Energy</t>
  </si>
  <si>
    <t>Process Heat Technologies</t>
  </si>
  <si>
    <t>Machine Drive Technologies</t>
  </si>
  <si>
    <t>Other Energy Technologies</t>
  </si>
  <si>
    <t>Cement production</t>
  </si>
  <si>
    <t>Mt</t>
  </si>
  <si>
    <t>Finishing Technology</t>
  </si>
  <si>
    <t>INDDEMCEME_00</t>
  </si>
  <si>
    <t>Cement Finishing Technology</t>
  </si>
  <si>
    <t>Mt/year</t>
  </si>
  <si>
    <t>Cement Industry Data:</t>
  </si>
  <si>
    <t>PJ HFO/Mton Clinker</t>
  </si>
  <si>
    <t>Total Clinker Production Capacity:</t>
  </si>
  <si>
    <t>Base-year technologies for clincker production</t>
  </si>
  <si>
    <t>Eur/ton</t>
  </si>
  <si>
    <t>Base-year generic technology for process kilns</t>
  </si>
  <si>
    <t>Brown Coal / Lignite</t>
  </si>
  <si>
    <t>INDLTH</t>
  </si>
  <si>
    <t>Food Beverage and Tobacco Industry Balance and Callibration</t>
  </si>
  <si>
    <t>Food Beverage and Tobacco</t>
  </si>
  <si>
    <t>Shares of Final energy consumption by end-use</t>
  </si>
  <si>
    <t>INDFBTSTM</t>
  </si>
  <si>
    <t>Food Beverage and Tobacco Industry Technologies and Demands for the Base Year</t>
  </si>
  <si>
    <t>Base-year technologies for FBT Industry</t>
  </si>
  <si>
    <t>Food Beverage&amp;Tobacco Industry Demand Technology</t>
  </si>
  <si>
    <t>Other (Industry)</t>
  </si>
  <si>
    <t>INDOTHSTM</t>
  </si>
  <si>
    <t>Other Industry Technologies and Demands for the Base Year</t>
  </si>
  <si>
    <t>Base-year technologies for Other Industry</t>
  </si>
  <si>
    <t>Other Industry Demand Technology</t>
  </si>
  <si>
    <t>INDCEMPRC</t>
  </si>
  <si>
    <t>INDONMSTM</t>
  </si>
  <si>
    <t>INDONMHPR</t>
  </si>
  <si>
    <t>INDONMMCD</t>
  </si>
  <si>
    <t>INDONMOEN</t>
  </si>
  <si>
    <t>Other Industry</t>
  </si>
  <si>
    <t>Process Heat (Food Beverage &amp; Tobacco)</t>
  </si>
  <si>
    <t>Process Heat (Other)</t>
  </si>
  <si>
    <t>Process Heat  (NonMetalic Minerals)</t>
  </si>
  <si>
    <t>Machine Drive (Food Beverage &amp; Tobacco)</t>
  </si>
  <si>
    <t>Machine Drive (Other)</t>
  </si>
  <si>
    <t>Machine Drive (NonMetalic Minerals)</t>
  </si>
  <si>
    <t>Other Energy Use (Food Beverage &amp; Tobacco)</t>
  </si>
  <si>
    <t>Other Energy Use (Other)</t>
  </si>
  <si>
    <t>Other Energy Use (NonMetalic Minerals)</t>
  </si>
  <si>
    <t>Cement Process Heat</t>
  </si>
  <si>
    <t>Steam (Food Beverage &amp; Tobacco)</t>
  </si>
  <si>
    <t>Steam (Other)</t>
  </si>
  <si>
    <t>Steam (NonMetalic Minerals)</t>
  </si>
  <si>
    <t>Sub-bituminous</t>
  </si>
  <si>
    <t>ktoe</t>
  </si>
  <si>
    <t>INDCON</t>
  </si>
  <si>
    <t>Mta</t>
  </si>
  <si>
    <t>M$</t>
  </si>
  <si>
    <t>$/GJ</t>
  </si>
  <si>
    <t>$/GJ/a</t>
  </si>
  <si>
    <t>M$/GW/Year</t>
  </si>
  <si>
    <t>M$/PJ</t>
  </si>
  <si>
    <t>M$/Mt/a</t>
  </si>
  <si>
    <t>$/KW/Year</t>
  </si>
  <si>
    <t>Minning of Iron Ore</t>
  </si>
  <si>
    <t>Minning of Input Materials for Cement</t>
  </si>
  <si>
    <t>Minning of Copper Ore</t>
  </si>
  <si>
    <t>Minning of Copper Scrap</t>
  </si>
  <si>
    <t>Minning of Lead Ore</t>
  </si>
  <si>
    <t>Minning of Other Non-Ferrous</t>
  </si>
  <si>
    <t>Minning of Zinc Ore</t>
  </si>
  <si>
    <t>Minning of Bauxite</t>
  </si>
  <si>
    <t>Minning of Scrap</t>
  </si>
  <si>
    <t>COABCO</t>
  </si>
  <si>
    <t>Brown Coal/Lignite</t>
  </si>
  <si>
    <t>COASUB</t>
  </si>
  <si>
    <t xml:space="preserve">Sub-bituminous coal </t>
  </si>
  <si>
    <t>COACOK</t>
  </si>
  <si>
    <t>Fuel Tech -Sub-bituminous coal (IND)</t>
  </si>
  <si>
    <t>Fuel Tech -Brown Coal/Lignite  (IND)</t>
  </si>
  <si>
    <t>INDDEMISTFSTE_00</t>
  </si>
  <si>
    <t>INDDEMNFMFALE_00</t>
  </si>
  <si>
    <t>INDDEMNFMFCPE_00</t>
  </si>
  <si>
    <t>INDDEMNFMLEDE_00</t>
  </si>
  <si>
    <t>INDDEMNFMZNCE_00</t>
  </si>
  <si>
    <t>INDDEMNFMONFE_00</t>
  </si>
  <si>
    <t>INDDEMPCHFERE_00</t>
  </si>
  <si>
    <t>INDDENPCHPCHE_00</t>
  </si>
  <si>
    <t>INDDEMPCHACHE_00</t>
  </si>
  <si>
    <t>INDDEMPCHOCHE_00</t>
  </si>
  <si>
    <t>Solids</t>
  </si>
  <si>
    <t>Residual fuel oil</t>
  </si>
  <si>
    <t>Natural gas (incl. biogas)</t>
  </si>
  <si>
    <t>Derived gases</t>
  </si>
  <si>
    <t>Coke</t>
  </si>
  <si>
    <t>Diesel oil (incl. biofuels)</t>
  </si>
  <si>
    <t>Steel: Furnaces, Refining and Rolling - Electric</t>
  </si>
  <si>
    <t>Range:</t>
  </si>
  <si>
    <t>Steam distributed</t>
  </si>
  <si>
    <t>Steel: Products finishing - Electric</t>
  </si>
  <si>
    <t>Other liquids</t>
  </si>
  <si>
    <t>Biomass</t>
  </si>
  <si>
    <t>Elc</t>
  </si>
  <si>
    <t>Oil</t>
  </si>
  <si>
    <t>Oil products</t>
  </si>
  <si>
    <t>Entire process chain</t>
  </si>
  <si>
    <t>Inputs</t>
  </si>
  <si>
    <t>MATFSC</t>
  </si>
  <si>
    <t>Ferrous (Scrap)</t>
  </si>
  <si>
    <t>MATPIR2</t>
  </si>
  <si>
    <t>Ferrous (EAF)</t>
  </si>
  <si>
    <t>Minning of Ferrous Scrap</t>
  </si>
  <si>
    <t>Fossils ONLY</t>
  </si>
  <si>
    <t>OILHFO</t>
  </si>
  <si>
    <t>Calibration</t>
  </si>
  <si>
    <t>Fuel Tech - refinery gas (IND)</t>
  </si>
  <si>
    <t xml:space="preserve">Refinery gas (IND) </t>
  </si>
  <si>
    <t>PRW</t>
  </si>
  <si>
    <t>INDMIQHTH</t>
  </si>
  <si>
    <t xml:space="preserve">High Temperature Heat (mining and quarrying) </t>
  </si>
  <si>
    <t>INDCONHTH</t>
  </si>
  <si>
    <t xml:space="preserve">High Temperature Heat (Construction) </t>
  </si>
  <si>
    <t>Metallurgical industry</t>
  </si>
  <si>
    <t>Ferrous metallurgy</t>
  </si>
  <si>
    <t>Ferroalloys, tons</t>
  </si>
  <si>
    <t>out of him:</t>
  </si>
  <si>
    <t>ferrochrome, tons</t>
  </si>
  <si>
    <t>ferrosilicon manganese, tons</t>
  </si>
  <si>
    <t>Unrefined steel, tons</t>
  </si>
  <si>
    <t>including:</t>
  </si>
  <si>
    <t>unalloyed steel in ingots or forms in the primary others and semi-finished products from carbon steel (unalloyed), tons</t>
  </si>
  <si>
    <t>from it: carbon electrostal, tons</t>
  </si>
  <si>
    <t>alloy steel in ingots or forms in the primary others and semi-finished alloy steel, tons</t>
  </si>
  <si>
    <t>Pig Iron Production (and ferrochrome smelting)</t>
  </si>
  <si>
    <t>2017 - Local data</t>
  </si>
  <si>
    <t>Production of basic precious and non-ferrous metals</t>
  </si>
  <si>
    <t>Silver raw and semi-finished or in powder form, kg</t>
  </si>
  <si>
    <t>Gold raw and semi-processed or in powder form, kg</t>
  </si>
  <si>
    <t>Untreated aluminum; aluminum oxide, tons</t>
  </si>
  <si>
    <t>Primary untreated unalloyed aluminum, tons</t>
  </si>
  <si>
    <t>Raw lead, refined, tons</t>
  </si>
  <si>
    <t>Raw zinc, tons</t>
  </si>
  <si>
    <t>Unrefined, unalloyed unrefined copper, tons</t>
  </si>
  <si>
    <t>Other non-ferrous metals and products from them; cermets, ash and residues containing metals or metal compounds, tons</t>
  </si>
  <si>
    <t>2016</t>
  </si>
  <si>
    <t>Inlcuding consumption for alumina production</t>
  </si>
  <si>
    <t>Hall Heroult Regular Aluminium (smelting)</t>
  </si>
  <si>
    <t>Hall Heroult.Point Feeders (Advanced) Aluminium (smelting)</t>
  </si>
  <si>
    <t>Final products, tons</t>
  </si>
  <si>
    <t>Other comments</t>
  </si>
  <si>
    <t>Cement clinkers, thousand tons</t>
  </si>
  <si>
    <t>Portland cement (other than white), thousand tons</t>
  </si>
  <si>
    <t>2017-Local data</t>
  </si>
  <si>
    <t>Clinker to Cement ratio at 0.75 as a standard</t>
  </si>
  <si>
    <t>Production</t>
  </si>
  <si>
    <t>Heat</t>
  </si>
  <si>
    <t>Flats+pipes+rods,..</t>
  </si>
  <si>
    <t>PJ / Mton Clinker</t>
  </si>
  <si>
    <t>PJ Others/Mton Clinker</t>
  </si>
  <si>
    <t>kWh/kg</t>
  </si>
  <si>
    <t>electricity</t>
  </si>
  <si>
    <t>HTH</t>
  </si>
  <si>
    <t>assumptions</t>
  </si>
  <si>
    <t>Other Non-Ferrous Production</t>
  </si>
  <si>
    <t>Derived gases (net)</t>
  </si>
  <si>
    <t>Other elc uses</t>
  </si>
  <si>
    <t>Finishing OLNY (additional inputs to close the balance are NEEDED)</t>
  </si>
  <si>
    <t>ELCHIG2</t>
  </si>
  <si>
    <t>From Balance</t>
  </si>
  <si>
    <t>FX</t>
  </si>
  <si>
    <t>CEH</t>
  </si>
  <si>
    <t>Electricity loss to heat gain</t>
  </si>
  <si>
    <t>INDELEAUT_00</t>
  </si>
  <si>
    <t>ELE Autoproducers</t>
  </si>
  <si>
    <t>Autoproducer CHP/ELE Plants</t>
  </si>
  <si>
    <t>Comm-IN-A</t>
  </si>
  <si>
    <t>NCAP_PASTY</t>
  </si>
  <si>
    <t>AFA~LO</t>
  </si>
  <si>
    <t>PRC_RESID~2050</t>
  </si>
  <si>
    <t>Share~UP~2050</t>
  </si>
  <si>
    <t>INDHTHALC_01</t>
  </si>
  <si>
    <t>Allocation of Derived Heat-1</t>
  </si>
  <si>
    <t>START</t>
  </si>
  <si>
    <t>RDM: no CHPs in Subres</t>
  </si>
  <si>
    <t>Azerbaijan</t>
  </si>
  <si>
    <t>National data (.18Mt from worldsteel)</t>
  </si>
  <si>
    <t>Other Industry Balance and Calibration</t>
  </si>
  <si>
    <t>kt</t>
  </si>
  <si>
    <t>kt/Year</t>
  </si>
  <si>
    <t>M$/kt/a</t>
  </si>
  <si>
    <t>M$/kt</t>
  </si>
  <si>
    <t>PJ/kt</t>
  </si>
  <si>
    <t>kta</t>
  </si>
  <si>
    <t>INDH2G</t>
  </si>
  <si>
    <t>Hydrogen for Industry (Gas)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</si>
</sst>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43" formatCode="_-* #,##0.00_-;\-* #,##0.00_-;_-* &quot;-&quot;??_-;_-@_-"/>
    <numFmt numFmtId="164" formatCode="0.000"/>
    <numFmt numFmtId="165" formatCode="\Te\x\t"/>
    <numFmt numFmtId="166" formatCode="0.0"/>
    <numFmt numFmtId="167" formatCode="#,##0.000;\-#,##0.000;&quot;&quot;"/>
    <numFmt numFmtId="168" formatCode="0.00000"/>
    <numFmt numFmtId="169" formatCode="0.0000"/>
    <numFmt numFmtId="170" formatCode="#,##0.00;\-#,##0.00;&quot;&quot;"/>
    <numFmt numFmtId="171" formatCode="_ * #,##0.00_ ;_ * \-#,##0.00_ ;_ * &quot;-&quot;??_ ;_ @_ "/>
    <numFmt numFmtId="172" formatCode="_-[$€]* #,##0.00_-;\-[$€]* #,##0.00_-;_-[$€]* &quot;-&quot;??_-;_-@_-"/>
    <numFmt numFmtId="173" formatCode="_-[$€-2]* #,##0.00_-;\-[$€-2]* #,##0.00_-;_-[$€-2]* &quot;-&quot;??_-"/>
    <numFmt numFmtId="174" formatCode="_ * #,##0_ ;_ * \-#,##0_ ;_ * &quot;-&quot;_ ;_ @_ "/>
    <numFmt numFmtId="175" formatCode="_ &quot;kr&quot;\ * #,##0_ ;_ &quot;kr&quot;\ * \-#,##0_ ;_ &quot;kr&quot;\ * &quot;-&quot;_ ;_ @_ "/>
    <numFmt numFmtId="176" formatCode="_ &quot;kr&quot;\ * #,##0.00_ ;_ &quot;kr&quot;\ * \-#,##0.00_ ;_ &quot;kr&quot;\ * &quot;-&quot;??_ ;_ @_ "/>
    <numFmt numFmtId="177" formatCode="#,##0;\-#,##0;&quot;&quot;"/>
    <numFmt numFmtId="178" formatCode="#,##0.000_ ;\-#,##0.000\ "/>
    <numFmt numFmtId="179" formatCode="#,##0.00000;\-#,##0.00000;&quot;&quot;"/>
    <numFmt numFmtId="180" formatCode="0.00000000000"/>
    <numFmt numFmtId="181" formatCode="0.00000000E+00"/>
    <numFmt numFmtId="182" formatCode="0.0_)"/>
    <numFmt numFmtId="183" formatCode="0.000_)"/>
    <numFmt numFmtId="184" formatCode="_-* #,##0.0000_-;\-* #,##0.0000_-;_-* &quot;-&quot;??_-;_-@_-"/>
    <numFmt numFmtId="185" formatCode="_-* #,##0.00000_-;\-* #,##0.00000_-;_-* &quot;-&quot;??_-;_-@_-"/>
    <numFmt numFmtId="186" formatCode="#,##0.0;\-#,##0.0;&quot;&quot;"/>
    <numFmt numFmtId="187" formatCode="0.0000000"/>
  </numFmts>
  <fonts count="67" x14ac:knownFonts="1">
    <font>
      <sz val="10"/>
      <name val="Arial"/>
    </font>
    <font>
      <sz val="10"/>
      <name val="Arial"/>
      <family val="2"/>
      <charset val="161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sz val="8"/>
      <color indexed="8"/>
      <name val="Arial"/>
      <family val="2"/>
    </font>
    <font>
      <b/>
      <sz val="8"/>
      <color indexed="81"/>
      <name val="Tahoma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b/>
      <sz val="8"/>
      <color indexed="8"/>
      <name val="Arial"/>
      <family val="2"/>
    </font>
    <font>
      <sz val="6"/>
      <color indexed="8"/>
      <name val="Arial"/>
      <family val="2"/>
    </font>
    <font>
      <b/>
      <i/>
      <sz val="8"/>
      <color indexed="8"/>
      <name val="Arial"/>
      <family val="2"/>
    </font>
    <font>
      <i/>
      <sz val="8"/>
      <color indexed="8"/>
      <name val="Arial"/>
      <family val="2"/>
    </font>
    <font>
      <i/>
      <sz val="6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161"/>
    </font>
    <font>
      <sz val="10"/>
      <name val="Helvetica"/>
      <family val="2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b/>
      <sz val="12"/>
      <name val="Arial"/>
      <family val="2"/>
    </font>
    <font>
      <sz val="8"/>
      <color indexed="9"/>
      <name val="Arial"/>
      <family val="2"/>
      <charset val="161"/>
    </font>
    <font>
      <sz val="8"/>
      <color indexed="9"/>
      <name val="Arial"/>
      <family val="2"/>
    </font>
    <font>
      <b/>
      <sz val="8"/>
      <name val="Arial"/>
      <family val="2"/>
      <charset val="161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indexed="81"/>
      <name val="Tahoma"/>
      <family val="2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4"/>
      <name val="Arial"/>
      <family val="2"/>
    </font>
    <font>
      <sz val="8"/>
      <name val="Arial"/>
      <family val="2"/>
    </font>
    <font>
      <b/>
      <sz val="8"/>
      <color theme="0" tint="-0.249977111117893"/>
      <name val="Arial"/>
      <family val="2"/>
    </font>
    <font>
      <sz val="8"/>
      <color theme="0" tint="-0.249977111117893"/>
      <name val="Arial"/>
      <family val="2"/>
    </font>
    <font>
      <i/>
      <sz val="8"/>
      <color theme="0" tint="-0.249977111117893"/>
      <name val="Arial"/>
      <family val="2"/>
    </font>
    <font>
      <sz val="8"/>
      <color rgb="FFFF0000"/>
      <name val="Arial"/>
      <family val="2"/>
    </font>
    <font>
      <i/>
      <sz val="8"/>
      <color rgb="FFFF000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theme="9" tint="0.59996337778862885"/>
        <bgColor theme="9" tint="0.5999633777886288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thin">
        <color indexed="8"/>
      </bottom>
      <diagonal/>
    </border>
    <border>
      <left/>
      <right/>
      <top style="hair">
        <color indexed="22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2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/>
      <bottom style="hair">
        <color indexed="22"/>
      </bottom>
      <diagonal/>
    </border>
    <border>
      <left style="thin">
        <color indexed="64"/>
      </left>
      <right/>
      <top style="hair">
        <color indexed="22"/>
      </top>
      <bottom style="hair">
        <color indexed="22"/>
      </bottom>
      <diagonal/>
    </border>
    <border>
      <left style="thin">
        <color indexed="64"/>
      </left>
      <right/>
      <top style="hair">
        <color indexed="22"/>
      </top>
      <bottom style="thin">
        <color indexed="8"/>
      </bottom>
      <diagonal/>
    </border>
    <border>
      <left style="thin">
        <color indexed="64"/>
      </left>
      <right/>
      <top style="hair">
        <color indexed="22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425">
    <xf numFmtId="0" fontId="0" fillId="0" borderId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5" borderId="0" applyNumberFormat="0" applyBorder="0" applyAlignment="0" applyProtection="0"/>
    <xf numFmtId="0" fontId="15" fillId="8" borderId="0" applyNumberFormat="0" applyBorder="0" applyAlignment="0" applyProtection="0"/>
    <xf numFmtId="0" fontId="15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2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44" fillId="29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9" borderId="0" applyNumberFormat="0" applyBorder="0" applyAlignment="0" applyProtection="0"/>
    <xf numFmtId="0" fontId="28" fillId="20" borderId="1" applyNumberFormat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8" fillId="20" borderId="2" applyNumberFormat="0" applyAlignment="0" applyProtection="0"/>
    <xf numFmtId="0" fontId="18" fillId="20" borderId="2" applyNumberFormat="0" applyAlignment="0" applyProtection="0"/>
    <xf numFmtId="0" fontId="18" fillId="20" borderId="2" applyNumberFormat="0" applyAlignment="0" applyProtection="0"/>
    <xf numFmtId="0" fontId="18" fillId="20" borderId="2" applyNumberFormat="0" applyAlignment="0" applyProtection="0"/>
    <xf numFmtId="0" fontId="18" fillId="20" borderId="2" applyNumberFormat="0" applyAlignment="0" applyProtection="0"/>
    <xf numFmtId="0" fontId="18" fillId="20" borderId="2" applyNumberFormat="0" applyAlignment="0" applyProtection="0"/>
    <xf numFmtId="0" fontId="18" fillId="20" borderId="2" applyNumberFormat="0" applyAlignment="0" applyProtection="0"/>
    <xf numFmtId="0" fontId="18" fillId="20" borderId="2" applyNumberFormat="0" applyAlignment="0" applyProtection="0"/>
    <xf numFmtId="0" fontId="18" fillId="20" borderId="2" applyNumberFormat="0" applyAlignment="0" applyProtection="0"/>
    <xf numFmtId="0" fontId="18" fillId="20" borderId="2" applyNumberFormat="0" applyAlignment="0" applyProtection="0"/>
    <xf numFmtId="0" fontId="18" fillId="20" borderId="2" applyNumberFormat="0" applyAlignment="0" applyProtection="0"/>
    <xf numFmtId="0" fontId="18" fillId="20" borderId="2" applyNumberFormat="0" applyAlignment="0" applyProtection="0"/>
    <xf numFmtId="0" fontId="18" fillId="20" borderId="2" applyNumberFormat="0" applyAlignment="0" applyProtection="0"/>
    <xf numFmtId="0" fontId="18" fillId="20" borderId="2" applyNumberFormat="0" applyAlignment="0" applyProtection="0"/>
    <xf numFmtId="0" fontId="18" fillId="20" borderId="2" applyNumberFormat="0" applyAlignment="0" applyProtection="0"/>
    <xf numFmtId="0" fontId="18" fillId="20" borderId="2" applyNumberFormat="0" applyAlignment="0" applyProtection="0"/>
    <xf numFmtId="0" fontId="19" fillId="21" borderId="3" applyNumberFormat="0" applyAlignment="0" applyProtection="0"/>
    <xf numFmtId="0" fontId="19" fillId="21" borderId="3" applyNumberFormat="0" applyAlignment="0" applyProtection="0"/>
    <xf numFmtId="0" fontId="19" fillId="21" borderId="3" applyNumberFormat="0" applyAlignment="0" applyProtection="0"/>
    <xf numFmtId="0" fontId="19" fillId="21" borderId="3" applyNumberFormat="0" applyAlignment="0" applyProtection="0"/>
    <xf numFmtId="0" fontId="19" fillId="21" borderId="3" applyNumberFormat="0" applyAlignment="0" applyProtection="0"/>
    <xf numFmtId="0" fontId="19" fillId="21" borderId="3" applyNumberFormat="0" applyAlignment="0" applyProtection="0"/>
    <xf numFmtId="0" fontId="19" fillId="21" borderId="3" applyNumberFormat="0" applyAlignment="0" applyProtection="0"/>
    <xf numFmtId="0" fontId="19" fillId="21" borderId="3" applyNumberFormat="0" applyAlignment="0" applyProtection="0"/>
    <xf numFmtId="0" fontId="19" fillId="21" borderId="3" applyNumberFormat="0" applyAlignment="0" applyProtection="0"/>
    <xf numFmtId="0" fontId="19" fillId="21" borderId="3" applyNumberFormat="0" applyAlignment="0" applyProtection="0"/>
    <xf numFmtId="0" fontId="19" fillId="21" borderId="3" applyNumberFormat="0" applyAlignment="0" applyProtection="0"/>
    <xf numFmtId="0" fontId="19" fillId="21" borderId="3" applyNumberFormat="0" applyAlignment="0" applyProtection="0"/>
    <xf numFmtId="0" fontId="19" fillId="21" borderId="3" applyNumberFormat="0" applyAlignment="0" applyProtection="0"/>
    <xf numFmtId="0" fontId="19" fillId="21" borderId="3" applyNumberFormat="0" applyAlignment="0" applyProtection="0"/>
    <xf numFmtId="0" fontId="19" fillId="21" borderId="3" applyNumberFormat="0" applyAlignment="0" applyProtection="0"/>
    <xf numFmtId="43" fontId="4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71" fontId="32" fillId="0" borderId="0" applyFont="0" applyFill="0" applyBorder="0" applyAlignment="0" applyProtection="0"/>
    <xf numFmtId="171" fontId="32" fillId="0" borderId="0" applyFont="0" applyFill="0" applyBorder="0" applyAlignment="0" applyProtection="0"/>
    <xf numFmtId="171" fontId="32" fillId="0" borderId="0" applyFont="0" applyFill="0" applyBorder="0" applyAlignment="0" applyProtection="0"/>
    <xf numFmtId="171" fontId="32" fillId="0" borderId="0" applyFont="0" applyFill="0" applyBorder="0" applyAlignment="0" applyProtection="0"/>
    <xf numFmtId="171" fontId="32" fillId="0" borderId="0" applyFont="0" applyFill="0" applyBorder="0" applyAlignment="0" applyProtection="0"/>
    <xf numFmtId="171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25" fillId="7" borderId="2" applyNumberFormat="0" applyAlignment="0" applyProtection="0"/>
    <xf numFmtId="0" fontId="30" fillId="0" borderId="4" applyNumberFormat="0" applyFill="0" applyAlignment="0" applyProtection="0"/>
    <xf numFmtId="0" fontId="20" fillId="0" borderId="0" applyNumberFormat="0" applyFill="0" applyBorder="0" applyAlignment="0" applyProtection="0"/>
    <xf numFmtId="172" fontId="32" fillId="0" borderId="0" applyFont="0" applyFill="0" applyBorder="0" applyAlignment="0" applyProtection="0"/>
    <xf numFmtId="172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172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172" fontId="32" fillId="0" borderId="0" applyFont="0" applyFill="0" applyBorder="0" applyAlignment="0" applyProtection="0"/>
    <xf numFmtId="172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32" fillId="0" borderId="0" applyFont="0" applyFill="0" applyBorder="0" applyAlignment="0" applyProtection="0"/>
    <xf numFmtId="11" fontId="32" fillId="0" borderId="0" applyFont="0" applyFill="0" applyBorder="0" applyAlignment="0" applyProtection="0"/>
    <xf numFmtId="11" fontId="32" fillId="0" borderId="0" applyFont="0" applyFill="0" applyBorder="0" applyAlignment="0" applyProtection="0"/>
    <xf numFmtId="11" fontId="32" fillId="0" borderId="0" applyFont="0" applyFill="0" applyBorder="0" applyAlignment="0" applyProtection="0"/>
    <xf numFmtId="11" fontId="32" fillId="0" borderId="0" applyFont="0" applyFill="0" applyBorder="0" applyAlignment="0" applyProtection="0"/>
    <xf numFmtId="11" fontId="32" fillId="0" borderId="0" applyFont="0" applyFill="0" applyBorder="0" applyAlignment="0" applyProtection="0"/>
    <xf numFmtId="0" fontId="45" fillId="30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45" fillId="30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7" borderId="2" applyNumberFormat="0" applyAlignment="0" applyProtection="0"/>
    <xf numFmtId="0" fontId="25" fillId="7" borderId="2" applyNumberFormat="0" applyAlignment="0" applyProtection="0"/>
    <xf numFmtId="0" fontId="25" fillId="7" borderId="2" applyNumberFormat="0" applyAlignment="0" applyProtection="0"/>
    <xf numFmtId="0" fontId="25" fillId="7" borderId="2" applyNumberFormat="0" applyAlignment="0" applyProtection="0"/>
    <xf numFmtId="0" fontId="25" fillId="7" borderId="2" applyNumberFormat="0" applyAlignment="0" applyProtection="0"/>
    <xf numFmtId="0" fontId="25" fillId="7" borderId="2" applyNumberFormat="0" applyAlignment="0" applyProtection="0"/>
    <xf numFmtId="0" fontId="25" fillId="7" borderId="2" applyNumberFormat="0" applyAlignment="0" applyProtection="0"/>
    <xf numFmtId="0" fontId="25" fillId="7" borderId="2" applyNumberFormat="0" applyAlignment="0" applyProtection="0"/>
    <xf numFmtId="0" fontId="25" fillId="7" borderId="2" applyNumberFormat="0" applyAlignment="0" applyProtection="0"/>
    <xf numFmtId="0" fontId="25" fillId="7" borderId="2" applyNumberFormat="0" applyAlignment="0" applyProtection="0"/>
    <xf numFmtId="0" fontId="25" fillId="7" borderId="2" applyNumberFormat="0" applyAlignment="0" applyProtection="0"/>
    <xf numFmtId="0" fontId="25" fillId="7" borderId="2" applyNumberFormat="0" applyAlignment="0" applyProtection="0"/>
    <xf numFmtId="0" fontId="25" fillId="7" borderId="2" applyNumberFormat="0" applyAlignment="0" applyProtection="0"/>
    <xf numFmtId="0" fontId="25" fillId="7" borderId="2" applyNumberFormat="0" applyAlignment="0" applyProtection="0"/>
    <xf numFmtId="0" fontId="25" fillId="7" borderId="2" applyNumberFormat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4" fillId="0" borderId="0"/>
    <xf numFmtId="0" fontId="46" fillId="0" borderId="0"/>
    <xf numFmtId="0" fontId="46" fillId="0" borderId="0"/>
    <xf numFmtId="0" fontId="1" fillId="0" borderId="0"/>
    <xf numFmtId="0" fontId="4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" fillId="0" borderId="0"/>
    <xf numFmtId="0" fontId="46" fillId="0" borderId="0"/>
    <xf numFmtId="0" fontId="46" fillId="0" borderId="0"/>
    <xf numFmtId="0" fontId="46" fillId="0" borderId="0"/>
    <xf numFmtId="0" fontId="15" fillId="0" borderId="0"/>
    <xf numFmtId="0" fontId="46" fillId="0" borderId="0"/>
    <xf numFmtId="0" fontId="15" fillId="0" borderId="0"/>
    <xf numFmtId="0" fontId="15" fillId="0" borderId="0"/>
    <xf numFmtId="0" fontId="46" fillId="0" borderId="0"/>
    <xf numFmtId="0" fontId="46" fillId="0" borderId="0"/>
    <xf numFmtId="0" fontId="46" fillId="0" borderId="0"/>
    <xf numFmtId="0" fontId="15" fillId="0" borderId="0"/>
    <xf numFmtId="0" fontId="15" fillId="0" borderId="0"/>
    <xf numFmtId="0" fontId="15" fillId="0" borderId="0"/>
    <xf numFmtId="0" fontId="46" fillId="0" borderId="0"/>
    <xf numFmtId="0" fontId="46" fillId="0" borderId="0"/>
    <xf numFmtId="0" fontId="3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2" fillId="0" borderId="0"/>
    <xf numFmtId="0" fontId="32" fillId="0" borderId="0"/>
    <xf numFmtId="0" fontId="3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" fillId="0" borderId="0"/>
    <xf numFmtId="0" fontId="46" fillId="0" borderId="0"/>
    <xf numFmtId="0" fontId="15" fillId="0" borderId="0"/>
    <xf numFmtId="0" fontId="15" fillId="0" borderId="0"/>
    <xf numFmtId="0" fontId="15" fillId="0" borderId="0"/>
    <xf numFmtId="0" fontId="46" fillId="0" borderId="0"/>
    <xf numFmtId="0" fontId="46" fillId="0" borderId="0"/>
    <xf numFmtId="0" fontId="4" fillId="0" borderId="0"/>
    <xf numFmtId="0" fontId="46" fillId="0" borderId="0"/>
    <xf numFmtId="0" fontId="15" fillId="0" borderId="0"/>
    <xf numFmtId="0" fontId="15" fillId="0" borderId="0"/>
    <xf numFmtId="0" fontId="4" fillId="0" borderId="0"/>
    <xf numFmtId="0" fontId="15" fillId="0" borderId="0"/>
    <xf numFmtId="0" fontId="15" fillId="0" borderId="0"/>
    <xf numFmtId="0" fontId="4" fillId="0" borderId="0"/>
    <xf numFmtId="0" fontId="46" fillId="0" borderId="0"/>
    <xf numFmtId="0" fontId="46" fillId="0" borderId="0"/>
    <xf numFmtId="0" fontId="4" fillId="0" borderId="0"/>
    <xf numFmtId="0" fontId="46" fillId="0" borderId="0"/>
    <xf numFmtId="0" fontId="32" fillId="0" borderId="0"/>
    <xf numFmtId="0" fontId="46" fillId="0" borderId="0"/>
    <xf numFmtId="0" fontId="4" fillId="0" borderId="0"/>
    <xf numFmtId="0" fontId="4" fillId="0" borderId="0"/>
    <xf numFmtId="0" fontId="15" fillId="0" borderId="0"/>
    <xf numFmtId="0" fontId="15" fillId="0" borderId="0"/>
    <xf numFmtId="0" fontId="15" fillId="0" borderId="0"/>
    <xf numFmtId="0" fontId="46" fillId="0" borderId="0"/>
    <xf numFmtId="0" fontId="46" fillId="0" borderId="0"/>
    <xf numFmtId="0" fontId="4" fillId="0" borderId="0"/>
    <xf numFmtId="0" fontId="46" fillId="0" borderId="0"/>
    <xf numFmtId="0" fontId="46" fillId="0" borderId="0"/>
    <xf numFmtId="0" fontId="15" fillId="0" borderId="0"/>
    <xf numFmtId="0" fontId="15" fillId="0" borderId="0"/>
    <xf numFmtId="0" fontId="4" fillId="0" borderId="0"/>
    <xf numFmtId="0" fontId="15" fillId="0" borderId="0"/>
    <xf numFmtId="0" fontId="15" fillId="0" borderId="0"/>
    <xf numFmtId="0" fontId="4" fillId="0" borderId="0"/>
    <xf numFmtId="0" fontId="32" fillId="0" borderId="0"/>
    <xf numFmtId="0" fontId="32" fillId="0" borderId="0"/>
    <xf numFmtId="0" fontId="4" fillId="0" borderId="0"/>
    <xf numFmtId="0" fontId="32" fillId="0" borderId="0"/>
    <xf numFmtId="0" fontId="32" fillId="0" borderId="0"/>
    <xf numFmtId="0" fontId="1" fillId="0" borderId="0"/>
    <xf numFmtId="0" fontId="4" fillId="0" borderId="0"/>
    <xf numFmtId="0" fontId="46" fillId="0" borderId="0"/>
    <xf numFmtId="0" fontId="46" fillId="0" borderId="0"/>
    <xf numFmtId="0" fontId="4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" fillId="0" borderId="0"/>
    <xf numFmtId="0" fontId="46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32" fillId="0" borderId="0"/>
    <xf numFmtId="0" fontId="4" fillId="0" borderId="0"/>
    <xf numFmtId="0" fontId="4" fillId="0" borderId="0"/>
    <xf numFmtId="0" fontId="32" fillId="0" borderId="0"/>
    <xf numFmtId="0" fontId="4" fillId="0" borderId="0"/>
    <xf numFmtId="0" fontId="46" fillId="0" borderId="0"/>
    <xf numFmtId="0" fontId="46" fillId="0" borderId="0"/>
    <xf numFmtId="0" fontId="2" fillId="0" borderId="0"/>
    <xf numFmtId="169" fontId="4" fillId="31" borderId="0">
      <alignment horizontal="center" vertical="center"/>
    </xf>
    <xf numFmtId="0" fontId="15" fillId="23" borderId="9" applyNumberFormat="0" applyFont="0" applyAlignment="0" applyProtection="0"/>
    <xf numFmtId="0" fontId="15" fillId="23" borderId="9" applyNumberFormat="0" applyFont="0" applyAlignment="0" applyProtection="0"/>
    <xf numFmtId="0" fontId="15" fillId="23" borderId="9" applyNumberFormat="0" applyFont="0" applyAlignment="0" applyProtection="0"/>
    <xf numFmtId="0" fontId="15" fillId="23" borderId="9" applyNumberFormat="0" applyFont="0" applyAlignment="0" applyProtection="0"/>
    <xf numFmtId="0" fontId="15" fillId="23" borderId="9" applyNumberFormat="0" applyFont="0" applyAlignment="0" applyProtection="0"/>
    <xf numFmtId="0" fontId="15" fillId="23" borderId="9" applyNumberFormat="0" applyFont="0" applyAlignment="0" applyProtection="0"/>
    <xf numFmtId="0" fontId="15" fillId="23" borderId="9" applyNumberFormat="0" applyFont="0" applyAlignment="0" applyProtection="0"/>
    <xf numFmtId="0" fontId="15" fillId="23" borderId="9" applyNumberFormat="0" applyFont="0" applyAlignment="0" applyProtection="0"/>
    <xf numFmtId="0" fontId="15" fillId="23" borderId="9" applyNumberFormat="0" applyFont="0" applyAlignment="0" applyProtection="0"/>
    <xf numFmtId="0" fontId="15" fillId="23" borderId="9" applyNumberFormat="0" applyFont="0" applyAlignment="0" applyProtection="0"/>
    <xf numFmtId="0" fontId="15" fillId="23" borderId="9" applyNumberFormat="0" applyFont="0" applyAlignment="0" applyProtection="0"/>
    <xf numFmtId="0" fontId="15" fillId="23" borderId="9" applyNumberFormat="0" applyFont="0" applyAlignment="0" applyProtection="0"/>
    <xf numFmtId="0" fontId="15" fillId="23" borderId="9" applyNumberFormat="0" applyFont="0" applyAlignment="0" applyProtection="0"/>
    <xf numFmtId="0" fontId="15" fillId="23" borderId="9" applyNumberFormat="0" applyFont="0" applyAlignment="0" applyProtection="0"/>
    <xf numFmtId="0" fontId="15" fillId="23" borderId="9" applyNumberFormat="0" applyFont="0" applyAlignment="0" applyProtection="0"/>
    <xf numFmtId="0" fontId="32" fillId="23" borderId="9" applyNumberFormat="0" applyFont="0" applyAlignment="0" applyProtection="0"/>
    <xf numFmtId="0" fontId="4" fillId="23" borderId="9" applyNumberFormat="0" applyFont="0" applyAlignment="0" applyProtection="0"/>
    <xf numFmtId="0" fontId="32" fillId="23" borderId="9" applyNumberFormat="0" applyFont="0" applyAlignment="0" applyProtection="0"/>
    <xf numFmtId="0" fontId="32" fillId="23" borderId="9" applyNumberFormat="0" applyFont="0" applyAlignment="0" applyProtection="0"/>
    <xf numFmtId="0" fontId="32" fillId="23" borderId="9" applyNumberFormat="0" applyFont="0" applyAlignment="0" applyProtection="0"/>
    <xf numFmtId="0" fontId="32" fillId="23" borderId="9" applyNumberFormat="0" applyFont="0" applyAlignment="0" applyProtection="0"/>
    <xf numFmtId="0" fontId="32" fillId="23" borderId="9" applyNumberFormat="0" applyFont="0" applyAlignment="0" applyProtection="0"/>
    <xf numFmtId="0" fontId="28" fillId="20" borderId="1" applyNumberFormat="0" applyAlignment="0" applyProtection="0"/>
    <xf numFmtId="0" fontId="28" fillId="20" borderId="1" applyNumberFormat="0" applyAlignment="0" applyProtection="0"/>
    <xf numFmtId="0" fontId="28" fillId="20" borderId="1" applyNumberFormat="0" applyAlignment="0" applyProtection="0"/>
    <xf numFmtId="0" fontId="28" fillId="20" borderId="1" applyNumberFormat="0" applyAlignment="0" applyProtection="0"/>
    <xf numFmtId="0" fontId="28" fillId="20" borderId="1" applyNumberFormat="0" applyAlignment="0" applyProtection="0"/>
    <xf numFmtId="0" fontId="28" fillId="20" borderId="1" applyNumberFormat="0" applyAlignment="0" applyProtection="0"/>
    <xf numFmtId="0" fontId="28" fillId="20" borderId="1" applyNumberFormat="0" applyAlignment="0" applyProtection="0"/>
    <xf numFmtId="0" fontId="28" fillId="20" borderId="1" applyNumberFormat="0" applyAlignment="0" applyProtection="0"/>
    <xf numFmtId="0" fontId="28" fillId="20" borderId="1" applyNumberFormat="0" applyAlignment="0" applyProtection="0"/>
    <xf numFmtId="0" fontId="28" fillId="20" borderId="1" applyNumberFormat="0" applyAlignment="0" applyProtection="0"/>
    <xf numFmtId="0" fontId="28" fillId="20" borderId="1" applyNumberFormat="0" applyAlignment="0" applyProtection="0"/>
    <xf numFmtId="0" fontId="28" fillId="20" borderId="1" applyNumberFormat="0" applyAlignment="0" applyProtection="0"/>
    <xf numFmtId="0" fontId="28" fillId="20" borderId="1" applyNumberFormat="0" applyAlignment="0" applyProtection="0"/>
    <xf numFmtId="0" fontId="28" fillId="20" borderId="1" applyNumberFormat="0" applyAlignment="0" applyProtection="0"/>
    <xf numFmtId="0" fontId="28" fillId="20" borderId="1" applyNumberFormat="0" applyAlignment="0" applyProtection="0"/>
    <xf numFmtId="9" fontId="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17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0" fontId="17" fillId="3" borderId="0" applyNumberFormat="0" applyBorder="0" applyAlignment="0" applyProtection="0"/>
    <xf numFmtId="0" fontId="4" fillId="0" borderId="0"/>
    <xf numFmtId="49" fontId="32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0" fontId="34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34" fillId="24" borderId="10" applyNumberFormat="0" applyProtection="0">
      <alignment horizontal="right"/>
    </xf>
    <xf numFmtId="0" fontId="34" fillId="24" borderId="10" applyNumberFormat="0" applyProtection="0">
      <alignment horizontal="right"/>
    </xf>
    <xf numFmtId="0" fontId="34" fillId="24" borderId="10" applyNumberFormat="0" applyProtection="0">
      <alignment horizontal="right"/>
    </xf>
    <xf numFmtId="0" fontId="35" fillId="24" borderId="0" applyNumberFormat="0" applyBorder="0" applyProtection="0">
      <alignment horizontal="left"/>
    </xf>
    <xf numFmtId="0" fontId="36" fillId="24" borderId="0" applyNumberFormat="0" applyBorder="0" applyProtection="0">
      <alignment horizontal="left"/>
    </xf>
    <xf numFmtId="0" fontId="35" fillId="24" borderId="0" applyNumberFormat="0" applyBorder="0" applyProtection="0">
      <alignment horizontal="left"/>
    </xf>
    <xf numFmtId="0" fontId="35" fillId="24" borderId="0" applyNumberFormat="0" applyBorder="0" applyProtection="0">
      <alignment horizontal="left"/>
    </xf>
    <xf numFmtId="0" fontId="35" fillId="24" borderId="0" applyNumberFormat="0" applyBorder="0" applyProtection="0">
      <alignment horizontal="left"/>
    </xf>
    <xf numFmtId="0" fontId="34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34" fillId="24" borderId="10" applyNumberFormat="0" applyProtection="0">
      <alignment horizontal="left"/>
    </xf>
    <xf numFmtId="0" fontId="34" fillId="24" borderId="10" applyNumberFormat="0" applyProtection="0">
      <alignment horizontal="left"/>
    </xf>
    <xf numFmtId="0" fontId="34" fillId="24" borderId="10" applyNumberFormat="0" applyProtection="0">
      <alignment horizontal="left"/>
    </xf>
    <xf numFmtId="0" fontId="32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7" fillId="25" borderId="0" applyNumberFormat="0" applyBorder="0" applyProtection="0">
      <alignment horizontal="left"/>
    </xf>
    <xf numFmtId="0" fontId="38" fillId="25" borderId="0" applyNumberFormat="0" applyBorder="0" applyProtection="0">
      <alignment horizontal="left"/>
    </xf>
    <xf numFmtId="0" fontId="37" fillId="25" borderId="0" applyNumberFormat="0" applyBorder="0" applyProtection="0">
      <alignment horizontal="left"/>
    </xf>
    <xf numFmtId="0" fontId="37" fillId="25" borderId="0" applyNumberFormat="0" applyBorder="0" applyProtection="0">
      <alignment horizontal="left"/>
    </xf>
    <xf numFmtId="0" fontId="37" fillId="25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0" fontId="40" fillId="26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49" fontId="32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0" fontId="34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34" fillId="24" borderId="10" applyNumberFormat="0" applyProtection="0">
      <alignment horizontal="right"/>
    </xf>
    <xf numFmtId="0" fontId="34" fillId="24" borderId="10" applyNumberFormat="0" applyProtection="0">
      <alignment horizontal="right"/>
    </xf>
    <xf numFmtId="0" fontId="34" fillId="24" borderId="10" applyNumberFormat="0" applyProtection="0">
      <alignment horizontal="right"/>
    </xf>
    <xf numFmtId="0" fontId="35" fillId="24" borderId="0" applyNumberFormat="0" applyBorder="0" applyProtection="0">
      <alignment horizontal="left"/>
    </xf>
    <xf numFmtId="0" fontId="36" fillId="24" borderId="0" applyNumberFormat="0" applyBorder="0" applyProtection="0">
      <alignment horizontal="left"/>
    </xf>
    <xf numFmtId="0" fontId="35" fillId="24" borderId="0" applyNumberFormat="0" applyBorder="0" applyProtection="0">
      <alignment horizontal="left"/>
    </xf>
    <xf numFmtId="0" fontId="35" fillId="24" borderId="0" applyNumberFormat="0" applyBorder="0" applyProtection="0">
      <alignment horizontal="left"/>
    </xf>
    <xf numFmtId="0" fontId="35" fillId="24" borderId="0" applyNumberFormat="0" applyBorder="0" applyProtection="0">
      <alignment horizontal="left"/>
    </xf>
    <xf numFmtId="0" fontId="34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34" fillId="24" borderId="10" applyNumberFormat="0" applyProtection="0">
      <alignment horizontal="left"/>
    </xf>
    <xf numFmtId="0" fontId="34" fillId="24" borderId="10" applyNumberFormat="0" applyProtection="0">
      <alignment horizontal="left"/>
    </xf>
    <xf numFmtId="0" fontId="34" fillId="24" borderId="10" applyNumberFormat="0" applyProtection="0">
      <alignment horizontal="left"/>
    </xf>
    <xf numFmtId="0" fontId="32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7" fillId="25" borderId="0" applyNumberFormat="0" applyBorder="0" applyProtection="0">
      <alignment horizontal="left"/>
    </xf>
    <xf numFmtId="0" fontId="38" fillId="25" borderId="0" applyNumberFormat="0" applyBorder="0" applyProtection="0">
      <alignment horizontal="left"/>
    </xf>
    <xf numFmtId="0" fontId="37" fillId="25" borderId="0" applyNumberFormat="0" applyBorder="0" applyProtection="0">
      <alignment horizontal="left"/>
    </xf>
    <xf numFmtId="0" fontId="37" fillId="25" borderId="0" applyNumberFormat="0" applyBorder="0" applyProtection="0">
      <alignment horizontal="left"/>
    </xf>
    <xf numFmtId="0" fontId="37" fillId="25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0" fontId="40" fillId="26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49" fontId="32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0" fontId="34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34" fillId="24" borderId="10" applyNumberFormat="0" applyProtection="0">
      <alignment horizontal="right"/>
    </xf>
    <xf numFmtId="0" fontId="34" fillId="24" borderId="10" applyNumberFormat="0" applyProtection="0">
      <alignment horizontal="right"/>
    </xf>
    <xf numFmtId="0" fontId="34" fillId="24" borderId="10" applyNumberFormat="0" applyProtection="0">
      <alignment horizontal="right"/>
    </xf>
    <xf numFmtId="0" fontId="35" fillId="24" borderId="0" applyNumberFormat="0" applyBorder="0" applyProtection="0">
      <alignment horizontal="left"/>
    </xf>
    <xf numFmtId="0" fontId="36" fillId="24" borderId="0" applyNumberFormat="0" applyBorder="0" applyProtection="0">
      <alignment horizontal="left"/>
    </xf>
    <xf numFmtId="0" fontId="35" fillId="24" borderId="0" applyNumberFormat="0" applyBorder="0" applyProtection="0">
      <alignment horizontal="left"/>
    </xf>
    <xf numFmtId="0" fontId="35" fillId="24" borderId="0" applyNumberFormat="0" applyBorder="0" applyProtection="0">
      <alignment horizontal="left"/>
    </xf>
    <xf numFmtId="0" fontId="35" fillId="24" borderId="0" applyNumberFormat="0" applyBorder="0" applyProtection="0">
      <alignment horizontal="left"/>
    </xf>
    <xf numFmtId="0" fontId="34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34" fillId="24" borderId="10" applyNumberFormat="0" applyProtection="0">
      <alignment horizontal="left"/>
    </xf>
    <xf numFmtId="0" fontId="34" fillId="24" borderId="10" applyNumberFormat="0" applyProtection="0">
      <alignment horizontal="left"/>
    </xf>
    <xf numFmtId="0" fontId="34" fillId="24" borderId="10" applyNumberFormat="0" applyProtection="0">
      <alignment horizontal="left"/>
    </xf>
    <xf numFmtId="0" fontId="32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7" fillId="25" borderId="0" applyNumberFormat="0" applyBorder="0" applyProtection="0">
      <alignment horizontal="left"/>
    </xf>
    <xf numFmtId="0" fontId="38" fillId="25" borderId="0" applyNumberFormat="0" applyBorder="0" applyProtection="0">
      <alignment horizontal="left"/>
    </xf>
    <xf numFmtId="0" fontId="37" fillId="25" borderId="0" applyNumberFormat="0" applyBorder="0" applyProtection="0">
      <alignment horizontal="left"/>
    </xf>
    <xf numFmtId="0" fontId="37" fillId="25" borderId="0" applyNumberFormat="0" applyBorder="0" applyProtection="0">
      <alignment horizontal="left"/>
    </xf>
    <xf numFmtId="0" fontId="37" fillId="25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0" fontId="40" fillId="26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49" fontId="32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0" fontId="34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34" fillId="24" borderId="10" applyNumberFormat="0" applyProtection="0">
      <alignment horizontal="right"/>
    </xf>
    <xf numFmtId="0" fontId="34" fillId="24" borderId="10" applyNumberFormat="0" applyProtection="0">
      <alignment horizontal="right"/>
    </xf>
    <xf numFmtId="0" fontId="34" fillId="24" borderId="10" applyNumberFormat="0" applyProtection="0">
      <alignment horizontal="right"/>
    </xf>
    <xf numFmtId="0" fontId="35" fillId="24" borderId="0" applyNumberFormat="0" applyBorder="0" applyProtection="0">
      <alignment horizontal="left"/>
    </xf>
    <xf numFmtId="0" fontId="36" fillId="24" borderId="0" applyNumberFormat="0" applyBorder="0" applyProtection="0">
      <alignment horizontal="left"/>
    </xf>
    <xf numFmtId="0" fontId="35" fillId="24" borderId="0" applyNumberFormat="0" applyBorder="0" applyProtection="0">
      <alignment horizontal="left"/>
    </xf>
    <xf numFmtId="0" fontId="35" fillId="24" borderId="0" applyNumberFormat="0" applyBorder="0" applyProtection="0">
      <alignment horizontal="left"/>
    </xf>
    <xf numFmtId="0" fontId="35" fillId="24" borderId="0" applyNumberFormat="0" applyBorder="0" applyProtection="0">
      <alignment horizontal="left"/>
    </xf>
    <xf numFmtId="0" fontId="34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34" fillId="24" borderId="10" applyNumberFormat="0" applyProtection="0">
      <alignment horizontal="left"/>
    </xf>
    <xf numFmtId="0" fontId="34" fillId="24" borderId="10" applyNumberFormat="0" applyProtection="0">
      <alignment horizontal="left"/>
    </xf>
    <xf numFmtId="0" fontId="34" fillId="24" borderId="10" applyNumberFormat="0" applyProtection="0">
      <alignment horizontal="left"/>
    </xf>
    <xf numFmtId="0" fontId="32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7" fillId="25" borderId="0" applyNumberFormat="0" applyBorder="0" applyProtection="0">
      <alignment horizontal="left"/>
    </xf>
    <xf numFmtId="0" fontId="38" fillId="25" borderId="0" applyNumberFormat="0" applyBorder="0" applyProtection="0">
      <alignment horizontal="left"/>
    </xf>
    <xf numFmtId="0" fontId="37" fillId="25" borderId="0" applyNumberFormat="0" applyBorder="0" applyProtection="0">
      <alignment horizontal="left"/>
    </xf>
    <xf numFmtId="0" fontId="37" fillId="25" borderId="0" applyNumberFormat="0" applyBorder="0" applyProtection="0">
      <alignment horizontal="left"/>
    </xf>
    <xf numFmtId="0" fontId="37" fillId="25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0" fontId="40" fillId="26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49" fontId="32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0" fontId="34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34" fillId="24" borderId="10" applyNumberFormat="0" applyProtection="0">
      <alignment horizontal="right"/>
    </xf>
    <xf numFmtId="0" fontId="34" fillId="24" borderId="10" applyNumberFormat="0" applyProtection="0">
      <alignment horizontal="right"/>
    </xf>
    <xf numFmtId="0" fontId="34" fillId="24" borderId="10" applyNumberFormat="0" applyProtection="0">
      <alignment horizontal="right"/>
    </xf>
    <xf numFmtId="0" fontId="35" fillId="24" borderId="0" applyNumberFormat="0" applyBorder="0" applyProtection="0">
      <alignment horizontal="left"/>
    </xf>
    <xf numFmtId="0" fontId="36" fillId="24" borderId="0" applyNumberFormat="0" applyBorder="0" applyProtection="0">
      <alignment horizontal="left"/>
    </xf>
    <xf numFmtId="0" fontId="35" fillId="24" borderId="0" applyNumberFormat="0" applyBorder="0" applyProtection="0">
      <alignment horizontal="left"/>
    </xf>
    <xf numFmtId="0" fontId="35" fillId="24" borderId="0" applyNumberFormat="0" applyBorder="0" applyProtection="0">
      <alignment horizontal="left"/>
    </xf>
    <xf numFmtId="0" fontId="35" fillId="24" borderId="0" applyNumberFormat="0" applyBorder="0" applyProtection="0">
      <alignment horizontal="left"/>
    </xf>
    <xf numFmtId="0" fontId="34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34" fillId="24" borderId="10" applyNumberFormat="0" applyProtection="0">
      <alignment horizontal="left"/>
    </xf>
    <xf numFmtId="0" fontId="34" fillId="24" borderId="10" applyNumberFormat="0" applyProtection="0">
      <alignment horizontal="left"/>
    </xf>
    <xf numFmtId="0" fontId="34" fillId="24" borderId="10" applyNumberFormat="0" applyProtection="0">
      <alignment horizontal="left"/>
    </xf>
    <xf numFmtId="0" fontId="32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7" fillId="25" borderId="0" applyNumberFormat="0" applyBorder="0" applyProtection="0">
      <alignment horizontal="left"/>
    </xf>
    <xf numFmtId="0" fontId="38" fillId="25" borderId="0" applyNumberFormat="0" applyBorder="0" applyProtection="0">
      <alignment horizontal="left"/>
    </xf>
    <xf numFmtId="0" fontId="37" fillId="25" borderId="0" applyNumberFormat="0" applyBorder="0" applyProtection="0">
      <alignment horizontal="left"/>
    </xf>
    <xf numFmtId="0" fontId="37" fillId="25" borderId="0" applyNumberFormat="0" applyBorder="0" applyProtection="0">
      <alignment horizontal="left"/>
    </xf>
    <xf numFmtId="0" fontId="37" fillId="25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0" fontId="40" fillId="26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49" fontId="32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0" fontId="34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34" fillId="24" borderId="10" applyNumberFormat="0" applyProtection="0">
      <alignment horizontal="right"/>
    </xf>
    <xf numFmtId="0" fontId="34" fillId="24" borderId="10" applyNumberFormat="0" applyProtection="0">
      <alignment horizontal="right"/>
    </xf>
    <xf numFmtId="0" fontId="34" fillId="24" borderId="10" applyNumberFormat="0" applyProtection="0">
      <alignment horizontal="right"/>
    </xf>
    <xf numFmtId="0" fontId="35" fillId="24" borderId="0" applyNumberFormat="0" applyBorder="0" applyProtection="0">
      <alignment horizontal="left"/>
    </xf>
    <xf numFmtId="0" fontId="36" fillId="24" borderId="0" applyNumberFormat="0" applyBorder="0" applyProtection="0">
      <alignment horizontal="left"/>
    </xf>
    <xf numFmtId="0" fontId="35" fillId="24" borderId="0" applyNumberFormat="0" applyBorder="0" applyProtection="0">
      <alignment horizontal="left"/>
    </xf>
    <xf numFmtId="0" fontId="35" fillId="24" borderId="0" applyNumberFormat="0" applyBorder="0" applyProtection="0">
      <alignment horizontal="left"/>
    </xf>
    <xf numFmtId="0" fontId="35" fillId="24" borderId="0" applyNumberFormat="0" applyBorder="0" applyProtection="0">
      <alignment horizontal="left"/>
    </xf>
    <xf numFmtId="0" fontId="34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34" fillId="24" borderId="10" applyNumberFormat="0" applyProtection="0">
      <alignment horizontal="left"/>
    </xf>
    <xf numFmtId="0" fontId="34" fillId="24" borderId="10" applyNumberFormat="0" applyProtection="0">
      <alignment horizontal="left"/>
    </xf>
    <xf numFmtId="0" fontId="34" fillId="24" borderId="10" applyNumberFormat="0" applyProtection="0">
      <alignment horizontal="left"/>
    </xf>
    <xf numFmtId="0" fontId="32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7" fillId="25" borderId="0" applyNumberFormat="0" applyBorder="0" applyProtection="0">
      <alignment horizontal="left"/>
    </xf>
    <xf numFmtId="0" fontId="38" fillId="25" borderId="0" applyNumberFormat="0" applyBorder="0" applyProtection="0">
      <alignment horizontal="left"/>
    </xf>
    <xf numFmtId="0" fontId="37" fillId="25" borderId="0" applyNumberFormat="0" applyBorder="0" applyProtection="0">
      <alignment horizontal="left"/>
    </xf>
    <xf numFmtId="0" fontId="37" fillId="25" borderId="0" applyNumberFormat="0" applyBorder="0" applyProtection="0">
      <alignment horizontal="left"/>
    </xf>
    <xf numFmtId="0" fontId="37" fillId="25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0" fontId="40" fillId="26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0" fontId="4" fillId="0" borderId="10" applyNumberFormat="0" applyFill="0" applyProtection="0">
      <alignment horizontal="right"/>
    </xf>
    <xf numFmtId="49" fontId="4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0" fontId="4" fillId="0" borderId="10" applyNumberFormat="0" applyFill="0" applyProtection="0">
      <alignment horizontal="right"/>
    </xf>
    <xf numFmtId="49" fontId="32" fillId="0" borderId="10" applyFill="0" applyProtection="0">
      <alignment horizontal="right"/>
    </xf>
    <xf numFmtId="0" fontId="3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34" fillId="24" borderId="10" applyNumberFormat="0" applyProtection="0">
      <alignment horizontal="right"/>
    </xf>
    <xf numFmtId="0" fontId="34" fillId="24" borderId="10" applyNumberFormat="0" applyProtection="0">
      <alignment horizontal="right"/>
    </xf>
    <xf numFmtId="0" fontId="34" fillId="24" borderId="10" applyNumberFormat="0" applyProtection="0">
      <alignment horizontal="right"/>
    </xf>
    <xf numFmtId="0" fontId="34" fillId="24" borderId="10" applyNumberFormat="0" applyProtection="0">
      <alignment horizontal="right"/>
    </xf>
    <xf numFmtId="0" fontId="36" fillId="24" borderId="0" applyNumberFormat="0" applyBorder="0" applyProtection="0">
      <alignment horizontal="left"/>
    </xf>
    <xf numFmtId="0" fontId="36" fillId="24" borderId="0" applyNumberFormat="0" applyBorder="0" applyProtection="0">
      <alignment horizontal="left"/>
    </xf>
    <xf numFmtId="0" fontId="35" fillId="24" borderId="0" applyNumberFormat="0" applyBorder="0" applyProtection="0">
      <alignment horizontal="left"/>
    </xf>
    <xf numFmtId="0" fontId="35" fillId="24" borderId="0" applyNumberFormat="0" applyBorder="0" applyProtection="0">
      <alignment horizontal="left"/>
    </xf>
    <xf numFmtId="0" fontId="35" fillId="24" borderId="0" applyNumberFormat="0" applyBorder="0" applyProtection="0">
      <alignment horizontal="left"/>
    </xf>
    <xf numFmtId="0" fontId="35" fillId="24" borderId="0" applyNumberFormat="0" applyBorder="0" applyProtection="0">
      <alignment horizontal="left"/>
    </xf>
    <xf numFmtId="0" fontId="3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34" fillId="24" borderId="10" applyNumberFormat="0" applyProtection="0">
      <alignment horizontal="left"/>
    </xf>
    <xf numFmtId="0" fontId="34" fillId="24" borderId="10" applyNumberFormat="0" applyProtection="0">
      <alignment horizontal="left"/>
    </xf>
    <xf numFmtId="0" fontId="34" fillId="24" borderId="10" applyNumberFormat="0" applyProtection="0">
      <alignment horizontal="left"/>
    </xf>
    <xf numFmtId="0" fontId="34" fillId="24" borderId="10" applyNumberFormat="0" applyProtection="0">
      <alignment horizontal="left"/>
    </xf>
    <xf numFmtId="0" fontId="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8" fillId="25" borderId="0" applyNumberFormat="0" applyBorder="0" applyProtection="0">
      <alignment horizontal="left"/>
    </xf>
    <xf numFmtId="0" fontId="38" fillId="25" borderId="0" applyNumberFormat="0" applyBorder="0" applyProtection="0">
      <alignment horizontal="left"/>
    </xf>
    <xf numFmtId="0" fontId="37" fillId="25" borderId="0" applyNumberFormat="0" applyBorder="0" applyProtection="0">
      <alignment horizontal="left"/>
    </xf>
    <xf numFmtId="0" fontId="37" fillId="25" borderId="0" applyNumberFormat="0" applyBorder="0" applyProtection="0">
      <alignment horizontal="left"/>
    </xf>
    <xf numFmtId="0" fontId="37" fillId="25" borderId="0" applyNumberFormat="0" applyBorder="0" applyProtection="0">
      <alignment horizontal="left"/>
    </xf>
    <xf numFmtId="0" fontId="37" fillId="25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0" fontId="40" fillId="26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49" fontId="32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0" fontId="34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34" fillId="24" borderId="10" applyNumberFormat="0" applyProtection="0">
      <alignment horizontal="right"/>
    </xf>
    <xf numFmtId="0" fontId="34" fillId="24" borderId="10" applyNumberFormat="0" applyProtection="0">
      <alignment horizontal="right"/>
    </xf>
    <xf numFmtId="0" fontId="34" fillId="24" borderId="10" applyNumberFormat="0" applyProtection="0">
      <alignment horizontal="right"/>
    </xf>
    <xf numFmtId="0" fontId="35" fillId="24" borderId="0" applyNumberFormat="0" applyBorder="0" applyProtection="0">
      <alignment horizontal="left"/>
    </xf>
    <xf numFmtId="0" fontId="36" fillId="24" borderId="0" applyNumberFormat="0" applyBorder="0" applyProtection="0">
      <alignment horizontal="left"/>
    </xf>
    <xf numFmtId="0" fontId="35" fillId="24" borderId="0" applyNumberFormat="0" applyBorder="0" applyProtection="0">
      <alignment horizontal="left"/>
    </xf>
    <xf numFmtId="0" fontId="35" fillId="24" borderId="0" applyNumberFormat="0" applyBorder="0" applyProtection="0">
      <alignment horizontal="left"/>
    </xf>
    <xf numFmtId="0" fontId="35" fillId="24" borderId="0" applyNumberFormat="0" applyBorder="0" applyProtection="0">
      <alignment horizontal="left"/>
    </xf>
    <xf numFmtId="0" fontId="34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34" fillId="24" borderId="10" applyNumberFormat="0" applyProtection="0">
      <alignment horizontal="left"/>
    </xf>
    <xf numFmtId="0" fontId="34" fillId="24" borderId="10" applyNumberFormat="0" applyProtection="0">
      <alignment horizontal="left"/>
    </xf>
    <xf numFmtId="0" fontId="34" fillId="24" borderId="10" applyNumberFormat="0" applyProtection="0">
      <alignment horizontal="left"/>
    </xf>
    <xf numFmtId="0" fontId="32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7" fillId="25" borderId="0" applyNumberFormat="0" applyBorder="0" applyProtection="0">
      <alignment horizontal="left"/>
    </xf>
    <xf numFmtId="0" fontId="38" fillId="25" borderId="0" applyNumberFormat="0" applyBorder="0" applyProtection="0">
      <alignment horizontal="left"/>
    </xf>
    <xf numFmtId="0" fontId="37" fillId="25" borderId="0" applyNumberFormat="0" applyBorder="0" applyProtection="0">
      <alignment horizontal="left"/>
    </xf>
    <xf numFmtId="0" fontId="37" fillId="25" borderId="0" applyNumberFormat="0" applyBorder="0" applyProtection="0">
      <alignment horizontal="left"/>
    </xf>
    <xf numFmtId="0" fontId="37" fillId="25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0" fontId="40" fillId="26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49" fontId="32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0" fontId="34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34" fillId="24" borderId="10" applyNumberFormat="0" applyProtection="0">
      <alignment horizontal="right"/>
    </xf>
    <xf numFmtId="0" fontId="34" fillId="24" borderId="10" applyNumberFormat="0" applyProtection="0">
      <alignment horizontal="right"/>
    </xf>
    <xf numFmtId="0" fontId="34" fillId="24" borderId="10" applyNumberFormat="0" applyProtection="0">
      <alignment horizontal="right"/>
    </xf>
    <xf numFmtId="0" fontId="35" fillId="24" borderId="0" applyNumberFormat="0" applyBorder="0" applyProtection="0">
      <alignment horizontal="left"/>
    </xf>
    <xf numFmtId="0" fontId="36" fillId="24" borderId="0" applyNumberFormat="0" applyBorder="0" applyProtection="0">
      <alignment horizontal="left"/>
    </xf>
    <xf numFmtId="0" fontId="35" fillId="24" borderId="0" applyNumberFormat="0" applyBorder="0" applyProtection="0">
      <alignment horizontal="left"/>
    </xf>
    <xf numFmtId="0" fontId="35" fillId="24" borderId="0" applyNumberFormat="0" applyBorder="0" applyProtection="0">
      <alignment horizontal="left"/>
    </xf>
    <xf numFmtId="0" fontId="35" fillId="24" borderId="0" applyNumberFormat="0" applyBorder="0" applyProtection="0">
      <alignment horizontal="left"/>
    </xf>
    <xf numFmtId="0" fontId="34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34" fillId="24" borderId="10" applyNumberFormat="0" applyProtection="0">
      <alignment horizontal="left"/>
    </xf>
    <xf numFmtId="0" fontId="34" fillId="24" borderId="10" applyNumberFormat="0" applyProtection="0">
      <alignment horizontal="left"/>
    </xf>
    <xf numFmtId="0" fontId="34" fillId="24" borderId="10" applyNumberFormat="0" applyProtection="0">
      <alignment horizontal="left"/>
    </xf>
    <xf numFmtId="0" fontId="32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7" fillId="25" borderId="0" applyNumberFormat="0" applyBorder="0" applyProtection="0">
      <alignment horizontal="left"/>
    </xf>
    <xf numFmtId="0" fontId="38" fillId="25" borderId="0" applyNumberFormat="0" applyBorder="0" applyProtection="0">
      <alignment horizontal="left"/>
    </xf>
    <xf numFmtId="0" fontId="37" fillId="25" borderId="0" applyNumberFormat="0" applyBorder="0" applyProtection="0">
      <alignment horizontal="left"/>
    </xf>
    <xf numFmtId="0" fontId="37" fillId="25" borderId="0" applyNumberFormat="0" applyBorder="0" applyProtection="0">
      <alignment horizontal="left"/>
    </xf>
    <xf numFmtId="0" fontId="37" fillId="25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0" fontId="40" fillId="26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49" fontId="32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0" fontId="34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34" fillId="24" borderId="10" applyNumberFormat="0" applyProtection="0">
      <alignment horizontal="right"/>
    </xf>
    <xf numFmtId="0" fontId="34" fillId="24" borderId="10" applyNumberFormat="0" applyProtection="0">
      <alignment horizontal="right"/>
    </xf>
    <xf numFmtId="0" fontId="34" fillId="24" borderId="10" applyNumberFormat="0" applyProtection="0">
      <alignment horizontal="right"/>
    </xf>
    <xf numFmtId="0" fontId="35" fillId="24" borderId="0" applyNumberFormat="0" applyBorder="0" applyProtection="0">
      <alignment horizontal="left"/>
    </xf>
    <xf numFmtId="0" fontId="36" fillId="24" borderId="0" applyNumberFormat="0" applyBorder="0" applyProtection="0">
      <alignment horizontal="left"/>
    </xf>
    <xf numFmtId="0" fontId="35" fillId="24" borderId="0" applyNumberFormat="0" applyBorder="0" applyProtection="0">
      <alignment horizontal="left"/>
    </xf>
    <xf numFmtId="0" fontId="35" fillId="24" borderId="0" applyNumberFormat="0" applyBorder="0" applyProtection="0">
      <alignment horizontal="left"/>
    </xf>
    <xf numFmtId="0" fontId="35" fillId="24" borderId="0" applyNumberFormat="0" applyBorder="0" applyProtection="0">
      <alignment horizontal="left"/>
    </xf>
    <xf numFmtId="0" fontId="34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34" fillId="24" borderId="10" applyNumberFormat="0" applyProtection="0">
      <alignment horizontal="left"/>
    </xf>
    <xf numFmtId="0" fontId="34" fillId="24" borderId="10" applyNumberFormat="0" applyProtection="0">
      <alignment horizontal="left"/>
    </xf>
    <xf numFmtId="0" fontId="34" fillId="24" borderId="10" applyNumberFormat="0" applyProtection="0">
      <alignment horizontal="left"/>
    </xf>
    <xf numFmtId="0" fontId="32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7" fillId="25" borderId="0" applyNumberFormat="0" applyBorder="0" applyProtection="0">
      <alignment horizontal="left"/>
    </xf>
    <xf numFmtId="0" fontId="38" fillId="25" borderId="0" applyNumberFormat="0" applyBorder="0" applyProtection="0">
      <alignment horizontal="left"/>
    </xf>
    <xf numFmtId="0" fontId="37" fillId="25" borderId="0" applyNumberFormat="0" applyBorder="0" applyProtection="0">
      <alignment horizontal="left"/>
    </xf>
    <xf numFmtId="0" fontId="37" fillId="25" borderId="0" applyNumberFormat="0" applyBorder="0" applyProtection="0">
      <alignment horizontal="left"/>
    </xf>
    <xf numFmtId="0" fontId="37" fillId="25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0" fontId="40" fillId="26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49" fontId="32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0" fontId="34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34" fillId="24" borderId="10" applyNumberFormat="0" applyProtection="0">
      <alignment horizontal="right"/>
    </xf>
    <xf numFmtId="0" fontId="34" fillId="24" borderId="10" applyNumberFormat="0" applyProtection="0">
      <alignment horizontal="right"/>
    </xf>
    <xf numFmtId="0" fontId="34" fillId="24" borderId="10" applyNumberFormat="0" applyProtection="0">
      <alignment horizontal="right"/>
    </xf>
    <xf numFmtId="0" fontId="35" fillId="24" borderId="0" applyNumberFormat="0" applyBorder="0" applyProtection="0">
      <alignment horizontal="left"/>
    </xf>
    <xf numFmtId="0" fontId="36" fillId="24" borderId="0" applyNumberFormat="0" applyBorder="0" applyProtection="0">
      <alignment horizontal="left"/>
    </xf>
    <xf numFmtId="0" fontId="35" fillId="24" borderId="0" applyNumberFormat="0" applyBorder="0" applyProtection="0">
      <alignment horizontal="left"/>
    </xf>
    <xf numFmtId="0" fontId="35" fillId="24" borderId="0" applyNumberFormat="0" applyBorder="0" applyProtection="0">
      <alignment horizontal="left"/>
    </xf>
    <xf numFmtId="0" fontId="35" fillId="24" borderId="0" applyNumberFormat="0" applyBorder="0" applyProtection="0">
      <alignment horizontal="left"/>
    </xf>
    <xf numFmtId="0" fontId="34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34" fillId="24" borderId="10" applyNumberFormat="0" applyProtection="0">
      <alignment horizontal="left"/>
    </xf>
    <xf numFmtId="0" fontId="34" fillId="24" borderId="10" applyNumberFormat="0" applyProtection="0">
      <alignment horizontal="left"/>
    </xf>
    <xf numFmtId="0" fontId="34" fillId="24" borderId="10" applyNumberFormat="0" applyProtection="0">
      <alignment horizontal="left"/>
    </xf>
    <xf numFmtId="0" fontId="32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7" fillId="25" borderId="0" applyNumberFormat="0" applyBorder="0" applyProtection="0">
      <alignment horizontal="left"/>
    </xf>
    <xf numFmtId="0" fontId="38" fillId="25" borderId="0" applyNumberFormat="0" applyBorder="0" applyProtection="0">
      <alignment horizontal="left"/>
    </xf>
    <xf numFmtId="0" fontId="37" fillId="25" borderId="0" applyNumberFormat="0" applyBorder="0" applyProtection="0">
      <alignment horizontal="left"/>
    </xf>
    <xf numFmtId="0" fontId="37" fillId="25" borderId="0" applyNumberFormat="0" applyBorder="0" applyProtection="0">
      <alignment horizontal="left"/>
    </xf>
    <xf numFmtId="0" fontId="37" fillId="25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0" fontId="40" fillId="26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49" fontId="32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0" fontId="34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34" fillId="24" borderId="10" applyNumberFormat="0" applyProtection="0">
      <alignment horizontal="right"/>
    </xf>
    <xf numFmtId="0" fontId="34" fillId="24" borderId="10" applyNumberFormat="0" applyProtection="0">
      <alignment horizontal="right"/>
    </xf>
    <xf numFmtId="0" fontId="34" fillId="24" borderId="10" applyNumberFormat="0" applyProtection="0">
      <alignment horizontal="right"/>
    </xf>
    <xf numFmtId="0" fontId="35" fillId="24" borderId="0" applyNumberFormat="0" applyBorder="0" applyProtection="0">
      <alignment horizontal="left"/>
    </xf>
    <xf numFmtId="0" fontId="36" fillId="24" borderId="0" applyNumberFormat="0" applyBorder="0" applyProtection="0">
      <alignment horizontal="left"/>
    </xf>
    <xf numFmtId="0" fontId="35" fillId="24" borderId="0" applyNumberFormat="0" applyBorder="0" applyProtection="0">
      <alignment horizontal="left"/>
    </xf>
    <xf numFmtId="0" fontId="35" fillId="24" borderId="0" applyNumberFormat="0" applyBorder="0" applyProtection="0">
      <alignment horizontal="left"/>
    </xf>
    <xf numFmtId="0" fontId="35" fillId="24" borderId="0" applyNumberFormat="0" applyBorder="0" applyProtection="0">
      <alignment horizontal="left"/>
    </xf>
    <xf numFmtId="0" fontId="34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34" fillId="24" borderId="10" applyNumberFormat="0" applyProtection="0">
      <alignment horizontal="left"/>
    </xf>
    <xf numFmtId="0" fontId="34" fillId="24" borderId="10" applyNumberFormat="0" applyProtection="0">
      <alignment horizontal="left"/>
    </xf>
    <xf numFmtId="0" fontId="34" fillId="24" borderId="10" applyNumberFormat="0" applyProtection="0">
      <alignment horizontal="left"/>
    </xf>
    <xf numFmtId="0" fontId="32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7" fillId="25" borderId="0" applyNumberFormat="0" applyBorder="0" applyProtection="0">
      <alignment horizontal="left"/>
    </xf>
    <xf numFmtId="0" fontId="38" fillId="25" borderId="0" applyNumberFormat="0" applyBorder="0" applyProtection="0">
      <alignment horizontal="left"/>
    </xf>
    <xf numFmtId="0" fontId="37" fillId="25" borderId="0" applyNumberFormat="0" applyBorder="0" applyProtection="0">
      <alignment horizontal="left"/>
    </xf>
    <xf numFmtId="0" fontId="37" fillId="25" borderId="0" applyNumberFormat="0" applyBorder="0" applyProtection="0">
      <alignment horizontal="left"/>
    </xf>
    <xf numFmtId="0" fontId="37" fillId="25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0" fontId="40" fillId="26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49" fontId="32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49" fontId="32" fillId="0" borderId="10" applyFill="0" applyProtection="0">
      <alignment horizontal="right"/>
    </xf>
    <xf numFmtId="0" fontId="34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34" fillId="24" borderId="10" applyNumberFormat="0" applyProtection="0">
      <alignment horizontal="right"/>
    </xf>
    <xf numFmtId="0" fontId="34" fillId="24" borderId="10" applyNumberFormat="0" applyProtection="0">
      <alignment horizontal="right"/>
    </xf>
    <xf numFmtId="0" fontId="34" fillId="24" borderId="10" applyNumberFormat="0" applyProtection="0">
      <alignment horizontal="right"/>
    </xf>
    <xf numFmtId="0" fontId="35" fillId="24" borderId="0" applyNumberFormat="0" applyBorder="0" applyProtection="0">
      <alignment horizontal="left"/>
    </xf>
    <xf numFmtId="0" fontId="36" fillId="24" borderId="0" applyNumberFormat="0" applyBorder="0" applyProtection="0">
      <alignment horizontal="left"/>
    </xf>
    <xf numFmtId="0" fontId="35" fillId="24" borderId="0" applyNumberFormat="0" applyBorder="0" applyProtection="0">
      <alignment horizontal="left"/>
    </xf>
    <xf numFmtId="0" fontId="35" fillId="24" borderId="0" applyNumberFormat="0" applyBorder="0" applyProtection="0">
      <alignment horizontal="left"/>
    </xf>
    <xf numFmtId="0" fontId="35" fillId="24" borderId="0" applyNumberFormat="0" applyBorder="0" applyProtection="0">
      <alignment horizontal="left"/>
    </xf>
    <xf numFmtId="0" fontId="34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34" fillId="24" borderId="10" applyNumberFormat="0" applyProtection="0">
      <alignment horizontal="left"/>
    </xf>
    <xf numFmtId="0" fontId="34" fillId="24" borderId="10" applyNumberFormat="0" applyProtection="0">
      <alignment horizontal="left"/>
    </xf>
    <xf numFmtId="0" fontId="34" fillId="24" borderId="10" applyNumberFormat="0" applyProtection="0">
      <alignment horizontal="left"/>
    </xf>
    <xf numFmtId="0" fontId="32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2" fillId="0" borderId="10" applyNumberFormat="0" applyFill="0" applyProtection="0">
      <alignment horizontal="right"/>
    </xf>
    <xf numFmtId="0" fontId="37" fillId="25" borderId="0" applyNumberFormat="0" applyBorder="0" applyProtection="0">
      <alignment horizontal="left"/>
    </xf>
    <xf numFmtId="0" fontId="38" fillId="25" borderId="0" applyNumberFormat="0" applyBorder="0" applyProtection="0">
      <alignment horizontal="left"/>
    </xf>
    <xf numFmtId="0" fontId="37" fillId="25" borderId="0" applyNumberFormat="0" applyBorder="0" applyProtection="0">
      <alignment horizontal="left"/>
    </xf>
    <xf numFmtId="0" fontId="37" fillId="25" borderId="0" applyNumberFormat="0" applyBorder="0" applyProtection="0">
      <alignment horizontal="left"/>
    </xf>
    <xf numFmtId="0" fontId="37" fillId="25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0" fontId="40" fillId="26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0" fontId="39" fillId="26" borderId="0" applyNumberFormat="0" applyBorder="0" applyProtection="0">
      <alignment horizontal="left"/>
    </xf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29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176" fontId="33" fillId="0" borderId="0" applyFont="0" applyFill="0" applyBorder="0" applyAlignment="0" applyProtection="0"/>
    <xf numFmtId="0" fontId="26" fillId="0" borderId="8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9" fillId="21" borderId="3" applyNumberFormat="0" applyAlignment="0" applyProtection="0"/>
    <xf numFmtId="0" fontId="32" fillId="0" borderId="0"/>
    <xf numFmtId="0" fontId="32" fillId="0" borderId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</cellStyleXfs>
  <cellXfs count="471">
    <xf numFmtId="0" fontId="0" fillId="0" borderId="0" xfId="0"/>
    <xf numFmtId="0" fontId="47" fillId="32" borderId="0" xfId="304" applyFont="1" applyFill="1" applyAlignment="1">
      <alignment wrapText="1"/>
    </xf>
    <xf numFmtId="0" fontId="44" fillId="32" borderId="0" xfId="304" applyFill="1" applyAlignment="1">
      <alignment wrapText="1"/>
    </xf>
    <xf numFmtId="0" fontId="48" fillId="33" borderId="0" xfId="304" applyFont="1" applyFill="1" applyAlignment="1">
      <alignment wrapText="1"/>
    </xf>
    <xf numFmtId="0" fontId="49" fillId="33" borderId="0" xfId="492" applyFont="1" applyFill="1" applyAlignment="1">
      <alignment horizontal="center"/>
    </xf>
    <xf numFmtId="0" fontId="6" fillId="0" borderId="17" xfId="620" applyFont="1" applyFill="1" applyBorder="1" applyAlignment="1">
      <alignment horizontal="left" vertical="center" wrapText="1"/>
    </xf>
    <xf numFmtId="0" fontId="6" fillId="0" borderId="18" xfId="620" applyFont="1" applyFill="1" applyBorder="1" applyAlignment="1">
      <alignment horizontal="centerContinuous" vertical="center" wrapText="1"/>
    </xf>
    <xf numFmtId="0" fontId="8" fillId="0" borderId="18" xfId="620" applyFont="1" applyFill="1" applyBorder="1" applyAlignment="1">
      <alignment horizontal="centerContinuous" vertical="center" wrapText="1"/>
    </xf>
    <xf numFmtId="0" fontId="6" fillId="28" borderId="18" xfId="620" applyFont="1" applyFill="1" applyBorder="1" applyAlignment="1">
      <alignment horizontal="center"/>
    </xf>
    <xf numFmtId="0" fontId="6" fillId="27" borderId="18" xfId="620" applyFont="1" applyFill="1" applyBorder="1" applyAlignment="1">
      <alignment horizontal="center"/>
    </xf>
    <xf numFmtId="0" fontId="10" fillId="27" borderId="19" xfId="620" applyFont="1" applyFill="1" applyBorder="1" applyAlignment="1">
      <alignment horizontal="center" vertical="center"/>
    </xf>
    <xf numFmtId="0" fontId="10" fillId="28" borderId="19" xfId="620" applyFont="1" applyFill="1" applyBorder="1" applyAlignment="1">
      <alignment horizontal="center" vertical="center" wrapText="1"/>
    </xf>
    <xf numFmtId="0" fontId="10" fillId="28" borderId="20" xfId="620" applyFont="1" applyFill="1" applyBorder="1" applyAlignment="1">
      <alignment horizontal="center" vertical="center"/>
    </xf>
    <xf numFmtId="0" fontId="10" fillId="27" borderId="19" xfId="620" applyFont="1" applyFill="1" applyBorder="1" applyAlignment="1">
      <alignment horizontal="center" vertical="center" wrapText="1"/>
    </xf>
    <xf numFmtId="0" fontId="10" fillId="28" borderId="20" xfId="620" applyFont="1" applyFill="1" applyBorder="1" applyAlignment="1">
      <alignment horizontal="center" vertical="center" wrapText="1"/>
    </xf>
    <xf numFmtId="0" fontId="11" fillId="27" borderId="18" xfId="620" applyFont="1" applyFill="1" applyBorder="1" applyAlignment="1">
      <alignment horizontal="center"/>
    </xf>
    <xf numFmtId="0" fontId="11" fillId="27" borderId="21" xfId="620" applyFont="1" applyFill="1" applyBorder="1" applyAlignment="1">
      <alignment horizontal="center"/>
    </xf>
    <xf numFmtId="0" fontId="11" fillId="27" borderId="22" xfId="620" applyFont="1" applyFill="1" applyBorder="1" applyAlignment="1">
      <alignment horizontal="center"/>
    </xf>
    <xf numFmtId="0" fontId="11" fillId="27" borderId="23" xfId="620" applyFont="1" applyFill="1" applyBorder="1" applyAlignment="1">
      <alignment horizontal="center"/>
    </xf>
    <xf numFmtId="0" fontId="14" fillId="27" borderId="23" xfId="620" applyFont="1" applyFill="1" applyBorder="1" applyAlignment="1">
      <alignment horizontal="center"/>
    </xf>
    <xf numFmtId="0" fontId="11" fillId="27" borderId="24" xfId="620" applyFont="1" applyFill="1" applyBorder="1" applyAlignment="1">
      <alignment horizontal="center"/>
    </xf>
    <xf numFmtId="0" fontId="11" fillId="27" borderId="25" xfId="620" applyFont="1" applyFill="1" applyBorder="1" applyAlignment="1">
      <alignment horizontal="center"/>
    </xf>
    <xf numFmtId="0" fontId="50" fillId="33" borderId="0" xfId="304" applyFont="1" applyFill="1" applyAlignment="1">
      <alignment wrapText="1"/>
    </xf>
    <xf numFmtId="0" fontId="48" fillId="33" borderId="0" xfId="304" applyFont="1" applyFill="1" applyAlignment="1"/>
    <xf numFmtId="0" fontId="48" fillId="33" borderId="0" xfId="304" applyFont="1" applyFill="1" applyAlignment="1">
      <alignment horizontal="right" wrapText="1"/>
    </xf>
    <xf numFmtId="0" fontId="48" fillId="33" borderId="0" xfId="304" applyFont="1" applyFill="1" applyAlignment="1">
      <alignment horizontal="center" wrapText="1"/>
    </xf>
    <xf numFmtId="0" fontId="48" fillId="33" borderId="0" xfId="304" applyFont="1" applyFill="1" applyAlignment="1">
      <alignment horizontal="center"/>
    </xf>
    <xf numFmtId="177" fontId="10" fillId="28" borderId="21" xfId="620" applyNumberFormat="1" applyFont="1" applyFill="1" applyBorder="1" applyAlignment="1">
      <alignment horizontal="right"/>
    </xf>
    <xf numFmtId="177" fontId="10" fillId="28" borderId="36" xfId="620" applyNumberFormat="1" applyFont="1" applyFill="1" applyBorder="1" applyAlignment="1">
      <alignment horizontal="right"/>
    </xf>
    <xf numFmtId="177" fontId="10" fillId="27" borderId="21" xfId="620" applyNumberFormat="1" applyFont="1" applyFill="1" applyBorder="1" applyAlignment="1">
      <alignment horizontal="right"/>
    </xf>
    <xf numFmtId="177" fontId="6" fillId="28" borderId="23" xfId="620" applyNumberFormat="1" applyFont="1" applyFill="1" applyBorder="1" applyAlignment="1">
      <alignment horizontal="right"/>
    </xf>
    <xf numFmtId="177" fontId="6" fillId="28" borderId="25" xfId="620" applyNumberFormat="1" applyFont="1" applyFill="1" applyBorder="1" applyAlignment="1">
      <alignment horizontal="right"/>
    </xf>
    <xf numFmtId="177" fontId="0" fillId="0" borderId="0" xfId="0" applyNumberFormat="1"/>
    <xf numFmtId="0" fontId="4" fillId="0" borderId="0" xfId="0" applyFont="1"/>
    <xf numFmtId="170" fontId="10" fillId="28" borderId="18" xfId="620" applyNumberFormat="1" applyFont="1" applyFill="1" applyBorder="1" applyAlignment="1">
      <alignment horizontal="right"/>
    </xf>
    <xf numFmtId="170" fontId="10" fillId="28" borderId="35" xfId="620" applyNumberFormat="1" applyFont="1" applyFill="1" applyBorder="1" applyAlignment="1">
      <alignment horizontal="right"/>
    </xf>
    <xf numFmtId="170" fontId="10" fillId="27" borderId="18" xfId="620" applyNumberFormat="1" applyFont="1" applyFill="1" applyBorder="1" applyAlignment="1">
      <alignment horizontal="right"/>
    </xf>
    <xf numFmtId="170" fontId="0" fillId="0" borderId="0" xfId="0" applyNumberFormat="1"/>
    <xf numFmtId="170" fontId="10" fillId="28" borderId="21" xfId="620" applyNumberFormat="1" applyFont="1" applyFill="1" applyBorder="1" applyAlignment="1">
      <alignment horizontal="right"/>
    </xf>
    <xf numFmtId="170" fontId="6" fillId="28" borderId="22" xfId="620" applyNumberFormat="1" applyFont="1" applyFill="1" applyBorder="1" applyAlignment="1">
      <alignment horizontal="right"/>
    </xf>
    <xf numFmtId="170" fontId="6" fillId="28" borderId="23" xfId="620" applyNumberFormat="1" applyFont="1" applyFill="1" applyBorder="1" applyAlignment="1">
      <alignment horizontal="right"/>
    </xf>
    <xf numFmtId="170" fontId="13" fillId="28" borderId="23" xfId="620" applyNumberFormat="1" applyFont="1" applyFill="1" applyBorder="1" applyAlignment="1">
      <alignment horizontal="right"/>
    </xf>
    <xf numFmtId="170" fontId="6" fillId="28" borderId="24" xfId="620" applyNumberFormat="1" applyFont="1" applyFill="1" applyBorder="1" applyAlignment="1">
      <alignment horizontal="right"/>
    </xf>
    <xf numFmtId="167" fontId="6" fillId="0" borderId="23" xfId="620" applyNumberFormat="1" applyFont="1" applyFill="1" applyBorder="1" applyAlignment="1">
      <alignment horizontal="right"/>
    </xf>
    <xf numFmtId="0" fontId="9" fillId="0" borderId="19" xfId="620" applyFont="1" applyFill="1" applyBorder="1" applyAlignment="1">
      <alignment horizontal="center" vertical="center"/>
    </xf>
    <xf numFmtId="0" fontId="9" fillId="0" borderId="19" xfId="620" quotePrefix="1" applyFont="1" applyFill="1" applyBorder="1" applyAlignment="1">
      <alignment horizontal="center" vertical="center"/>
    </xf>
    <xf numFmtId="0" fontId="10" fillId="0" borderId="18" xfId="620" applyFont="1" applyFill="1" applyBorder="1" applyAlignment="1">
      <alignment horizontal="left"/>
    </xf>
    <xf numFmtId="0" fontId="11" fillId="0" borderId="18" xfId="620" applyFont="1" applyFill="1" applyBorder="1" applyAlignment="1">
      <alignment horizontal="center"/>
    </xf>
    <xf numFmtId="0" fontId="10" fillId="0" borderId="21" xfId="620" applyFont="1" applyFill="1" applyBorder="1" applyAlignment="1">
      <alignment horizontal="left"/>
    </xf>
    <xf numFmtId="0" fontId="11" fillId="0" borderId="21" xfId="620" applyFont="1" applyFill="1" applyBorder="1" applyAlignment="1">
      <alignment horizontal="center"/>
    </xf>
    <xf numFmtId="0" fontId="10" fillId="0" borderId="22" xfId="620" applyFont="1" applyFill="1" applyBorder="1" applyAlignment="1">
      <alignment horizontal="center"/>
    </xf>
    <xf numFmtId="0" fontId="6" fillId="0" borderId="22" xfId="620" applyFont="1" applyFill="1" applyBorder="1" applyAlignment="1">
      <alignment horizontal="left"/>
    </xf>
    <xf numFmtId="0" fontId="11" fillId="0" borderId="22" xfId="620" applyFont="1" applyFill="1" applyBorder="1" applyAlignment="1">
      <alignment horizontal="center"/>
    </xf>
    <xf numFmtId="0" fontId="10" fillId="0" borderId="23" xfId="620" applyFont="1" applyFill="1" applyBorder="1" applyAlignment="1">
      <alignment horizontal="center"/>
    </xf>
    <xf numFmtId="0" fontId="6" fillId="0" borderId="23" xfId="620" applyFont="1" applyFill="1" applyBorder="1" applyAlignment="1">
      <alignment horizontal="left"/>
    </xf>
    <xf numFmtId="0" fontId="11" fillId="0" borderId="23" xfId="620" applyFont="1" applyFill="1" applyBorder="1" applyAlignment="1">
      <alignment horizontal="center"/>
    </xf>
    <xf numFmtId="0" fontId="12" fillId="0" borderId="23" xfId="620" applyFont="1" applyFill="1" applyBorder="1" applyAlignment="1">
      <alignment horizontal="center"/>
    </xf>
    <xf numFmtId="0" fontId="13" fillId="0" borderId="23" xfId="620" applyFont="1" applyFill="1" applyBorder="1" applyAlignment="1">
      <alignment horizontal="left"/>
    </xf>
    <xf numFmtId="0" fontId="14" fillId="0" borderId="23" xfId="620" applyFont="1" applyFill="1" applyBorder="1" applyAlignment="1">
      <alignment horizontal="center"/>
    </xf>
    <xf numFmtId="0" fontId="10" fillId="0" borderId="24" xfId="620" applyFont="1" applyFill="1" applyBorder="1" applyAlignment="1">
      <alignment horizontal="center"/>
    </xf>
    <xf numFmtId="0" fontId="6" fillId="0" borderId="24" xfId="620" applyFont="1" applyFill="1" applyBorder="1" applyAlignment="1">
      <alignment horizontal="left"/>
    </xf>
    <xf numFmtId="0" fontId="11" fillId="0" borderId="24" xfId="620" applyFont="1" applyFill="1" applyBorder="1" applyAlignment="1">
      <alignment horizontal="center"/>
    </xf>
    <xf numFmtId="0" fontId="6" fillId="0" borderId="23" xfId="620" applyFont="1" applyFill="1" applyBorder="1"/>
    <xf numFmtId="0" fontId="6" fillId="0" borderId="25" xfId="620" applyFont="1" applyFill="1" applyBorder="1"/>
    <xf numFmtId="0" fontId="10" fillId="0" borderId="25" xfId="620" applyFont="1" applyFill="1" applyBorder="1" applyAlignment="1">
      <alignment horizontal="center"/>
    </xf>
    <xf numFmtId="0" fontId="6" fillId="0" borderId="25" xfId="620" applyFont="1" applyFill="1" applyBorder="1" applyAlignment="1">
      <alignment horizontal="left"/>
    </xf>
    <xf numFmtId="0" fontId="11" fillId="0" borderId="25" xfId="620" applyFont="1" applyFill="1" applyBorder="1" applyAlignment="1">
      <alignment horizontal="center"/>
    </xf>
    <xf numFmtId="0" fontId="0" fillId="0" borderId="0" xfId="0" applyFill="1"/>
    <xf numFmtId="166" fontId="0" fillId="0" borderId="0" xfId="0" applyNumberFormat="1"/>
    <xf numFmtId="0" fontId="51" fillId="0" borderId="0" xfId="0" applyFont="1"/>
    <xf numFmtId="166" fontId="51" fillId="0" borderId="0" xfId="0" applyNumberFormat="1" applyFont="1"/>
    <xf numFmtId="170" fontId="53" fillId="28" borderId="36" xfId="620" applyNumberFormat="1" applyFont="1" applyFill="1" applyBorder="1" applyAlignment="1">
      <alignment horizontal="right"/>
    </xf>
    <xf numFmtId="170" fontId="53" fillId="27" borderId="21" xfId="620" applyNumberFormat="1" applyFont="1" applyFill="1" applyBorder="1" applyAlignment="1">
      <alignment horizontal="right"/>
    </xf>
    <xf numFmtId="170" fontId="54" fillId="28" borderId="37" xfId="620" applyNumberFormat="1" applyFont="1" applyFill="1" applyBorder="1" applyAlignment="1">
      <alignment horizontal="right"/>
    </xf>
    <xf numFmtId="170" fontId="54" fillId="27" borderId="22" xfId="620" applyNumberFormat="1" applyFont="1" applyFill="1" applyBorder="1" applyAlignment="1">
      <alignment horizontal="right"/>
    </xf>
    <xf numFmtId="170" fontId="54" fillId="28" borderId="38" xfId="620" applyNumberFormat="1" applyFont="1" applyFill="1" applyBorder="1" applyAlignment="1">
      <alignment horizontal="right"/>
    </xf>
    <xf numFmtId="170" fontId="54" fillId="27" borderId="23" xfId="620" applyNumberFormat="1" applyFont="1" applyFill="1" applyBorder="1" applyAlignment="1">
      <alignment horizontal="right"/>
    </xf>
    <xf numFmtId="186" fontId="54" fillId="28" borderId="38" xfId="620" applyNumberFormat="1" applyFont="1" applyFill="1" applyBorder="1" applyAlignment="1">
      <alignment horizontal="right"/>
    </xf>
    <xf numFmtId="186" fontId="54" fillId="27" borderId="23" xfId="620" applyNumberFormat="1" applyFont="1" applyFill="1" applyBorder="1" applyAlignment="1">
      <alignment horizontal="right"/>
    </xf>
    <xf numFmtId="170" fontId="55" fillId="28" borderId="38" xfId="620" applyNumberFormat="1" applyFont="1" applyFill="1" applyBorder="1" applyAlignment="1">
      <alignment horizontal="right"/>
    </xf>
    <xf numFmtId="170" fontId="55" fillId="27" borderId="23" xfId="620" applyNumberFormat="1" applyFont="1" applyFill="1" applyBorder="1" applyAlignment="1">
      <alignment horizontal="right"/>
    </xf>
    <xf numFmtId="170" fontId="54" fillId="28" borderId="39" xfId="620" applyNumberFormat="1" applyFont="1" applyFill="1" applyBorder="1" applyAlignment="1">
      <alignment horizontal="right"/>
    </xf>
    <xf numFmtId="170" fontId="54" fillId="27" borderId="24" xfId="620" applyNumberFormat="1" applyFont="1" applyFill="1" applyBorder="1" applyAlignment="1">
      <alignment horizontal="right"/>
    </xf>
    <xf numFmtId="186" fontId="54" fillId="28" borderId="37" xfId="620" applyNumberFormat="1" applyFont="1" applyFill="1" applyBorder="1" applyAlignment="1">
      <alignment horizontal="right"/>
    </xf>
    <xf numFmtId="186" fontId="54" fillId="27" borderId="22" xfId="620" applyNumberFormat="1" applyFont="1" applyFill="1" applyBorder="1" applyAlignment="1">
      <alignment horizontal="right"/>
    </xf>
    <xf numFmtId="186" fontId="55" fillId="27" borderId="22" xfId="620" applyNumberFormat="1" applyFont="1" applyFill="1" applyBorder="1" applyAlignment="1">
      <alignment horizontal="right"/>
    </xf>
    <xf numFmtId="179" fontId="54" fillId="27" borderId="23" xfId="620" applyNumberFormat="1" applyFont="1" applyFill="1" applyBorder="1" applyAlignment="1">
      <alignment horizontal="right"/>
    </xf>
    <xf numFmtId="177" fontId="54" fillId="28" borderId="38" xfId="620" applyNumberFormat="1" applyFont="1" applyFill="1" applyBorder="1" applyAlignment="1">
      <alignment horizontal="right"/>
    </xf>
    <xf numFmtId="177" fontId="54" fillId="27" borderId="23" xfId="620" applyNumberFormat="1" applyFont="1" applyFill="1" applyBorder="1" applyAlignment="1">
      <alignment horizontal="right"/>
    </xf>
    <xf numFmtId="177" fontId="54" fillId="28" borderId="40" xfId="620" applyNumberFormat="1" applyFont="1" applyFill="1" applyBorder="1" applyAlignment="1">
      <alignment horizontal="right"/>
    </xf>
    <xf numFmtId="177" fontId="54" fillId="27" borderId="25" xfId="620" applyNumberFormat="1" applyFont="1" applyFill="1" applyBorder="1" applyAlignment="1">
      <alignment horizontal="right"/>
    </xf>
    <xf numFmtId="186" fontId="56" fillId="28" borderId="37" xfId="620" applyNumberFormat="1" applyFont="1" applyFill="1" applyBorder="1" applyAlignment="1">
      <alignment horizontal="right"/>
    </xf>
    <xf numFmtId="186" fontId="56" fillId="27" borderId="22" xfId="620" applyNumberFormat="1" applyFont="1" applyFill="1" applyBorder="1" applyAlignment="1">
      <alignment horizontal="right"/>
    </xf>
    <xf numFmtId="186" fontId="56" fillId="28" borderId="38" xfId="620" applyNumberFormat="1" applyFont="1" applyFill="1" applyBorder="1" applyAlignment="1">
      <alignment horizontal="right"/>
    </xf>
    <xf numFmtId="186" fontId="56" fillId="27" borderId="23" xfId="620" applyNumberFormat="1" applyFont="1" applyFill="1" applyBorder="1" applyAlignment="1">
      <alignment horizontal="right"/>
    </xf>
    <xf numFmtId="186" fontId="57" fillId="27" borderId="22" xfId="620" applyNumberFormat="1" applyFont="1" applyFill="1" applyBorder="1" applyAlignment="1">
      <alignment horizontal="right"/>
    </xf>
    <xf numFmtId="186" fontId="56" fillId="34" borderId="38" xfId="620" applyNumberFormat="1" applyFont="1" applyFill="1" applyBorder="1" applyAlignment="1">
      <alignment horizontal="right"/>
    </xf>
    <xf numFmtId="170" fontId="56" fillId="27" borderId="24" xfId="620" applyNumberFormat="1" applyFont="1" applyFill="1" applyBorder="1" applyAlignment="1">
      <alignment horizontal="right"/>
    </xf>
    <xf numFmtId="0" fontId="50" fillId="33" borderId="0" xfId="304" applyFont="1" applyFill="1" applyAlignment="1">
      <alignment horizontal="left" wrapText="1"/>
    </xf>
    <xf numFmtId="0" fontId="59" fillId="0" borderId="0" xfId="0" applyFont="1" applyFill="1"/>
    <xf numFmtId="0" fontId="60" fillId="0" borderId="0" xfId="0" applyFont="1" applyFill="1" applyAlignment="1">
      <alignment horizontal="left"/>
    </xf>
    <xf numFmtId="0" fontId="59" fillId="0" borderId="19" xfId="0" applyFont="1" applyFill="1" applyBorder="1" applyAlignment="1">
      <alignment horizontal="left" vertical="center" wrapText="1"/>
    </xf>
    <xf numFmtId="0" fontId="60" fillId="0" borderId="27" xfId="616" applyFont="1" applyFill="1" applyBorder="1" applyAlignment="1">
      <alignment horizontal="left" wrapText="1"/>
    </xf>
    <xf numFmtId="0" fontId="60" fillId="0" borderId="27" xfId="616" applyFont="1" applyFill="1" applyBorder="1" applyAlignment="1">
      <alignment horizontal="center" wrapText="1"/>
    </xf>
    <xf numFmtId="0" fontId="59" fillId="0" borderId="0" xfId="0" applyFont="1" applyFill="1" applyBorder="1"/>
    <xf numFmtId="0" fontId="59" fillId="0" borderId="0" xfId="0" applyFont="1" applyFill="1" applyBorder="1" applyAlignment="1">
      <alignment horizontal="left" vertical="center" wrapText="1"/>
    </xf>
    <xf numFmtId="1" fontId="59" fillId="0" borderId="0" xfId="0" applyNumberFormat="1" applyFont="1" applyFill="1" applyBorder="1" applyAlignment="1">
      <alignment horizontal="center"/>
    </xf>
    <xf numFmtId="164" fontId="59" fillId="0" borderId="0" xfId="0" applyNumberFormat="1" applyFont="1" applyFill="1" applyBorder="1" applyAlignment="1">
      <alignment horizontal="right"/>
    </xf>
    <xf numFmtId="0" fontId="60" fillId="0" borderId="0" xfId="0" applyFont="1" applyFill="1"/>
    <xf numFmtId="0" fontId="59" fillId="0" borderId="0" xfId="666" applyFont="1" applyFill="1"/>
    <xf numFmtId="165" fontId="60" fillId="0" borderId="0" xfId="0" applyNumberFormat="1" applyFont="1" applyFill="1"/>
    <xf numFmtId="165" fontId="59" fillId="0" borderId="0" xfId="0" applyNumberFormat="1" applyFont="1" applyFill="1"/>
    <xf numFmtId="165" fontId="60" fillId="0" borderId="26" xfId="0" applyNumberFormat="1" applyFont="1" applyFill="1" applyBorder="1"/>
    <xf numFmtId="165" fontId="60" fillId="0" borderId="19" xfId="0" applyNumberFormat="1" applyFont="1" applyFill="1" applyBorder="1"/>
    <xf numFmtId="165" fontId="60" fillId="0" borderId="26" xfId="0" applyNumberFormat="1" applyFont="1" applyFill="1" applyBorder="1" applyAlignment="1">
      <alignment horizontal="left"/>
    </xf>
    <xf numFmtId="165" fontId="59" fillId="0" borderId="27" xfId="616" applyNumberFormat="1" applyFont="1" applyFill="1" applyBorder="1" applyAlignment="1">
      <alignment horizontal="center" vertical="center" wrapText="1"/>
    </xf>
    <xf numFmtId="165" fontId="59" fillId="0" borderId="15" xfId="616" applyNumberFormat="1" applyFont="1" applyFill="1" applyBorder="1" applyAlignment="1">
      <alignment horizontal="center" vertical="center" wrapText="1"/>
    </xf>
    <xf numFmtId="0" fontId="59" fillId="0" borderId="0" xfId="0" applyFont="1" applyFill="1" applyAlignment="1">
      <alignment horizontal="center" vertical="center" wrapText="1"/>
    </xf>
    <xf numFmtId="0" fontId="59" fillId="0" borderId="0" xfId="0" applyFont="1" applyFill="1" applyAlignment="1">
      <alignment horizontal="center"/>
    </xf>
    <xf numFmtId="0" fontId="59" fillId="0" borderId="0" xfId="0" applyFont="1" applyFill="1" applyAlignment="1">
      <alignment horizontal="left"/>
    </xf>
    <xf numFmtId="0" fontId="59" fillId="0" borderId="0" xfId="0" applyFont="1" applyFill="1" applyAlignment="1"/>
    <xf numFmtId="0" fontId="61" fillId="0" borderId="0" xfId="0" applyFont="1" applyFill="1"/>
    <xf numFmtId="0" fontId="60" fillId="0" borderId="0" xfId="0" applyFont="1" applyFill="1" applyBorder="1"/>
    <xf numFmtId="0" fontId="59" fillId="0" borderId="0" xfId="0" applyFont="1" applyFill="1" applyBorder="1" applyAlignment="1">
      <alignment horizontal="left" wrapText="1"/>
    </xf>
    <xf numFmtId="0" fontId="59" fillId="0" borderId="0" xfId="0" applyFont="1" applyFill="1" applyAlignment="1">
      <alignment horizontal="right"/>
    </xf>
    <xf numFmtId="0" fontId="59" fillId="0" borderId="0" xfId="0" applyFont="1" applyFill="1" applyBorder="1" applyAlignment="1">
      <alignment horizontal="right"/>
    </xf>
    <xf numFmtId="0" fontId="60" fillId="0" borderId="0" xfId="687" applyFont="1" applyFill="1" applyAlignment="1">
      <alignment horizontal="left"/>
    </xf>
    <xf numFmtId="0" fontId="59" fillId="0" borderId="0" xfId="687" applyFont="1" applyFill="1"/>
    <xf numFmtId="0" fontId="59" fillId="0" borderId="0" xfId="687" applyFont="1" applyFill="1" applyBorder="1"/>
    <xf numFmtId="0" fontId="59" fillId="0" borderId="0" xfId="687" applyFont="1" applyFill="1" applyBorder="1" applyAlignment="1">
      <alignment horizontal="right"/>
    </xf>
    <xf numFmtId="0" fontId="60" fillId="0" borderId="26" xfId="687" applyFont="1" applyFill="1" applyBorder="1" applyAlignment="1">
      <alignment vertical="center"/>
    </xf>
    <xf numFmtId="0" fontId="60" fillId="0" borderId="26" xfId="616" applyFont="1" applyFill="1" applyBorder="1" applyAlignment="1">
      <alignment vertical="center"/>
    </xf>
    <xf numFmtId="0" fontId="60" fillId="0" borderId="28" xfId="687" applyFont="1" applyFill="1" applyBorder="1" applyAlignment="1">
      <alignment vertical="center"/>
    </xf>
    <xf numFmtId="0" fontId="60" fillId="0" borderId="26" xfId="687" applyFont="1" applyFill="1" applyBorder="1" applyAlignment="1">
      <alignment horizontal="center" vertical="center" wrapText="1"/>
    </xf>
    <xf numFmtId="0" fontId="60" fillId="0" borderId="0" xfId="687" applyFont="1" applyFill="1" applyBorder="1" applyAlignment="1">
      <alignment horizontal="center" vertical="center" wrapText="1"/>
    </xf>
    <xf numFmtId="0" fontId="59" fillId="0" borderId="27" xfId="616" applyFont="1" applyFill="1" applyBorder="1" applyAlignment="1">
      <alignment horizontal="left" wrapText="1"/>
    </xf>
    <xf numFmtId="0" fontId="59" fillId="0" borderId="27" xfId="616" applyFont="1" applyFill="1" applyBorder="1" applyAlignment="1">
      <alignment horizontal="center" wrapText="1"/>
    </xf>
    <xf numFmtId="0" fontId="59" fillId="0" borderId="29" xfId="616" applyFont="1" applyFill="1" applyBorder="1" applyAlignment="1">
      <alignment horizontal="center" wrapText="1"/>
    </xf>
    <xf numFmtId="0" fontId="59" fillId="0" borderId="0" xfId="616" applyFont="1" applyFill="1" applyBorder="1" applyAlignment="1">
      <alignment horizontal="center" wrapText="1"/>
    </xf>
    <xf numFmtId="165" fontId="59" fillId="0" borderId="15" xfId="616" applyNumberFormat="1" applyFont="1" applyFill="1" applyBorder="1" applyAlignment="1">
      <alignment horizontal="left" wrapText="1"/>
    </xf>
    <xf numFmtId="0" fontId="59" fillId="0" borderId="30" xfId="616" applyFont="1" applyFill="1" applyBorder="1" applyAlignment="1">
      <alignment horizontal="left" wrapText="1"/>
    </xf>
    <xf numFmtId="0" fontId="59" fillId="0" borderId="30" xfId="616" applyFont="1" applyFill="1" applyBorder="1" applyAlignment="1">
      <alignment horizontal="center" wrapText="1"/>
    </xf>
    <xf numFmtId="0" fontId="59" fillId="0" borderId="31" xfId="616" applyFont="1" applyFill="1" applyBorder="1" applyAlignment="1">
      <alignment horizontal="right" wrapText="1"/>
    </xf>
    <xf numFmtId="0" fontId="59" fillId="0" borderId="19" xfId="0" applyFont="1" applyFill="1" applyBorder="1"/>
    <xf numFmtId="0" fontId="59" fillId="0" borderId="42" xfId="0" applyFont="1" applyFill="1" applyBorder="1"/>
    <xf numFmtId="0" fontId="59" fillId="0" borderId="19" xfId="0" applyFont="1" applyFill="1" applyBorder="1" applyAlignment="1">
      <alignment horizontal="center"/>
    </xf>
    <xf numFmtId="0" fontId="59" fillId="0" borderId="0" xfId="0" applyFont="1" applyFill="1" applyBorder="1" applyAlignment="1">
      <alignment horizontal="center"/>
    </xf>
    <xf numFmtId="0" fontId="59" fillId="0" borderId="28" xfId="0" applyFont="1" applyFill="1" applyBorder="1"/>
    <xf numFmtId="168" fontId="59" fillId="0" borderId="0" xfId="0" applyNumberFormat="1" applyFont="1" applyFill="1" applyBorder="1" applyAlignment="1">
      <alignment horizontal="center"/>
    </xf>
    <xf numFmtId="0" fontId="59" fillId="0" borderId="18" xfId="0" applyFont="1" applyFill="1" applyBorder="1"/>
    <xf numFmtId="0" fontId="59" fillId="0" borderId="33" xfId="0" applyFont="1" applyFill="1" applyBorder="1"/>
    <xf numFmtId="168" fontId="59" fillId="0" borderId="18" xfId="0" applyNumberFormat="1" applyFont="1" applyFill="1" applyBorder="1" applyAlignment="1">
      <alignment horizontal="center"/>
    </xf>
    <xf numFmtId="0" fontId="59" fillId="0" borderId="18" xfId="0" applyFont="1" applyFill="1" applyBorder="1" applyAlignment="1">
      <alignment horizontal="center"/>
    </xf>
    <xf numFmtId="2" fontId="59" fillId="0" borderId="0" xfId="0" applyNumberFormat="1" applyFont="1" applyFill="1" applyBorder="1" applyAlignment="1">
      <alignment horizontal="center"/>
    </xf>
    <xf numFmtId="0" fontId="59" fillId="0" borderId="32" xfId="0" applyFont="1" applyFill="1" applyBorder="1"/>
    <xf numFmtId="2" fontId="59" fillId="0" borderId="18" xfId="0" applyNumberFormat="1" applyFont="1" applyFill="1" applyBorder="1" applyAlignment="1">
      <alignment horizontal="center"/>
    </xf>
    <xf numFmtId="0" fontId="59" fillId="0" borderId="0" xfId="619" applyFont="1" applyFill="1"/>
    <xf numFmtId="0" fontId="59" fillId="0" borderId="0" xfId="619" applyFont="1" applyFill="1" applyBorder="1"/>
    <xf numFmtId="0" fontId="60" fillId="0" borderId="0" xfId="619" applyFont="1" applyFill="1" applyBorder="1"/>
    <xf numFmtId="0" fontId="60" fillId="0" borderId="0" xfId="619" applyFont="1" applyFill="1"/>
    <xf numFmtId="164" fontId="59" fillId="0" borderId="19" xfId="619" applyNumberFormat="1" applyFont="1" applyFill="1" applyBorder="1" applyAlignment="1">
      <alignment horizontal="center"/>
    </xf>
    <xf numFmtId="0" fontId="59" fillId="0" borderId="0" xfId="619" applyFont="1" applyFill="1" applyBorder="1" applyAlignment="1">
      <alignment horizontal="left"/>
    </xf>
    <xf numFmtId="0" fontId="59" fillId="0" borderId="0" xfId="619" applyFont="1" applyFill="1" applyAlignment="1">
      <alignment horizontal="right"/>
    </xf>
    <xf numFmtId="0" fontId="59" fillId="0" borderId="0" xfId="619" applyFont="1" applyFill="1" applyBorder="1" applyAlignment="1">
      <alignment horizontal="right"/>
    </xf>
    <xf numFmtId="0" fontId="59" fillId="0" borderId="0" xfId="619" applyFont="1" applyFill="1" applyBorder="1" applyAlignment="1">
      <alignment horizontal="left" wrapText="1"/>
    </xf>
    <xf numFmtId="0" fontId="59" fillId="0" borderId="0" xfId="687" applyFont="1" applyFill="1" applyBorder="1" applyAlignment="1">
      <alignment horizontal="left"/>
    </xf>
    <xf numFmtId="165" fontId="59" fillId="0" borderId="0" xfId="619" applyNumberFormat="1" applyFont="1" applyFill="1"/>
    <xf numFmtId="0" fontId="62" fillId="0" borderId="26" xfId="0" applyFont="1" applyFill="1" applyBorder="1" applyAlignment="1">
      <alignment horizontal="center" vertical="center" wrapText="1"/>
    </xf>
    <xf numFmtId="165" fontId="60" fillId="0" borderId="0" xfId="619" applyNumberFormat="1" applyFont="1" applyFill="1"/>
    <xf numFmtId="0" fontId="58" fillId="0" borderId="27" xfId="0" applyFont="1" applyFill="1" applyBorder="1" applyAlignment="1">
      <alignment horizontal="center" vertical="center" wrapText="1"/>
    </xf>
    <xf numFmtId="2" fontId="60" fillId="0" borderId="0" xfId="687" applyNumberFormat="1" applyFont="1" applyFill="1" applyBorder="1" applyAlignment="1">
      <alignment horizontal="center" vertical="center" wrapText="1"/>
    </xf>
    <xf numFmtId="165" fontId="60" fillId="0" borderId="19" xfId="619" applyNumberFormat="1" applyFont="1" applyFill="1" applyBorder="1"/>
    <xf numFmtId="0" fontId="59" fillId="0" borderId="31" xfId="616" applyFont="1" applyFill="1" applyBorder="1" applyAlignment="1">
      <alignment horizontal="center" wrapText="1"/>
    </xf>
    <xf numFmtId="0" fontId="58" fillId="0" borderId="30" xfId="0" applyFont="1" applyFill="1" applyBorder="1" applyAlignment="1">
      <alignment horizontal="center" wrapText="1"/>
    </xf>
    <xf numFmtId="0" fontId="60" fillId="0" borderId="30" xfId="616" applyFont="1" applyFill="1" applyBorder="1" applyAlignment="1">
      <alignment horizontal="center" wrapText="1"/>
    </xf>
    <xf numFmtId="0" fontId="59" fillId="0" borderId="26" xfId="619" applyFont="1" applyFill="1" applyBorder="1"/>
    <xf numFmtId="0" fontId="59" fillId="0" borderId="28" xfId="619" applyFont="1" applyFill="1" applyBorder="1"/>
    <xf numFmtId="2" fontId="59" fillId="0" borderId="26" xfId="619" applyNumberFormat="1" applyFont="1" applyFill="1" applyBorder="1" applyAlignment="1">
      <alignment horizontal="center"/>
    </xf>
    <xf numFmtId="164" fontId="59" fillId="0" borderId="26" xfId="619" applyNumberFormat="1" applyFont="1" applyFill="1" applyBorder="1" applyAlignment="1">
      <alignment horizontal="center"/>
    </xf>
    <xf numFmtId="2" fontId="60" fillId="0" borderId="26" xfId="619" applyNumberFormat="1" applyFont="1" applyFill="1" applyBorder="1" applyAlignment="1">
      <alignment horizontal="center"/>
    </xf>
    <xf numFmtId="0" fontId="59" fillId="0" borderId="26" xfId="619" applyFont="1" applyFill="1" applyBorder="1" applyAlignment="1">
      <alignment horizontal="center"/>
    </xf>
    <xf numFmtId="0" fontId="59" fillId="0" borderId="32" xfId="619" applyFont="1" applyFill="1" applyBorder="1"/>
    <xf numFmtId="2" fontId="59" fillId="0" borderId="0" xfId="619" applyNumberFormat="1" applyFont="1" applyFill="1" applyBorder="1" applyAlignment="1">
      <alignment horizontal="center"/>
    </xf>
    <xf numFmtId="164" fontId="59" fillId="0" borderId="0" xfId="619" applyNumberFormat="1" applyFont="1" applyFill="1" applyBorder="1" applyAlignment="1">
      <alignment horizontal="center"/>
    </xf>
    <xf numFmtId="2" fontId="60" fillId="0" borderId="0" xfId="619" applyNumberFormat="1" applyFont="1" applyFill="1" applyBorder="1" applyAlignment="1">
      <alignment horizontal="center"/>
    </xf>
    <xf numFmtId="0" fontId="59" fillId="0" borderId="0" xfId="619" applyFont="1" applyFill="1" applyBorder="1" applyAlignment="1">
      <alignment horizontal="center"/>
    </xf>
    <xf numFmtId="169" fontId="60" fillId="0" borderId="0" xfId="619" applyNumberFormat="1" applyFont="1" applyFill="1" applyBorder="1" applyAlignment="1">
      <alignment horizontal="center"/>
    </xf>
    <xf numFmtId="169" fontId="59" fillId="0" borderId="0" xfId="619" applyNumberFormat="1" applyFont="1" applyFill="1" applyBorder="1" applyAlignment="1">
      <alignment horizontal="center"/>
    </xf>
    <xf numFmtId="0" fontId="58" fillId="0" borderId="0" xfId="619" applyFont="1" applyFill="1" applyBorder="1"/>
    <xf numFmtId="0" fontId="59" fillId="0" borderId="18" xfId="619" applyFont="1" applyFill="1" applyBorder="1"/>
    <xf numFmtId="0" fontId="58" fillId="0" borderId="18" xfId="619" applyFont="1" applyFill="1" applyBorder="1"/>
    <xf numFmtId="0" fontId="59" fillId="0" borderId="33" xfId="619" applyFont="1" applyFill="1" applyBorder="1"/>
    <xf numFmtId="2" fontId="59" fillId="0" borderId="35" xfId="619" applyNumberFormat="1" applyFont="1" applyFill="1" applyBorder="1" applyAlignment="1">
      <alignment horizontal="center"/>
    </xf>
    <xf numFmtId="2" fontId="59" fillId="0" borderId="18" xfId="619" applyNumberFormat="1" applyFont="1" applyFill="1" applyBorder="1" applyAlignment="1">
      <alignment horizontal="center"/>
    </xf>
    <xf numFmtId="164" fontId="59" fillId="0" borderId="18" xfId="619" applyNumberFormat="1" applyFont="1" applyFill="1" applyBorder="1" applyAlignment="1">
      <alignment horizontal="center"/>
    </xf>
    <xf numFmtId="169" fontId="60" fillId="0" borderId="18" xfId="619" applyNumberFormat="1" applyFont="1" applyFill="1" applyBorder="1" applyAlignment="1">
      <alignment horizontal="center"/>
    </xf>
    <xf numFmtId="169" fontId="59" fillId="0" borderId="18" xfId="619" applyNumberFormat="1" applyFont="1" applyFill="1" applyBorder="1" applyAlignment="1">
      <alignment horizontal="center"/>
    </xf>
    <xf numFmtId="0" fontId="59" fillId="0" borderId="18" xfId="619" applyFont="1" applyFill="1" applyBorder="1" applyAlignment="1">
      <alignment horizontal="center"/>
    </xf>
    <xf numFmtId="169" fontId="59" fillId="0" borderId="26" xfId="619" applyNumberFormat="1" applyFont="1" applyFill="1" applyBorder="1" applyAlignment="1">
      <alignment horizontal="center"/>
    </xf>
    <xf numFmtId="0" fontId="60" fillId="0" borderId="46" xfId="687" applyFont="1" applyFill="1" applyBorder="1" applyAlignment="1">
      <alignment horizontal="center" vertical="center" wrapText="1"/>
    </xf>
    <xf numFmtId="0" fontId="60" fillId="0" borderId="28" xfId="687" applyFont="1" applyFill="1" applyBorder="1" applyAlignment="1">
      <alignment horizontal="center" vertical="center" wrapText="1"/>
    </xf>
    <xf numFmtId="0" fontId="59" fillId="0" borderId="49" xfId="616" applyFont="1" applyFill="1" applyBorder="1" applyAlignment="1">
      <alignment horizontal="center" wrapText="1"/>
    </xf>
    <xf numFmtId="0" fontId="59" fillId="0" borderId="50" xfId="616" applyFont="1" applyFill="1" applyBorder="1" applyAlignment="1">
      <alignment horizontal="center" wrapText="1"/>
    </xf>
    <xf numFmtId="0" fontId="59" fillId="0" borderId="12" xfId="616" applyFont="1" applyFill="1" applyBorder="1" applyAlignment="1">
      <alignment horizontal="center" wrapText="1"/>
    </xf>
    <xf numFmtId="0" fontId="59" fillId="0" borderId="41" xfId="616" applyFont="1" applyFill="1" applyBorder="1" applyAlignment="1">
      <alignment horizontal="center" wrapText="1"/>
    </xf>
    <xf numFmtId="0" fontId="59" fillId="0" borderId="46" xfId="0" applyFont="1" applyFill="1" applyBorder="1"/>
    <xf numFmtId="0" fontId="59" fillId="0" borderId="26" xfId="0" applyFont="1" applyFill="1" applyBorder="1"/>
    <xf numFmtId="164" fontId="59" fillId="0" borderId="26" xfId="0" applyNumberFormat="1" applyFont="1" applyFill="1" applyBorder="1"/>
    <xf numFmtId="0" fontId="59" fillId="0" borderId="46" xfId="619" applyFont="1" applyFill="1" applyBorder="1"/>
    <xf numFmtId="0" fontId="59" fillId="0" borderId="43" xfId="619" applyFont="1" applyFill="1" applyBorder="1"/>
    <xf numFmtId="0" fontId="59" fillId="0" borderId="43" xfId="0" applyFont="1" applyFill="1" applyBorder="1"/>
    <xf numFmtId="164" fontId="59" fillId="0" borderId="0" xfId="0" applyNumberFormat="1" applyFont="1" applyFill="1" applyBorder="1" applyAlignment="1">
      <alignment horizontal="center"/>
    </xf>
    <xf numFmtId="0" fontId="59" fillId="0" borderId="35" xfId="619" applyFont="1" applyFill="1" applyBorder="1"/>
    <xf numFmtId="0" fontId="60" fillId="0" borderId="0" xfId="687" applyFont="1" applyFill="1" applyBorder="1" applyAlignment="1">
      <alignment vertical="center"/>
    </xf>
    <xf numFmtId="0" fontId="60" fillId="0" borderId="0" xfId="616" applyFont="1" applyFill="1" applyBorder="1" applyAlignment="1">
      <alignment vertical="center"/>
    </xf>
    <xf numFmtId="0" fontId="59" fillId="0" borderId="0" xfId="616" applyFont="1" applyFill="1" applyBorder="1" applyAlignment="1">
      <alignment horizontal="left" wrapText="1"/>
    </xf>
    <xf numFmtId="0" fontId="58" fillId="0" borderId="0" xfId="0" applyFont="1" applyFill="1"/>
    <xf numFmtId="0" fontId="60" fillId="0" borderId="26" xfId="0" applyFont="1" applyFill="1" applyBorder="1" applyAlignment="1">
      <alignment vertical="center"/>
    </xf>
    <xf numFmtId="0" fontId="60" fillId="0" borderId="26" xfId="0" applyFont="1" applyFill="1" applyBorder="1" applyAlignment="1">
      <alignment horizontal="center" vertical="center" wrapText="1"/>
    </xf>
    <xf numFmtId="169" fontId="59" fillId="0" borderId="0" xfId="0" applyNumberFormat="1" applyFont="1" applyFill="1" applyAlignment="1">
      <alignment horizontal="center"/>
    </xf>
    <xf numFmtId="2" fontId="60" fillId="0" borderId="19" xfId="687" applyNumberFormat="1" applyFont="1" applyFill="1" applyBorder="1" applyAlignment="1">
      <alignment horizontal="center" vertical="center" wrapText="1"/>
    </xf>
    <xf numFmtId="0" fontId="59" fillId="0" borderId="12" xfId="616" applyFont="1" applyFill="1" applyBorder="1" applyAlignment="1">
      <alignment horizontal="left" wrapText="1"/>
    </xf>
    <xf numFmtId="169" fontId="59" fillId="0" borderId="43" xfId="0" applyNumberFormat="1" applyFont="1" applyFill="1" applyBorder="1" applyAlignment="1">
      <alignment horizontal="center"/>
    </xf>
    <xf numFmtId="169" fontId="59" fillId="0" borderId="0" xfId="0" applyNumberFormat="1" applyFont="1" applyFill="1" applyBorder="1" applyAlignment="1">
      <alignment horizontal="center"/>
    </xf>
    <xf numFmtId="0" fontId="58" fillId="0" borderId="0" xfId="0" applyFont="1" applyFill="1" applyBorder="1"/>
    <xf numFmtId="0" fontId="58" fillId="0" borderId="18" xfId="0" applyFont="1" applyFill="1" applyBorder="1"/>
    <xf numFmtId="169" fontId="59" fillId="0" borderId="18" xfId="0" applyNumberFormat="1" applyFont="1" applyFill="1" applyBorder="1" applyAlignment="1">
      <alignment horizontal="center"/>
    </xf>
    <xf numFmtId="169" fontId="59" fillId="0" borderId="35" xfId="0" applyNumberFormat="1" applyFont="1" applyFill="1" applyBorder="1" applyAlignment="1">
      <alignment horizontal="center"/>
    </xf>
    <xf numFmtId="169" fontId="60" fillId="0" borderId="0" xfId="0" applyNumberFormat="1" applyFont="1" applyFill="1" applyAlignment="1">
      <alignment horizontal="center"/>
    </xf>
    <xf numFmtId="0" fontId="59" fillId="0" borderId="27" xfId="0" applyFont="1" applyFill="1" applyBorder="1" applyAlignment="1">
      <alignment horizontal="left" wrapText="1"/>
    </xf>
    <xf numFmtId="0" fontId="59" fillId="0" borderId="27" xfId="0" applyFont="1" applyFill="1" applyBorder="1" applyAlignment="1">
      <alignment horizontal="center" wrapText="1"/>
    </xf>
    <xf numFmtId="0" fontId="60" fillId="0" borderId="30" xfId="0" applyFont="1" applyFill="1" applyBorder="1" applyAlignment="1">
      <alignment horizontal="center"/>
    </xf>
    <xf numFmtId="0" fontId="59" fillId="0" borderId="30" xfId="0" applyFont="1" applyFill="1" applyBorder="1" applyAlignment="1">
      <alignment horizontal="center"/>
    </xf>
    <xf numFmtId="164" fontId="59" fillId="0" borderId="30" xfId="0" applyNumberFormat="1" applyFont="1" applyFill="1" applyBorder="1" applyAlignment="1">
      <alignment horizontal="center"/>
    </xf>
    <xf numFmtId="2" fontId="59" fillId="0" borderId="0" xfId="0" applyNumberFormat="1" applyFont="1" applyFill="1" applyAlignment="1">
      <alignment horizontal="center"/>
    </xf>
    <xf numFmtId="2" fontId="60" fillId="0" borderId="0" xfId="0" applyNumberFormat="1" applyFont="1" applyFill="1" applyAlignment="1">
      <alignment horizontal="center" vertical="center" wrapText="1"/>
    </xf>
    <xf numFmtId="0" fontId="59" fillId="0" borderId="0" xfId="0" applyFont="1" applyFill="1" applyAlignment="1">
      <alignment horizontal="center" wrapText="1"/>
    </xf>
    <xf numFmtId="165" fontId="59" fillId="0" borderId="15" xfId="0" applyNumberFormat="1" applyFont="1" applyFill="1" applyBorder="1" applyAlignment="1">
      <alignment horizontal="left" wrapText="1"/>
    </xf>
    <xf numFmtId="0" fontId="59" fillId="0" borderId="0" xfId="0" applyFont="1" applyFill="1" applyAlignment="1">
      <alignment horizontal="left" wrapText="1"/>
    </xf>
    <xf numFmtId="180" fontId="59" fillId="0" borderId="0" xfId="0" applyNumberFormat="1" applyFont="1" applyFill="1" applyAlignment="1">
      <alignment horizontal="center"/>
    </xf>
    <xf numFmtId="2" fontId="62" fillId="0" borderId="18" xfId="0" applyNumberFormat="1" applyFont="1" applyFill="1" applyBorder="1"/>
    <xf numFmtId="0" fontId="60" fillId="0" borderId="28" xfId="0" applyFont="1" applyFill="1" applyBorder="1" applyAlignment="1">
      <alignment vertical="center"/>
    </xf>
    <xf numFmtId="0" fontId="60" fillId="0" borderId="0" xfId="0" applyFont="1" applyFill="1" applyAlignment="1">
      <alignment horizontal="center" vertical="center" wrapText="1"/>
    </xf>
    <xf numFmtId="0" fontId="59" fillId="0" borderId="29" xfId="0" applyFont="1" applyFill="1" applyBorder="1" applyAlignment="1">
      <alignment horizontal="center" wrapText="1"/>
    </xf>
    <xf numFmtId="0" fontId="58" fillId="0" borderId="0" xfId="0" quotePrefix="1" applyFont="1" applyFill="1" applyAlignment="1">
      <alignment horizontal="left"/>
    </xf>
    <xf numFmtId="0" fontId="58" fillId="0" borderId="32" xfId="0" applyFont="1" applyFill="1" applyBorder="1" applyAlignment="1">
      <alignment wrapText="1"/>
    </xf>
    <xf numFmtId="2" fontId="58" fillId="0" borderId="0" xfId="0" applyNumberFormat="1" applyFont="1" applyFill="1" applyAlignment="1">
      <alignment horizontal="center"/>
    </xf>
    <xf numFmtId="164" fontId="58" fillId="0" borderId="0" xfId="0" applyNumberFormat="1" applyFont="1" applyFill="1"/>
    <xf numFmtId="2" fontId="58" fillId="0" borderId="0" xfId="0" applyNumberFormat="1" applyFont="1" applyFill="1"/>
    <xf numFmtId="169" fontId="58" fillId="0" borderId="0" xfId="0" applyNumberFormat="1" applyFont="1" applyFill="1" applyAlignment="1">
      <alignment horizontal="center"/>
    </xf>
    <xf numFmtId="0" fontId="58" fillId="0" borderId="0" xfId="0" applyFont="1" applyFill="1" applyAlignment="1">
      <alignment wrapText="1"/>
    </xf>
    <xf numFmtId="164" fontId="59" fillId="0" borderId="0" xfId="0" applyNumberFormat="1" applyFont="1" applyFill="1" applyAlignment="1">
      <alignment horizontal="center"/>
    </xf>
    <xf numFmtId="0" fontId="58" fillId="0" borderId="33" xfId="0" applyFont="1" applyFill="1" applyBorder="1" applyAlignment="1">
      <alignment wrapText="1"/>
    </xf>
    <xf numFmtId="1" fontId="58" fillId="0" borderId="0" xfId="0" applyNumberFormat="1" applyFont="1" applyFill="1" applyAlignment="1">
      <alignment horizontal="center"/>
    </xf>
    <xf numFmtId="0" fontId="63" fillId="0" borderId="27" xfId="0" applyFont="1" applyFill="1" applyBorder="1"/>
    <xf numFmtId="0" fontId="58" fillId="0" borderId="27" xfId="0" applyFont="1" applyFill="1" applyBorder="1"/>
    <xf numFmtId="2" fontId="58" fillId="0" borderId="27" xfId="0" applyNumberFormat="1" applyFont="1" applyFill="1" applyBorder="1"/>
    <xf numFmtId="169" fontId="62" fillId="0" borderId="27" xfId="0" applyNumberFormat="1" applyFont="1" applyFill="1" applyBorder="1" applyAlignment="1">
      <alignment horizontal="center"/>
    </xf>
    <xf numFmtId="2" fontId="62" fillId="0" borderId="0" xfId="0" applyNumberFormat="1" applyFont="1" applyFill="1"/>
    <xf numFmtId="0" fontId="60" fillId="0" borderId="28" xfId="0" applyFont="1" applyFill="1" applyBorder="1" applyAlignment="1">
      <alignment horizontal="center" vertical="center"/>
    </xf>
    <xf numFmtId="0" fontId="58" fillId="0" borderId="32" xfId="0" applyFont="1" applyFill="1" applyBorder="1"/>
    <xf numFmtId="164" fontId="58" fillId="0" borderId="0" xfId="0" applyNumberFormat="1" applyFont="1" applyFill="1" applyAlignment="1">
      <alignment horizontal="center"/>
    </xf>
    <xf numFmtId="0" fontId="58" fillId="0" borderId="0" xfId="0" applyFont="1" applyFill="1" applyAlignment="1">
      <alignment horizontal="center"/>
    </xf>
    <xf numFmtId="43" fontId="58" fillId="0" borderId="0" xfId="433" applyFont="1" applyFill="1" applyAlignment="1">
      <alignment horizontal="center"/>
    </xf>
    <xf numFmtId="184" fontId="58" fillId="0" borderId="0" xfId="433" applyNumberFormat="1" applyFont="1" applyFill="1" applyAlignment="1">
      <alignment horizontal="center"/>
    </xf>
    <xf numFmtId="185" fontId="58" fillId="0" borderId="0" xfId="433" applyNumberFormat="1" applyFont="1" applyFill="1" applyAlignment="1">
      <alignment horizontal="center"/>
    </xf>
    <xf numFmtId="0" fontId="58" fillId="0" borderId="29" xfId="0" applyFont="1" applyFill="1" applyBorder="1"/>
    <xf numFmtId="164" fontId="58" fillId="0" borderId="27" xfId="0" applyNumberFormat="1" applyFont="1" applyFill="1" applyBorder="1"/>
    <xf numFmtId="164" fontId="62" fillId="0" borderId="27" xfId="0" applyNumberFormat="1" applyFont="1" applyFill="1" applyBorder="1" applyAlignment="1">
      <alignment horizontal="center"/>
    </xf>
    <xf numFmtId="181" fontId="59" fillId="0" borderId="0" xfId="0" applyNumberFormat="1" applyFont="1" applyFill="1" applyAlignment="1">
      <alignment horizontal="center"/>
    </xf>
    <xf numFmtId="2" fontId="62" fillId="0" borderId="27" xfId="0" applyNumberFormat="1" applyFont="1" applyFill="1" applyBorder="1" applyAlignment="1">
      <alignment horizontal="center"/>
    </xf>
    <xf numFmtId="0" fontId="58" fillId="0" borderId="27" xfId="0" applyFont="1" applyFill="1" applyBorder="1" applyAlignment="1">
      <alignment horizontal="center"/>
    </xf>
    <xf numFmtId="164" fontId="62" fillId="0" borderId="27" xfId="0" applyNumberFormat="1" applyFont="1" applyFill="1" applyBorder="1"/>
    <xf numFmtId="164" fontId="58" fillId="0" borderId="27" xfId="0" applyNumberFormat="1" applyFont="1" applyFill="1" applyBorder="1" applyAlignment="1">
      <alignment horizontal="center"/>
    </xf>
    <xf numFmtId="0" fontId="60" fillId="0" borderId="0" xfId="0" applyFont="1" applyFill="1" applyAlignment="1">
      <alignment vertical="center"/>
    </xf>
    <xf numFmtId="0" fontId="59" fillId="0" borderId="0" xfId="0" applyFont="1" applyFill="1" applyProtection="1">
      <protection locked="0"/>
    </xf>
    <xf numFmtId="0" fontId="60" fillId="0" borderId="0" xfId="0" applyFont="1" applyFill="1" applyProtection="1">
      <protection locked="0"/>
    </xf>
    <xf numFmtId="0" fontId="62" fillId="0" borderId="0" xfId="0" applyFont="1" applyFill="1" applyAlignment="1">
      <alignment horizontal="left"/>
    </xf>
    <xf numFmtId="167" fontId="59" fillId="0" borderId="23" xfId="0" applyNumberFormat="1" applyFont="1" applyFill="1" applyBorder="1" applyAlignment="1">
      <alignment horizontal="right"/>
    </xf>
    <xf numFmtId="170" fontId="59" fillId="0" borderId="0" xfId="0" applyNumberFormat="1" applyFont="1" applyFill="1" applyAlignment="1">
      <alignment horizontal="left"/>
    </xf>
    <xf numFmtId="177" fontId="59" fillId="0" borderId="0" xfId="0" applyNumberFormat="1" applyFont="1" applyFill="1" applyAlignment="1">
      <alignment horizontal="center"/>
    </xf>
    <xf numFmtId="9" fontId="59" fillId="0" borderId="0" xfId="770" applyFont="1" applyFill="1" applyBorder="1" applyAlignment="1">
      <alignment horizontal="center"/>
    </xf>
    <xf numFmtId="0" fontId="60" fillId="0" borderId="27" xfId="0" applyFont="1" applyFill="1" applyBorder="1" applyAlignment="1">
      <alignment horizontal="left"/>
    </xf>
    <xf numFmtId="0" fontId="60" fillId="0" borderId="27" xfId="0" applyFont="1" applyFill="1" applyBorder="1" applyAlignment="1">
      <alignment horizontal="left" wrapText="1"/>
    </xf>
    <xf numFmtId="0" fontId="60" fillId="0" borderId="27" xfId="0" applyFont="1" applyFill="1" applyBorder="1" applyAlignment="1">
      <alignment horizontal="center" wrapText="1"/>
    </xf>
    <xf numFmtId="0" fontId="60" fillId="0" borderId="0" xfId="0" applyFont="1" applyFill="1" applyAlignment="1">
      <alignment horizontal="left" wrapText="1"/>
    </xf>
    <xf numFmtId="167" fontId="59" fillId="0" borderId="25" xfId="0" applyNumberFormat="1" applyFont="1" applyFill="1" applyBorder="1" applyAlignment="1">
      <alignment horizontal="right"/>
    </xf>
    <xf numFmtId="0" fontId="60" fillId="0" borderId="0" xfId="0" applyFont="1" applyFill="1" applyAlignment="1">
      <alignment horizontal="right"/>
    </xf>
    <xf numFmtId="170" fontId="60" fillId="0" borderId="0" xfId="0" applyNumberFormat="1" applyFont="1" applyFill="1" applyAlignment="1">
      <alignment horizontal="right"/>
    </xf>
    <xf numFmtId="167" fontId="59" fillId="0" borderId="0" xfId="0" applyNumberFormat="1" applyFont="1" applyFill="1"/>
    <xf numFmtId="182" fontId="60" fillId="0" borderId="0" xfId="0" applyNumberFormat="1" applyFont="1" applyFill="1" applyProtection="1">
      <protection locked="0"/>
    </xf>
    <xf numFmtId="183" fontId="60" fillId="0" borderId="0" xfId="0" applyNumberFormat="1" applyFont="1" applyFill="1"/>
    <xf numFmtId="166" fontId="59" fillId="0" borderId="0" xfId="0" applyNumberFormat="1" applyFont="1" applyFill="1" applyAlignment="1">
      <alignment horizontal="center"/>
    </xf>
    <xf numFmtId="0" fontId="59" fillId="0" borderId="0" xfId="0" applyFont="1" applyFill="1" applyBorder="1" applyAlignment="1" applyProtection="1">
      <protection locked="0"/>
    </xf>
    <xf numFmtId="0" fontId="59" fillId="0" borderId="0" xfId="0" applyFont="1" applyFill="1" applyBorder="1" applyAlignment="1">
      <alignment horizontal="left"/>
    </xf>
    <xf numFmtId="164" fontId="59" fillId="0" borderId="18" xfId="0" applyNumberFormat="1" applyFont="1" applyFill="1" applyBorder="1" applyAlignment="1">
      <alignment horizontal="center"/>
    </xf>
    <xf numFmtId="0" fontId="59" fillId="0" borderId="0" xfId="0" applyFont="1" applyFill="1" applyBorder="1" applyProtection="1">
      <protection locked="0"/>
    </xf>
    <xf numFmtId="0" fontId="59" fillId="0" borderId="18" xfId="620" applyFont="1" applyFill="1" applyBorder="1" applyAlignment="1">
      <alignment horizontal="center"/>
    </xf>
    <xf numFmtId="0" fontId="60" fillId="0" borderId="0" xfId="0" applyFont="1" applyFill="1" applyBorder="1" applyProtection="1">
      <protection locked="0"/>
    </xf>
    <xf numFmtId="0" fontId="59" fillId="0" borderId="26" xfId="687" applyFont="1" applyFill="1" applyBorder="1" applyAlignment="1">
      <alignment vertical="center"/>
    </xf>
    <xf numFmtId="0" fontId="60" fillId="0" borderId="0" xfId="0" applyFont="1" applyFill="1" applyBorder="1" applyAlignment="1"/>
    <xf numFmtId="0" fontId="60" fillId="0" borderId="0" xfId="0" applyFont="1" applyFill="1" applyAlignment="1"/>
    <xf numFmtId="0" fontId="59" fillId="0" borderId="0" xfId="645" applyFont="1" applyFill="1" applyBorder="1" applyAlignment="1">
      <alignment horizontal="left"/>
    </xf>
    <xf numFmtId="170" fontId="59" fillId="0" borderId="23" xfId="620" applyNumberFormat="1" applyFont="1" applyFill="1" applyBorder="1" applyAlignment="1">
      <alignment horizontal="left"/>
    </xf>
    <xf numFmtId="167" fontId="59" fillId="0" borderId="23" xfId="620" applyNumberFormat="1" applyFont="1" applyFill="1" applyBorder="1" applyAlignment="1">
      <alignment horizontal="right"/>
    </xf>
    <xf numFmtId="167" fontId="59" fillId="0" borderId="0" xfId="0" applyNumberFormat="1" applyFont="1" applyFill="1" applyBorder="1" applyProtection="1">
      <protection locked="0"/>
    </xf>
    <xf numFmtId="170" fontId="59" fillId="0" borderId="0" xfId="620" applyNumberFormat="1" applyFont="1" applyFill="1" applyBorder="1" applyAlignment="1">
      <alignment horizontal="left"/>
    </xf>
    <xf numFmtId="177" fontId="59" fillId="0" borderId="0" xfId="620" applyNumberFormat="1" applyFont="1" applyFill="1" applyBorder="1" applyAlignment="1">
      <alignment horizontal="center"/>
    </xf>
    <xf numFmtId="0" fontId="59" fillId="0" borderId="27" xfId="616" applyFont="1" applyFill="1" applyBorder="1" applyAlignment="1">
      <alignment horizontal="left"/>
    </xf>
    <xf numFmtId="178" fontId="59" fillId="0" borderId="0" xfId="0" applyNumberFormat="1" applyFont="1" applyFill="1"/>
    <xf numFmtId="168" fontId="59" fillId="0" borderId="0" xfId="0" applyNumberFormat="1" applyFont="1" applyFill="1"/>
    <xf numFmtId="0" fontId="59" fillId="0" borderId="12" xfId="0" applyFont="1" applyFill="1" applyBorder="1"/>
    <xf numFmtId="2" fontId="59" fillId="0" borderId="26" xfId="0" applyNumberFormat="1" applyFont="1" applyFill="1" applyBorder="1" applyAlignment="1">
      <alignment horizontal="center"/>
    </xf>
    <xf numFmtId="169" fontId="59" fillId="0" borderId="26" xfId="0" applyNumberFormat="1" applyFont="1" applyFill="1" applyBorder="1" applyAlignment="1">
      <alignment horizontal="center"/>
    </xf>
    <xf numFmtId="0" fontId="59" fillId="0" borderId="26" xfId="0" applyFont="1" applyFill="1" applyBorder="1" applyAlignment="1">
      <alignment horizontal="center"/>
    </xf>
    <xf numFmtId="164" fontId="59" fillId="0" borderId="26" xfId="0" applyNumberFormat="1" applyFont="1" applyFill="1" applyBorder="1" applyAlignment="1">
      <alignment horizontal="center"/>
    </xf>
    <xf numFmtId="168" fontId="59" fillId="0" borderId="0" xfId="0" applyNumberFormat="1" applyFont="1" applyFill="1" applyAlignment="1">
      <alignment horizontal="center"/>
    </xf>
    <xf numFmtId="2" fontId="59" fillId="0" borderId="35" xfId="0" applyNumberFormat="1" applyFont="1" applyFill="1" applyBorder="1" applyAlignment="1">
      <alignment horizontal="center"/>
    </xf>
    <xf numFmtId="0" fontId="59" fillId="0" borderId="0" xfId="0" applyFont="1" applyFill="1" applyBorder="1" applyAlignment="1"/>
    <xf numFmtId="0" fontId="60" fillId="0" borderId="0" xfId="0" applyFont="1" applyFill="1" applyBorder="1" applyAlignment="1">
      <alignment wrapText="1"/>
    </xf>
    <xf numFmtId="10" fontId="59" fillId="0" borderId="0" xfId="0" applyNumberFormat="1" applyFont="1" applyFill="1" applyBorder="1" applyAlignment="1">
      <alignment horizontal="center" vertical="center"/>
    </xf>
    <xf numFmtId="10" fontId="59" fillId="0" borderId="0" xfId="0" applyNumberFormat="1" applyFont="1" applyFill="1" applyBorder="1" applyAlignment="1" applyProtection="1">
      <alignment horizontal="center" vertical="center"/>
      <protection locked="0"/>
    </xf>
    <xf numFmtId="170" fontId="59" fillId="0" borderId="23" xfId="620" applyNumberFormat="1" applyFont="1" applyFill="1" applyBorder="1" applyAlignment="1">
      <alignment horizontal="right"/>
    </xf>
    <xf numFmtId="170" fontId="59" fillId="0" borderId="0" xfId="620" applyNumberFormat="1" applyFont="1" applyFill="1" applyBorder="1" applyAlignment="1">
      <alignment horizontal="right"/>
    </xf>
    <xf numFmtId="0" fontId="59" fillId="0" borderId="0" xfId="0" applyFont="1" applyFill="1" applyBorder="1" applyAlignment="1" applyProtection="1">
      <alignment horizontal="left" vertical="center" wrapText="1"/>
      <protection locked="0"/>
    </xf>
    <xf numFmtId="166" fontId="59" fillId="0" borderId="0" xfId="0" applyNumberFormat="1" applyFont="1" applyFill="1" applyBorder="1" applyAlignment="1" applyProtection="1">
      <alignment horizontal="right"/>
    </xf>
    <xf numFmtId="0" fontId="59" fillId="0" borderId="0" xfId="687" applyFont="1" applyFill="1" applyBorder="1" applyAlignment="1">
      <alignment vertical="center"/>
    </xf>
    <xf numFmtId="1" fontId="58" fillId="0" borderId="0" xfId="0" applyNumberFormat="1" applyFont="1" applyFill="1"/>
    <xf numFmtId="0" fontId="59" fillId="0" borderId="23" xfId="620" applyFont="1" applyFill="1" applyBorder="1" applyAlignment="1">
      <alignment horizontal="left"/>
    </xf>
    <xf numFmtId="167" fontId="59" fillId="0" borderId="34" xfId="620" applyNumberFormat="1" applyFont="1" applyFill="1" applyBorder="1" applyAlignment="1">
      <alignment horizontal="right"/>
    </xf>
    <xf numFmtId="167" fontId="59" fillId="0" borderId="0" xfId="0" applyNumberFormat="1" applyFont="1" applyFill="1" applyProtection="1">
      <protection locked="0"/>
    </xf>
    <xf numFmtId="2" fontId="59" fillId="0" borderId="0" xfId="0" applyNumberFormat="1" applyFont="1" applyFill="1" applyBorder="1"/>
    <xf numFmtId="170" fontId="60" fillId="0" borderId="0" xfId="620" applyNumberFormat="1" applyFont="1" applyFill="1" applyBorder="1" applyAlignment="1">
      <alignment horizontal="left"/>
    </xf>
    <xf numFmtId="0" fontId="60" fillId="0" borderId="0" xfId="0" applyFont="1" applyFill="1" applyBorder="1" applyAlignment="1">
      <alignment horizontal="center" vertical="center" wrapText="1"/>
    </xf>
    <xf numFmtId="4" fontId="59" fillId="0" borderId="0" xfId="0" applyNumberFormat="1" applyFont="1" applyFill="1"/>
    <xf numFmtId="3" fontId="59" fillId="0" borderId="0" xfId="0" applyNumberFormat="1" applyFont="1" applyFill="1"/>
    <xf numFmtId="187" fontId="59" fillId="0" borderId="0" xfId="0" applyNumberFormat="1" applyFont="1" applyFill="1" applyAlignment="1">
      <alignment horizontal="center"/>
    </xf>
    <xf numFmtId="0" fontId="64" fillId="0" borderId="30" xfId="616" applyFont="1" applyFill="1" applyBorder="1" applyAlignment="1">
      <alignment horizontal="center" vertical="center" wrapText="1"/>
    </xf>
    <xf numFmtId="166" fontId="59" fillId="0" borderId="28" xfId="0" applyNumberFormat="1" applyFont="1" applyFill="1" applyBorder="1" applyAlignment="1">
      <alignment horizontal="center"/>
    </xf>
    <xf numFmtId="166" fontId="59" fillId="0" borderId="32" xfId="0" applyNumberFormat="1" applyFont="1" applyFill="1" applyBorder="1"/>
    <xf numFmtId="0" fontId="59" fillId="0" borderId="35" xfId="0" applyFont="1" applyFill="1" applyBorder="1"/>
    <xf numFmtId="166" fontId="59" fillId="0" borderId="33" xfId="0" applyNumberFormat="1" applyFont="1" applyFill="1" applyBorder="1"/>
    <xf numFmtId="166" fontId="59" fillId="0" borderId="18" xfId="0" applyNumberFormat="1" applyFont="1" applyFill="1" applyBorder="1" applyAlignment="1">
      <alignment horizontal="center"/>
    </xf>
    <xf numFmtId="166" fontId="59" fillId="0" borderId="46" xfId="0" applyNumberFormat="1" applyFont="1" applyFill="1" applyBorder="1"/>
    <xf numFmtId="166" fontId="59" fillId="0" borderId="28" xfId="0" applyNumberFormat="1" applyFont="1" applyFill="1" applyBorder="1"/>
    <xf numFmtId="166" fontId="59" fillId="0" borderId="43" xfId="0" applyNumberFormat="1" applyFont="1" applyFill="1" applyBorder="1"/>
    <xf numFmtId="166" fontId="59" fillId="0" borderId="35" xfId="0" applyNumberFormat="1" applyFont="1" applyFill="1" applyBorder="1"/>
    <xf numFmtId="2" fontId="59" fillId="0" borderId="46" xfId="0" applyNumberFormat="1" applyFont="1" applyFill="1" applyBorder="1"/>
    <xf numFmtId="2" fontId="59" fillId="0" borderId="28" xfId="0" applyNumberFormat="1" applyFont="1" applyFill="1" applyBorder="1"/>
    <xf numFmtId="2" fontId="59" fillId="0" borderId="43" xfId="0" applyNumberFormat="1" applyFont="1" applyFill="1" applyBorder="1"/>
    <xf numFmtId="2" fontId="59" fillId="0" borderId="32" xfId="0" applyNumberFormat="1" applyFont="1" applyFill="1" applyBorder="1"/>
    <xf numFmtId="0" fontId="59" fillId="0" borderId="47" xfId="0" applyFont="1" applyFill="1" applyBorder="1"/>
    <xf numFmtId="0" fontId="58" fillId="0" borderId="47" xfId="0" applyFont="1" applyFill="1" applyBorder="1"/>
    <xf numFmtId="0" fontId="59" fillId="0" borderId="48" xfId="0" applyFont="1" applyFill="1" applyBorder="1"/>
    <xf numFmtId="2" fontId="59" fillId="0" borderId="47" xfId="0" applyNumberFormat="1" applyFont="1" applyFill="1" applyBorder="1" applyAlignment="1">
      <alignment horizontal="center"/>
    </xf>
    <xf numFmtId="169" fontId="59" fillId="0" borderId="47" xfId="0" applyNumberFormat="1" applyFont="1" applyFill="1" applyBorder="1" applyAlignment="1">
      <alignment horizontal="center"/>
    </xf>
    <xf numFmtId="0" fontId="59" fillId="0" borderId="47" xfId="0" applyFont="1" applyFill="1" applyBorder="1" applyAlignment="1">
      <alignment horizontal="center"/>
    </xf>
    <xf numFmtId="2" fontId="59" fillId="0" borderId="35" xfId="0" applyNumberFormat="1" applyFont="1" applyFill="1" applyBorder="1"/>
    <xf numFmtId="2" fontId="59" fillId="0" borderId="33" xfId="0" applyNumberFormat="1" applyFont="1" applyFill="1" applyBorder="1"/>
    <xf numFmtId="166" fontId="59" fillId="0" borderId="46" xfId="0" applyNumberFormat="1" applyFont="1" applyFill="1" applyBorder="1" applyAlignment="1">
      <alignment horizontal="center"/>
    </xf>
    <xf numFmtId="166" fontId="59" fillId="0" borderId="0" xfId="0" applyNumberFormat="1" applyFont="1" applyFill="1" applyBorder="1" applyAlignment="1">
      <alignment horizontal="center"/>
    </xf>
    <xf numFmtId="166" fontId="59" fillId="0" borderId="47" xfId="0" applyNumberFormat="1" applyFont="1" applyFill="1" applyBorder="1" applyAlignment="1">
      <alignment horizontal="center"/>
    </xf>
    <xf numFmtId="164" fontId="59" fillId="0" borderId="47" xfId="0" applyNumberFormat="1" applyFont="1" applyFill="1" applyBorder="1" applyAlignment="1">
      <alignment horizontal="center"/>
    </xf>
    <xf numFmtId="170" fontId="59" fillId="0" borderId="34" xfId="620" applyNumberFormat="1" applyFont="1" applyFill="1" applyBorder="1" applyAlignment="1">
      <alignment horizontal="left"/>
    </xf>
    <xf numFmtId="170" fontId="59" fillId="0" borderId="34" xfId="620" applyNumberFormat="1" applyFont="1" applyFill="1" applyBorder="1" applyAlignment="1">
      <alignment horizontal="right"/>
    </xf>
    <xf numFmtId="170" fontId="59" fillId="0" borderId="0" xfId="0" applyNumberFormat="1" applyFont="1" applyFill="1" applyBorder="1"/>
    <xf numFmtId="0" fontId="60" fillId="0" borderId="0" xfId="616" applyFont="1" applyFill="1" applyBorder="1" applyAlignment="1">
      <alignment horizontal="left" wrapText="1"/>
    </xf>
    <xf numFmtId="0" fontId="59" fillId="0" borderId="12" xfId="0" applyFont="1" applyFill="1" applyBorder="1" applyAlignment="1">
      <alignment horizontal="center"/>
    </xf>
    <xf numFmtId="1" fontId="59" fillId="0" borderId="0" xfId="0" applyNumberFormat="1" applyFont="1" applyFill="1"/>
    <xf numFmtId="2" fontId="60" fillId="0" borderId="18" xfId="0" applyNumberFormat="1" applyFont="1" applyFill="1" applyBorder="1"/>
    <xf numFmtId="0" fontId="59" fillId="0" borderId="0" xfId="0" quotePrefix="1" applyFont="1" applyFill="1" applyAlignment="1">
      <alignment horizontal="left"/>
    </xf>
    <xf numFmtId="0" fontId="59" fillId="0" borderId="32" xfId="0" applyFont="1" applyFill="1" applyBorder="1" applyAlignment="1">
      <alignment wrapText="1"/>
    </xf>
    <xf numFmtId="164" fontId="59" fillId="0" borderId="0" xfId="0" applyNumberFormat="1" applyFont="1" applyFill="1"/>
    <xf numFmtId="2" fontId="59" fillId="0" borderId="0" xfId="0" applyNumberFormat="1" applyFont="1" applyFill="1"/>
    <xf numFmtId="0" fontId="59" fillId="0" borderId="0" xfId="0" applyFont="1" applyFill="1" applyAlignment="1">
      <alignment wrapText="1"/>
    </xf>
    <xf numFmtId="0" fontId="59" fillId="0" borderId="33" xfId="0" applyFont="1" applyFill="1" applyBorder="1" applyAlignment="1">
      <alignment wrapText="1"/>
    </xf>
    <xf numFmtId="1" fontId="59" fillId="0" borderId="0" xfId="0" applyNumberFormat="1" applyFont="1" applyFill="1" applyAlignment="1">
      <alignment horizontal="center"/>
    </xf>
    <xf numFmtId="0" fontId="59" fillId="0" borderId="27" xfId="0" applyFont="1" applyFill="1" applyBorder="1"/>
    <xf numFmtId="2" fontId="59" fillId="0" borderId="27" xfId="0" applyNumberFormat="1" applyFont="1" applyFill="1" applyBorder="1"/>
    <xf numFmtId="169" fontId="60" fillId="0" borderId="27" xfId="0" applyNumberFormat="1" applyFont="1" applyFill="1" applyBorder="1" applyAlignment="1">
      <alignment horizontal="center"/>
    </xf>
    <xf numFmtId="2" fontId="60" fillId="0" borderId="0" xfId="0" applyNumberFormat="1" applyFont="1" applyFill="1"/>
    <xf numFmtId="0" fontId="59" fillId="0" borderId="29" xfId="0" applyFont="1" applyFill="1" applyBorder="1"/>
    <xf numFmtId="164" fontId="59" fillId="0" borderId="27" xfId="0" applyNumberFormat="1" applyFont="1" applyFill="1" applyBorder="1"/>
    <xf numFmtId="164" fontId="60" fillId="0" borderId="27" xfId="0" applyNumberFormat="1" applyFont="1" applyFill="1" applyBorder="1" applyAlignment="1">
      <alignment horizontal="center"/>
    </xf>
    <xf numFmtId="2" fontId="60" fillId="0" borderId="27" xfId="0" applyNumberFormat="1" applyFont="1" applyFill="1" applyBorder="1" applyAlignment="1">
      <alignment horizontal="center"/>
    </xf>
    <xf numFmtId="0" fontId="59" fillId="0" borderId="27" xfId="0" applyFont="1" applyFill="1" applyBorder="1" applyAlignment="1">
      <alignment horizontal="center"/>
    </xf>
    <xf numFmtId="164" fontId="60" fillId="0" borderId="27" xfId="0" applyNumberFormat="1" applyFont="1" applyFill="1" applyBorder="1"/>
    <xf numFmtId="164" fontId="59" fillId="0" borderId="27" xfId="0" applyNumberFormat="1" applyFont="1" applyFill="1" applyBorder="1" applyAlignment="1">
      <alignment horizontal="center"/>
    </xf>
    <xf numFmtId="0" fontId="59" fillId="0" borderId="18" xfId="0" applyFont="1" applyFill="1" applyBorder="1" applyAlignment="1">
      <alignment wrapText="1"/>
    </xf>
    <xf numFmtId="2" fontId="59" fillId="0" borderId="18" xfId="0" applyNumberFormat="1" applyFont="1" applyFill="1" applyBorder="1"/>
    <xf numFmtId="1" fontId="59" fillId="0" borderId="18" xfId="0" applyNumberFormat="1" applyFont="1" applyFill="1" applyBorder="1" applyAlignment="1">
      <alignment horizontal="center"/>
    </xf>
    <xf numFmtId="0" fontId="59" fillId="0" borderId="20" xfId="0" applyFont="1" applyFill="1" applyBorder="1" applyAlignment="1">
      <alignment horizontal="center"/>
    </xf>
    <xf numFmtId="0" fontId="59" fillId="0" borderId="42" xfId="0" applyFont="1" applyFill="1" applyBorder="1" applyAlignment="1">
      <alignment horizontal="center"/>
    </xf>
    <xf numFmtId="0" fontId="59" fillId="0" borderId="44" xfId="0" applyFont="1" applyFill="1" applyBorder="1"/>
    <xf numFmtId="0" fontId="59" fillId="0" borderId="45" xfId="0" applyFont="1" applyFill="1" applyBorder="1"/>
    <xf numFmtId="0" fontId="59" fillId="0" borderId="17" xfId="0" applyFont="1" applyFill="1" applyBorder="1"/>
    <xf numFmtId="2" fontId="59" fillId="0" borderId="11" xfId="0" applyNumberFormat="1" applyFont="1" applyFill="1" applyBorder="1"/>
    <xf numFmtId="0" fontId="59" fillId="0" borderId="13" xfId="0" applyFont="1" applyFill="1" applyBorder="1"/>
    <xf numFmtId="2" fontId="59" fillId="0" borderId="46" xfId="0" applyNumberFormat="1" applyFont="1" applyFill="1" applyBorder="1" applyAlignment="1">
      <alignment horizontal="center"/>
    </xf>
    <xf numFmtId="2" fontId="59" fillId="0" borderId="28" xfId="0" applyNumberFormat="1" applyFont="1" applyFill="1" applyBorder="1" applyAlignment="1">
      <alignment horizontal="center"/>
    </xf>
    <xf numFmtId="2" fontId="59" fillId="0" borderId="14" xfId="0" applyNumberFormat="1" applyFont="1" applyFill="1" applyBorder="1"/>
    <xf numFmtId="0" fontId="59" fillId="0" borderId="15" xfId="0" applyFont="1" applyFill="1" applyBorder="1"/>
    <xf numFmtId="0" fontId="59" fillId="0" borderId="16" xfId="0" applyFont="1" applyFill="1" applyBorder="1"/>
    <xf numFmtId="0" fontId="59" fillId="0" borderId="45" xfId="0" applyFont="1" applyFill="1" applyBorder="1" applyAlignment="1">
      <alignment horizontal="right"/>
    </xf>
    <xf numFmtId="164" fontId="60" fillId="0" borderId="17" xfId="0" applyNumberFormat="1" applyFont="1" applyFill="1" applyBorder="1" applyAlignment="1">
      <alignment horizontal="center"/>
    </xf>
    <xf numFmtId="166" fontId="58" fillId="0" borderId="0" xfId="0" applyNumberFormat="1" applyFont="1" applyFill="1"/>
    <xf numFmtId="0" fontId="60" fillId="0" borderId="26" xfId="0" applyFont="1" applyFill="1" applyBorder="1" applyAlignment="1">
      <alignment horizontal="center" vertical="center"/>
    </xf>
    <xf numFmtId="0" fontId="59" fillId="0" borderId="32" xfId="0" applyFont="1" applyFill="1" applyBorder="1" applyAlignment="1">
      <alignment horizontal="left"/>
    </xf>
    <xf numFmtId="2" fontId="60" fillId="0" borderId="0" xfId="0" applyNumberFormat="1" applyFont="1" applyFill="1" applyAlignment="1">
      <alignment horizontal="center"/>
    </xf>
    <xf numFmtId="166" fontId="60" fillId="0" borderId="0" xfId="0" applyNumberFormat="1" applyFont="1" applyFill="1" applyAlignment="1">
      <alignment horizontal="center"/>
    </xf>
    <xf numFmtId="0" fontId="59" fillId="0" borderId="18" xfId="0" applyFont="1" applyFill="1" applyBorder="1" applyAlignment="1">
      <alignment horizontal="left"/>
    </xf>
    <xf numFmtId="0" fontId="59" fillId="0" borderId="33" xfId="0" applyFont="1" applyFill="1" applyBorder="1" applyAlignment="1">
      <alignment horizontal="left"/>
    </xf>
    <xf numFmtId="0" fontId="60" fillId="0" borderId="0" xfId="0" applyFont="1" applyFill="1" applyAlignment="1">
      <alignment wrapText="1"/>
    </xf>
    <xf numFmtId="10" fontId="59" fillId="0" borderId="0" xfId="0" applyNumberFormat="1" applyFont="1" applyFill="1" applyAlignment="1">
      <alignment horizontal="center" vertical="center"/>
    </xf>
    <xf numFmtId="10" fontId="59" fillId="0" borderId="0" xfId="0" applyNumberFormat="1" applyFont="1" applyFill="1" applyAlignment="1" applyProtection="1">
      <alignment horizontal="center" vertical="center"/>
      <protection locked="0"/>
    </xf>
    <xf numFmtId="170" fontId="60" fillId="0" borderId="23" xfId="0" applyNumberFormat="1" applyFont="1" applyFill="1" applyBorder="1" applyAlignment="1">
      <alignment horizontal="left"/>
    </xf>
    <xf numFmtId="170" fontId="59" fillId="0" borderId="23" xfId="0" applyNumberFormat="1" applyFont="1" applyFill="1" applyBorder="1" applyAlignment="1">
      <alignment horizontal="right"/>
    </xf>
    <xf numFmtId="170" fontId="60" fillId="0" borderId="0" xfId="0" applyNumberFormat="1" applyFont="1" applyFill="1" applyAlignment="1">
      <alignment horizontal="left"/>
    </xf>
    <xf numFmtId="0" fontId="59" fillId="0" borderId="0" xfId="0" applyFont="1" applyFill="1" applyAlignment="1" applyProtection="1">
      <alignment horizontal="left" vertical="center" wrapText="1"/>
      <protection locked="0"/>
    </xf>
    <xf numFmtId="166" fontId="60" fillId="0" borderId="0" xfId="0" applyNumberFormat="1" applyFont="1" applyFill="1" applyAlignment="1">
      <alignment horizontal="right"/>
    </xf>
    <xf numFmtId="0" fontId="64" fillId="0" borderId="0" xfId="0" applyFont="1" applyFill="1"/>
    <xf numFmtId="0" fontId="59" fillId="0" borderId="0" xfId="0" applyFont="1" applyFill="1" applyAlignment="1">
      <alignment horizontal="left" indent="2"/>
    </xf>
    <xf numFmtId="0" fontId="65" fillId="0" borderId="0" xfId="0" applyFont="1" applyFill="1"/>
    <xf numFmtId="0" fontId="64" fillId="0" borderId="30" xfId="616" applyFont="1" applyFill="1" applyBorder="1" applyAlignment="1">
      <alignment horizontal="left" vertical="center" wrapText="1"/>
    </xf>
    <xf numFmtId="0" fontId="64" fillId="0" borderId="31" xfId="616" applyFont="1" applyFill="1" applyBorder="1" applyAlignment="1">
      <alignment horizontal="center" vertical="center" wrapText="1"/>
    </xf>
    <xf numFmtId="164" fontId="59" fillId="0" borderId="46" xfId="0" applyNumberFormat="1" applyFont="1" applyFill="1" applyBorder="1" applyAlignment="1">
      <alignment horizontal="center"/>
    </xf>
    <xf numFmtId="164" fontId="59" fillId="0" borderId="28" xfId="0" applyNumberFormat="1" applyFont="1" applyFill="1" applyBorder="1" applyAlignment="1">
      <alignment horizontal="center"/>
    </xf>
    <xf numFmtId="164" fontId="59" fillId="0" borderId="43" xfId="0" applyNumberFormat="1" applyFont="1" applyFill="1" applyBorder="1"/>
    <xf numFmtId="164" fontId="59" fillId="0" borderId="32" xfId="0" applyNumberFormat="1" applyFont="1" applyFill="1" applyBorder="1"/>
    <xf numFmtId="164" fontId="59" fillId="0" borderId="35" xfId="0" applyNumberFormat="1" applyFont="1" applyFill="1" applyBorder="1"/>
    <xf numFmtId="164" fontId="59" fillId="0" borderId="33" xfId="0" applyNumberFormat="1" applyFont="1" applyFill="1" applyBorder="1"/>
    <xf numFmtId="0" fontId="59" fillId="0" borderId="20" xfId="0" applyFont="1" applyFill="1" applyBorder="1"/>
    <xf numFmtId="0" fontId="59" fillId="0" borderId="30" xfId="616" applyFont="1" applyFill="1" applyBorder="1" applyAlignment="1">
      <alignment horizontal="center" vertical="center" wrapText="1"/>
    </xf>
    <xf numFmtId="0" fontId="59" fillId="0" borderId="31" xfId="616" applyFont="1" applyFill="1" applyBorder="1" applyAlignment="1">
      <alignment horizontal="center" vertical="center" wrapText="1"/>
    </xf>
    <xf numFmtId="166" fontId="59" fillId="0" borderId="0" xfId="0" applyNumberFormat="1" applyFont="1" applyFill="1"/>
    <xf numFmtId="0" fontId="59" fillId="0" borderId="19" xfId="687" applyFont="1" applyFill="1" applyBorder="1" applyAlignment="1">
      <alignment vertical="center"/>
    </xf>
    <xf numFmtId="170" fontId="59" fillId="0" borderId="22" xfId="620" applyNumberFormat="1" applyFont="1" applyFill="1" applyBorder="1" applyAlignment="1">
      <alignment horizontal="left"/>
    </xf>
    <xf numFmtId="186" fontId="59" fillId="0" borderId="0" xfId="0" applyNumberFormat="1" applyFont="1" applyFill="1" applyBorder="1" applyProtection="1">
      <protection locked="0"/>
    </xf>
    <xf numFmtId="0" fontId="60" fillId="0" borderId="19" xfId="687" applyFont="1" applyFill="1" applyBorder="1" applyAlignment="1">
      <alignment vertical="center"/>
    </xf>
    <xf numFmtId="0" fontId="59" fillId="0" borderId="19" xfId="616" applyFont="1" applyFill="1" applyBorder="1" applyAlignment="1">
      <alignment horizontal="left"/>
    </xf>
    <xf numFmtId="170" fontId="59" fillId="0" borderId="22" xfId="620" applyNumberFormat="1" applyFont="1" applyFill="1" applyBorder="1" applyAlignment="1">
      <alignment horizontal="center"/>
    </xf>
    <xf numFmtId="170" fontId="59" fillId="0" borderId="23" xfId="620" applyNumberFormat="1" applyFont="1" applyFill="1" applyBorder="1" applyAlignment="1">
      <alignment horizontal="center"/>
    </xf>
    <xf numFmtId="0" fontId="58" fillId="0" borderId="0" xfId="708" applyFont="1" applyFill="1"/>
    <xf numFmtId="0" fontId="58" fillId="0" borderId="0" xfId="708" applyFont="1" applyFill="1" applyAlignment="1">
      <alignment horizontal="center"/>
    </xf>
    <xf numFmtId="0" fontId="64" fillId="0" borderId="0" xfId="708" applyFont="1" applyFill="1"/>
    <xf numFmtId="0" fontId="62" fillId="0" borderId="0" xfId="687" applyFont="1" applyFill="1" applyAlignment="1">
      <alignment horizontal="left"/>
    </xf>
    <xf numFmtId="0" fontId="64" fillId="0" borderId="0" xfId="666" applyFont="1" applyFill="1"/>
    <xf numFmtId="0" fontId="62" fillId="0" borderId="26" xfId="687" applyFont="1" applyFill="1" applyBorder="1" applyAlignment="1">
      <alignment vertical="center"/>
    </xf>
    <xf numFmtId="0" fontId="62" fillId="0" borderId="26" xfId="616" applyFont="1" applyFill="1" applyBorder="1" applyAlignment="1">
      <alignment vertical="center"/>
    </xf>
    <xf numFmtId="0" fontId="62" fillId="0" borderId="28" xfId="687" applyFont="1" applyFill="1" applyBorder="1" applyAlignment="1">
      <alignment vertical="center"/>
    </xf>
    <xf numFmtId="0" fontId="62" fillId="0" borderId="26" xfId="708" applyFont="1" applyFill="1" applyBorder="1" applyAlignment="1">
      <alignment horizontal="center" vertical="center"/>
    </xf>
    <xf numFmtId="0" fontId="58" fillId="0" borderId="26" xfId="616" applyFont="1" applyFill="1" applyBorder="1" applyAlignment="1">
      <alignment horizontal="left" wrapText="1"/>
    </xf>
    <xf numFmtId="0" fontId="58" fillId="0" borderId="26" xfId="616" applyFont="1" applyFill="1" applyBorder="1" applyAlignment="1">
      <alignment horizontal="center" wrapText="1"/>
    </xf>
    <xf numFmtId="0" fontId="58" fillId="0" borderId="28" xfId="616" applyFont="1" applyFill="1" applyBorder="1" applyAlignment="1">
      <alignment horizontal="center" wrapText="1"/>
    </xf>
    <xf numFmtId="165" fontId="65" fillId="0" borderId="0" xfId="708" applyNumberFormat="1" applyFont="1" applyFill="1"/>
    <xf numFmtId="165" fontId="58" fillId="0" borderId="0" xfId="708" applyNumberFormat="1" applyFont="1" applyFill="1"/>
    <xf numFmtId="165" fontId="58" fillId="0" borderId="0" xfId="708" applyNumberFormat="1" applyFont="1" applyFill="1" applyAlignment="1">
      <alignment horizontal="center"/>
    </xf>
    <xf numFmtId="0" fontId="58" fillId="0" borderId="18" xfId="616" applyFont="1" applyFill="1" applyBorder="1" applyAlignment="1">
      <alignment horizontal="left" wrapText="1"/>
    </xf>
    <xf numFmtId="0" fontId="58" fillId="0" borderId="18" xfId="616" applyFont="1" applyFill="1" applyBorder="1" applyAlignment="1">
      <alignment horizontal="center" wrapText="1"/>
    </xf>
    <xf numFmtId="0" fontId="58" fillId="0" borderId="33" xfId="616" applyFont="1" applyFill="1" applyBorder="1" applyAlignment="1">
      <alignment horizontal="center" wrapText="1"/>
    </xf>
    <xf numFmtId="0" fontId="59" fillId="0" borderId="18" xfId="616" applyFont="1" applyFill="1" applyBorder="1" applyAlignment="1">
      <alignment horizontal="center" wrapText="1"/>
    </xf>
    <xf numFmtId="165" fontId="62" fillId="0" borderId="0" xfId="708" applyNumberFormat="1" applyFont="1" applyFill="1"/>
    <xf numFmtId="0" fontId="58" fillId="0" borderId="0" xfId="708" applyFont="1" applyFill="1" applyBorder="1"/>
    <xf numFmtId="1" fontId="58" fillId="0" borderId="32" xfId="708" applyNumberFormat="1" applyFont="1" applyFill="1" applyBorder="1"/>
    <xf numFmtId="169" fontId="58" fillId="0" borderId="0" xfId="708" applyNumberFormat="1" applyFont="1" applyFill="1" applyBorder="1" applyAlignment="1">
      <alignment horizontal="center"/>
    </xf>
    <xf numFmtId="2" fontId="58" fillId="0" borderId="26" xfId="0" applyNumberFormat="1" applyFont="1" applyFill="1" applyBorder="1" applyAlignment="1">
      <alignment horizontal="left"/>
    </xf>
    <xf numFmtId="165" fontId="62" fillId="0" borderId="19" xfId="708" applyNumberFormat="1" applyFont="1" applyFill="1" applyBorder="1"/>
    <xf numFmtId="165" fontId="62" fillId="0" borderId="19" xfId="708" applyNumberFormat="1" applyFont="1" applyFill="1" applyBorder="1" applyAlignment="1">
      <alignment horizontal="center"/>
    </xf>
    <xf numFmtId="165" fontId="58" fillId="0" borderId="15" xfId="616" applyNumberFormat="1" applyFont="1" applyFill="1" applyBorder="1" applyAlignment="1">
      <alignment horizontal="left" wrapText="1"/>
    </xf>
    <xf numFmtId="165" fontId="58" fillId="0" borderId="15" xfId="616" applyNumberFormat="1" applyFont="1" applyFill="1" applyBorder="1" applyAlignment="1">
      <alignment horizontal="center" wrapText="1"/>
    </xf>
    <xf numFmtId="169" fontId="66" fillId="0" borderId="0" xfId="708" applyNumberFormat="1" applyFont="1" applyFill="1" applyBorder="1" applyAlignment="1">
      <alignment horizontal="center"/>
    </xf>
  </cellXfs>
  <cellStyles count="1425">
    <cellStyle name="20% - Accent1 2" xfId="1" xr:uid="{00000000-0005-0000-0000-000000000000}"/>
    <cellStyle name="20% - Accent1 2 10" xfId="2" xr:uid="{00000000-0005-0000-0000-000001000000}"/>
    <cellStyle name="20% - Accent1 2 11" xfId="3" xr:uid="{00000000-0005-0000-0000-000002000000}"/>
    <cellStyle name="20% - Accent1 2 12" xfId="4" xr:uid="{00000000-0005-0000-0000-000003000000}"/>
    <cellStyle name="20% - Accent1 2 13" xfId="5" xr:uid="{00000000-0005-0000-0000-000004000000}"/>
    <cellStyle name="20% - Accent1 2 14" xfId="6" xr:uid="{00000000-0005-0000-0000-000005000000}"/>
    <cellStyle name="20% - Accent1 2 15" xfId="7" xr:uid="{00000000-0005-0000-0000-000006000000}"/>
    <cellStyle name="20% - Accent1 2 2" xfId="8" xr:uid="{00000000-0005-0000-0000-000007000000}"/>
    <cellStyle name="20% - Accent1 2 3" xfId="9" xr:uid="{00000000-0005-0000-0000-000008000000}"/>
    <cellStyle name="20% - Accent1 2 4" xfId="10" xr:uid="{00000000-0005-0000-0000-000009000000}"/>
    <cellStyle name="20% - Accent1 2 5" xfId="11" xr:uid="{00000000-0005-0000-0000-00000A000000}"/>
    <cellStyle name="20% - Accent1 2 6" xfId="12" xr:uid="{00000000-0005-0000-0000-00000B000000}"/>
    <cellStyle name="20% - Accent1 2 7" xfId="13" xr:uid="{00000000-0005-0000-0000-00000C000000}"/>
    <cellStyle name="20% - Accent1 2 8" xfId="14" xr:uid="{00000000-0005-0000-0000-00000D000000}"/>
    <cellStyle name="20% - Accent1 2 9" xfId="15" xr:uid="{00000000-0005-0000-0000-00000E000000}"/>
    <cellStyle name="20% - Accent2 2" xfId="16" xr:uid="{00000000-0005-0000-0000-00000F000000}"/>
    <cellStyle name="20% - Accent2 2 10" xfId="17" xr:uid="{00000000-0005-0000-0000-000010000000}"/>
    <cellStyle name="20% - Accent2 2 11" xfId="18" xr:uid="{00000000-0005-0000-0000-000011000000}"/>
    <cellStyle name="20% - Accent2 2 12" xfId="19" xr:uid="{00000000-0005-0000-0000-000012000000}"/>
    <cellStyle name="20% - Accent2 2 13" xfId="20" xr:uid="{00000000-0005-0000-0000-000013000000}"/>
    <cellStyle name="20% - Accent2 2 14" xfId="21" xr:uid="{00000000-0005-0000-0000-000014000000}"/>
    <cellStyle name="20% - Accent2 2 15" xfId="22" xr:uid="{00000000-0005-0000-0000-000015000000}"/>
    <cellStyle name="20% - Accent2 2 2" xfId="23" xr:uid="{00000000-0005-0000-0000-000016000000}"/>
    <cellStyle name="20% - Accent2 2 3" xfId="24" xr:uid="{00000000-0005-0000-0000-000017000000}"/>
    <cellStyle name="20% - Accent2 2 4" xfId="25" xr:uid="{00000000-0005-0000-0000-000018000000}"/>
    <cellStyle name="20% - Accent2 2 5" xfId="26" xr:uid="{00000000-0005-0000-0000-000019000000}"/>
    <cellStyle name="20% - Accent2 2 6" xfId="27" xr:uid="{00000000-0005-0000-0000-00001A000000}"/>
    <cellStyle name="20% - Accent2 2 7" xfId="28" xr:uid="{00000000-0005-0000-0000-00001B000000}"/>
    <cellStyle name="20% - Accent2 2 8" xfId="29" xr:uid="{00000000-0005-0000-0000-00001C000000}"/>
    <cellStyle name="20% - Accent2 2 9" xfId="30" xr:uid="{00000000-0005-0000-0000-00001D000000}"/>
    <cellStyle name="20% - Accent3 2" xfId="31" xr:uid="{00000000-0005-0000-0000-00001E000000}"/>
    <cellStyle name="20% - Accent3 2 10" xfId="32" xr:uid="{00000000-0005-0000-0000-00001F000000}"/>
    <cellStyle name="20% - Accent3 2 11" xfId="33" xr:uid="{00000000-0005-0000-0000-000020000000}"/>
    <cellStyle name="20% - Accent3 2 12" xfId="34" xr:uid="{00000000-0005-0000-0000-000021000000}"/>
    <cellStyle name="20% - Accent3 2 13" xfId="35" xr:uid="{00000000-0005-0000-0000-000022000000}"/>
    <cellStyle name="20% - Accent3 2 14" xfId="36" xr:uid="{00000000-0005-0000-0000-000023000000}"/>
    <cellStyle name="20% - Accent3 2 15" xfId="37" xr:uid="{00000000-0005-0000-0000-000024000000}"/>
    <cellStyle name="20% - Accent3 2 2" xfId="38" xr:uid="{00000000-0005-0000-0000-000025000000}"/>
    <cellStyle name="20% - Accent3 2 3" xfId="39" xr:uid="{00000000-0005-0000-0000-000026000000}"/>
    <cellStyle name="20% - Accent3 2 4" xfId="40" xr:uid="{00000000-0005-0000-0000-000027000000}"/>
    <cellStyle name="20% - Accent3 2 5" xfId="41" xr:uid="{00000000-0005-0000-0000-000028000000}"/>
    <cellStyle name="20% - Accent3 2 6" xfId="42" xr:uid="{00000000-0005-0000-0000-000029000000}"/>
    <cellStyle name="20% - Accent3 2 7" xfId="43" xr:uid="{00000000-0005-0000-0000-00002A000000}"/>
    <cellStyle name="20% - Accent3 2 8" xfId="44" xr:uid="{00000000-0005-0000-0000-00002B000000}"/>
    <cellStyle name="20% - Accent3 2 9" xfId="45" xr:uid="{00000000-0005-0000-0000-00002C000000}"/>
    <cellStyle name="20% - Accent4 2" xfId="46" xr:uid="{00000000-0005-0000-0000-00002D000000}"/>
    <cellStyle name="20% - Accent4 2 10" xfId="47" xr:uid="{00000000-0005-0000-0000-00002E000000}"/>
    <cellStyle name="20% - Accent4 2 11" xfId="48" xr:uid="{00000000-0005-0000-0000-00002F000000}"/>
    <cellStyle name="20% - Accent4 2 12" xfId="49" xr:uid="{00000000-0005-0000-0000-000030000000}"/>
    <cellStyle name="20% - Accent4 2 13" xfId="50" xr:uid="{00000000-0005-0000-0000-000031000000}"/>
    <cellStyle name="20% - Accent4 2 14" xfId="51" xr:uid="{00000000-0005-0000-0000-000032000000}"/>
    <cellStyle name="20% - Accent4 2 15" xfId="52" xr:uid="{00000000-0005-0000-0000-000033000000}"/>
    <cellStyle name="20% - Accent4 2 2" xfId="53" xr:uid="{00000000-0005-0000-0000-000034000000}"/>
    <cellStyle name="20% - Accent4 2 3" xfId="54" xr:uid="{00000000-0005-0000-0000-000035000000}"/>
    <cellStyle name="20% - Accent4 2 4" xfId="55" xr:uid="{00000000-0005-0000-0000-000036000000}"/>
    <cellStyle name="20% - Accent4 2 5" xfId="56" xr:uid="{00000000-0005-0000-0000-000037000000}"/>
    <cellStyle name="20% - Accent4 2 6" xfId="57" xr:uid="{00000000-0005-0000-0000-000038000000}"/>
    <cellStyle name="20% - Accent4 2 7" xfId="58" xr:uid="{00000000-0005-0000-0000-000039000000}"/>
    <cellStyle name="20% - Accent4 2 8" xfId="59" xr:uid="{00000000-0005-0000-0000-00003A000000}"/>
    <cellStyle name="20% - Accent4 2 9" xfId="60" xr:uid="{00000000-0005-0000-0000-00003B000000}"/>
    <cellStyle name="20% - Accent5 2" xfId="61" xr:uid="{00000000-0005-0000-0000-00003C000000}"/>
    <cellStyle name="20% - Accent5 2 10" xfId="62" xr:uid="{00000000-0005-0000-0000-00003D000000}"/>
    <cellStyle name="20% - Accent5 2 11" xfId="63" xr:uid="{00000000-0005-0000-0000-00003E000000}"/>
    <cellStyle name="20% - Accent5 2 12" xfId="64" xr:uid="{00000000-0005-0000-0000-00003F000000}"/>
    <cellStyle name="20% - Accent5 2 13" xfId="65" xr:uid="{00000000-0005-0000-0000-000040000000}"/>
    <cellStyle name="20% - Accent5 2 14" xfId="66" xr:uid="{00000000-0005-0000-0000-000041000000}"/>
    <cellStyle name="20% - Accent5 2 15" xfId="67" xr:uid="{00000000-0005-0000-0000-000042000000}"/>
    <cellStyle name="20% - Accent5 2 2" xfId="68" xr:uid="{00000000-0005-0000-0000-000043000000}"/>
    <cellStyle name="20% - Accent5 2 3" xfId="69" xr:uid="{00000000-0005-0000-0000-000044000000}"/>
    <cellStyle name="20% - Accent5 2 4" xfId="70" xr:uid="{00000000-0005-0000-0000-000045000000}"/>
    <cellStyle name="20% - Accent5 2 5" xfId="71" xr:uid="{00000000-0005-0000-0000-000046000000}"/>
    <cellStyle name="20% - Accent5 2 6" xfId="72" xr:uid="{00000000-0005-0000-0000-000047000000}"/>
    <cellStyle name="20% - Accent5 2 7" xfId="73" xr:uid="{00000000-0005-0000-0000-000048000000}"/>
    <cellStyle name="20% - Accent5 2 8" xfId="74" xr:uid="{00000000-0005-0000-0000-000049000000}"/>
    <cellStyle name="20% - Accent5 2 9" xfId="75" xr:uid="{00000000-0005-0000-0000-00004A000000}"/>
    <cellStyle name="20% - Accent6 2" xfId="76" xr:uid="{00000000-0005-0000-0000-00004B000000}"/>
    <cellStyle name="20% - Accent6 2 10" xfId="77" xr:uid="{00000000-0005-0000-0000-00004C000000}"/>
    <cellStyle name="20% - Accent6 2 11" xfId="78" xr:uid="{00000000-0005-0000-0000-00004D000000}"/>
    <cellStyle name="20% - Accent6 2 12" xfId="79" xr:uid="{00000000-0005-0000-0000-00004E000000}"/>
    <cellStyle name="20% - Accent6 2 13" xfId="80" xr:uid="{00000000-0005-0000-0000-00004F000000}"/>
    <cellStyle name="20% - Accent6 2 14" xfId="81" xr:uid="{00000000-0005-0000-0000-000050000000}"/>
    <cellStyle name="20% - Accent6 2 15" xfId="82" xr:uid="{00000000-0005-0000-0000-000051000000}"/>
    <cellStyle name="20% - Accent6 2 2" xfId="83" xr:uid="{00000000-0005-0000-0000-000052000000}"/>
    <cellStyle name="20% - Accent6 2 3" xfId="84" xr:uid="{00000000-0005-0000-0000-000053000000}"/>
    <cellStyle name="20% - Accent6 2 4" xfId="85" xr:uid="{00000000-0005-0000-0000-000054000000}"/>
    <cellStyle name="20% - Accent6 2 5" xfId="86" xr:uid="{00000000-0005-0000-0000-000055000000}"/>
    <cellStyle name="20% - Accent6 2 6" xfId="87" xr:uid="{00000000-0005-0000-0000-000056000000}"/>
    <cellStyle name="20% - Accent6 2 7" xfId="88" xr:uid="{00000000-0005-0000-0000-000057000000}"/>
    <cellStyle name="20% - Accent6 2 8" xfId="89" xr:uid="{00000000-0005-0000-0000-000058000000}"/>
    <cellStyle name="20% - Accent6 2 9" xfId="90" xr:uid="{00000000-0005-0000-0000-000059000000}"/>
    <cellStyle name="20% - Akzent1" xfId="91" xr:uid="{00000000-0005-0000-0000-00005A000000}"/>
    <cellStyle name="20% - Akzent2" xfId="92" xr:uid="{00000000-0005-0000-0000-00005B000000}"/>
    <cellStyle name="20% - Akzent3" xfId="93" xr:uid="{00000000-0005-0000-0000-00005C000000}"/>
    <cellStyle name="20% - Akzent4" xfId="94" xr:uid="{00000000-0005-0000-0000-00005D000000}"/>
    <cellStyle name="20% - Akzent5" xfId="95" xr:uid="{00000000-0005-0000-0000-00005E000000}"/>
    <cellStyle name="20% - Akzent6" xfId="96" xr:uid="{00000000-0005-0000-0000-00005F000000}"/>
    <cellStyle name="40% - Accent1 2" xfId="97" xr:uid="{00000000-0005-0000-0000-000060000000}"/>
    <cellStyle name="40% - Accent1 2 10" xfId="98" xr:uid="{00000000-0005-0000-0000-000061000000}"/>
    <cellStyle name="40% - Accent1 2 11" xfId="99" xr:uid="{00000000-0005-0000-0000-000062000000}"/>
    <cellStyle name="40% - Accent1 2 12" xfId="100" xr:uid="{00000000-0005-0000-0000-000063000000}"/>
    <cellStyle name="40% - Accent1 2 13" xfId="101" xr:uid="{00000000-0005-0000-0000-000064000000}"/>
    <cellStyle name="40% - Accent1 2 14" xfId="102" xr:uid="{00000000-0005-0000-0000-000065000000}"/>
    <cellStyle name="40% - Accent1 2 15" xfId="103" xr:uid="{00000000-0005-0000-0000-000066000000}"/>
    <cellStyle name="40% - Accent1 2 2" xfId="104" xr:uid="{00000000-0005-0000-0000-000067000000}"/>
    <cellStyle name="40% - Accent1 2 3" xfId="105" xr:uid="{00000000-0005-0000-0000-000068000000}"/>
    <cellStyle name="40% - Accent1 2 4" xfId="106" xr:uid="{00000000-0005-0000-0000-000069000000}"/>
    <cellStyle name="40% - Accent1 2 5" xfId="107" xr:uid="{00000000-0005-0000-0000-00006A000000}"/>
    <cellStyle name="40% - Accent1 2 6" xfId="108" xr:uid="{00000000-0005-0000-0000-00006B000000}"/>
    <cellStyle name="40% - Accent1 2 7" xfId="109" xr:uid="{00000000-0005-0000-0000-00006C000000}"/>
    <cellStyle name="40% - Accent1 2 8" xfId="110" xr:uid="{00000000-0005-0000-0000-00006D000000}"/>
    <cellStyle name="40% - Accent1 2 9" xfId="111" xr:uid="{00000000-0005-0000-0000-00006E000000}"/>
    <cellStyle name="40% - Accent2 2" xfId="112" xr:uid="{00000000-0005-0000-0000-00006F000000}"/>
    <cellStyle name="40% - Accent2 2 10" xfId="113" xr:uid="{00000000-0005-0000-0000-000070000000}"/>
    <cellStyle name="40% - Accent2 2 11" xfId="114" xr:uid="{00000000-0005-0000-0000-000071000000}"/>
    <cellStyle name="40% - Accent2 2 12" xfId="115" xr:uid="{00000000-0005-0000-0000-000072000000}"/>
    <cellStyle name="40% - Accent2 2 13" xfId="116" xr:uid="{00000000-0005-0000-0000-000073000000}"/>
    <cellStyle name="40% - Accent2 2 14" xfId="117" xr:uid="{00000000-0005-0000-0000-000074000000}"/>
    <cellStyle name="40% - Accent2 2 15" xfId="118" xr:uid="{00000000-0005-0000-0000-000075000000}"/>
    <cellStyle name="40% - Accent2 2 2" xfId="119" xr:uid="{00000000-0005-0000-0000-000076000000}"/>
    <cellStyle name="40% - Accent2 2 3" xfId="120" xr:uid="{00000000-0005-0000-0000-000077000000}"/>
    <cellStyle name="40% - Accent2 2 4" xfId="121" xr:uid="{00000000-0005-0000-0000-000078000000}"/>
    <cellStyle name="40% - Accent2 2 5" xfId="122" xr:uid="{00000000-0005-0000-0000-000079000000}"/>
    <cellStyle name="40% - Accent2 2 6" xfId="123" xr:uid="{00000000-0005-0000-0000-00007A000000}"/>
    <cellStyle name="40% - Accent2 2 7" xfId="124" xr:uid="{00000000-0005-0000-0000-00007B000000}"/>
    <cellStyle name="40% - Accent2 2 8" xfId="125" xr:uid="{00000000-0005-0000-0000-00007C000000}"/>
    <cellStyle name="40% - Accent2 2 9" xfId="126" xr:uid="{00000000-0005-0000-0000-00007D000000}"/>
    <cellStyle name="40% - Accent3 2" xfId="127" xr:uid="{00000000-0005-0000-0000-00007E000000}"/>
    <cellStyle name="40% - Accent3 2 10" xfId="128" xr:uid="{00000000-0005-0000-0000-00007F000000}"/>
    <cellStyle name="40% - Accent3 2 11" xfId="129" xr:uid="{00000000-0005-0000-0000-000080000000}"/>
    <cellStyle name="40% - Accent3 2 12" xfId="130" xr:uid="{00000000-0005-0000-0000-000081000000}"/>
    <cellStyle name="40% - Accent3 2 13" xfId="131" xr:uid="{00000000-0005-0000-0000-000082000000}"/>
    <cellStyle name="40% - Accent3 2 14" xfId="132" xr:uid="{00000000-0005-0000-0000-000083000000}"/>
    <cellStyle name="40% - Accent3 2 15" xfId="133" xr:uid="{00000000-0005-0000-0000-000084000000}"/>
    <cellStyle name="40% - Accent3 2 2" xfId="134" xr:uid="{00000000-0005-0000-0000-000085000000}"/>
    <cellStyle name="40% - Accent3 2 3" xfId="135" xr:uid="{00000000-0005-0000-0000-000086000000}"/>
    <cellStyle name="40% - Accent3 2 4" xfId="136" xr:uid="{00000000-0005-0000-0000-000087000000}"/>
    <cellStyle name="40% - Accent3 2 5" xfId="137" xr:uid="{00000000-0005-0000-0000-000088000000}"/>
    <cellStyle name="40% - Accent3 2 6" xfId="138" xr:uid="{00000000-0005-0000-0000-000089000000}"/>
    <cellStyle name="40% - Accent3 2 7" xfId="139" xr:uid="{00000000-0005-0000-0000-00008A000000}"/>
    <cellStyle name="40% - Accent3 2 8" xfId="140" xr:uid="{00000000-0005-0000-0000-00008B000000}"/>
    <cellStyle name="40% - Accent3 2 9" xfId="141" xr:uid="{00000000-0005-0000-0000-00008C000000}"/>
    <cellStyle name="40% - Accent4 2" xfId="142" xr:uid="{00000000-0005-0000-0000-00008D000000}"/>
    <cellStyle name="40% - Accent4 2 10" xfId="143" xr:uid="{00000000-0005-0000-0000-00008E000000}"/>
    <cellStyle name="40% - Accent4 2 11" xfId="144" xr:uid="{00000000-0005-0000-0000-00008F000000}"/>
    <cellStyle name="40% - Accent4 2 12" xfId="145" xr:uid="{00000000-0005-0000-0000-000090000000}"/>
    <cellStyle name="40% - Accent4 2 13" xfId="146" xr:uid="{00000000-0005-0000-0000-000091000000}"/>
    <cellStyle name="40% - Accent4 2 14" xfId="147" xr:uid="{00000000-0005-0000-0000-000092000000}"/>
    <cellStyle name="40% - Accent4 2 15" xfId="148" xr:uid="{00000000-0005-0000-0000-000093000000}"/>
    <cellStyle name="40% - Accent4 2 2" xfId="149" xr:uid="{00000000-0005-0000-0000-000094000000}"/>
    <cellStyle name="40% - Accent4 2 3" xfId="150" xr:uid="{00000000-0005-0000-0000-000095000000}"/>
    <cellStyle name="40% - Accent4 2 4" xfId="151" xr:uid="{00000000-0005-0000-0000-000096000000}"/>
    <cellStyle name="40% - Accent4 2 5" xfId="152" xr:uid="{00000000-0005-0000-0000-000097000000}"/>
    <cellStyle name="40% - Accent4 2 6" xfId="153" xr:uid="{00000000-0005-0000-0000-000098000000}"/>
    <cellStyle name="40% - Accent4 2 7" xfId="154" xr:uid="{00000000-0005-0000-0000-000099000000}"/>
    <cellStyle name="40% - Accent4 2 8" xfId="155" xr:uid="{00000000-0005-0000-0000-00009A000000}"/>
    <cellStyle name="40% - Accent4 2 9" xfId="156" xr:uid="{00000000-0005-0000-0000-00009B000000}"/>
    <cellStyle name="40% - Accent5 2" xfId="157" xr:uid="{00000000-0005-0000-0000-00009C000000}"/>
    <cellStyle name="40% - Accent5 2 10" xfId="158" xr:uid="{00000000-0005-0000-0000-00009D000000}"/>
    <cellStyle name="40% - Accent5 2 11" xfId="159" xr:uid="{00000000-0005-0000-0000-00009E000000}"/>
    <cellStyle name="40% - Accent5 2 12" xfId="160" xr:uid="{00000000-0005-0000-0000-00009F000000}"/>
    <cellStyle name="40% - Accent5 2 13" xfId="161" xr:uid="{00000000-0005-0000-0000-0000A0000000}"/>
    <cellStyle name="40% - Accent5 2 14" xfId="162" xr:uid="{00000000-0005-0000-0000-0000A1000000}"/>
    <cellStyle name="40% - Accent5 2 15" xfId="163" xr:uid="{00000000-0005-0000-0000-0000A2000000}"/>
    <cellStyle name="40% - Accent5 2 2" xfId="164" xr:uid="{00000000-0005-0000-0000-0000A3000000}"/>
    <cellStyle name="40% - Accent5 2 3" xfId="165" xr:uid="{00000000-0005-0000-0000-0000A4000000}"/>
    <cellStyle name="40% - Accent5 2 4" xfId="166" xr:uid="{00000000-0005-0000-0000-0000A5000000}"/>
    <cellStyle name="40% - Accent5 2 5" xfId="167" xr:uid="{00000000-0005-0000-0000-0000A6000000}"/>
    <cellStyle name="40% - Accent5 2 6" xfId="168" xr:uid="{00000000-0005-0000-0000-0000A7000000}"/>
    <cellStyle name="40% - Accent5 2 7" xfId="169" xr:uid="{00000000-0005-0000-0000-0000A8000000}"/>
    <cellStyle name="40% - Accent5 2 8" xfId="170" xr:uid="{00000000-0005-0000-0000-0000A9000000}"/>
    <cellStyle name="40% - Accent5 2 9" xfId="171" xr:uid="{00000000-0005-0000-0000-0000AA000000}"/>
    <cellStyle name="40% - Accent6 2" xfId="172" xr:uid="{00000000-0005-0000-0000-0000AB000000}"/>
    <cellStyle name="40% - Accent6 2 10" xfId="173" xr:uid="{00000000-0005-0000-0000-0000AC000000}"/>
    <cellStyle name="40% - Accent6 2 11" xfId="174" xr:uid="{00000000-0005-0000-0000-0000AD000000}"/>
    <cellStyle name="40% - Accent6 2 12" xfId="175" xr:uid="{00000000-0005-0000-0000-0000AE000000}"/>
    <cellStyle name="40% - Accent6 2 13" xfId="176" xr:uid="{00000000-0005-0000-0000-0000AF000000}"/>
    <cellStyle name="40% - Accent6 2 14" xfId="177" xr:uid="{00000000-0005-0000-0000-0000B0000000}"/>
    <cellStyle name="40% - Accent6 2 15" xfId="178" xr:uid="{00000000-0005-0000-0000-0000B1000000}"/>
    <cellStyle name="40% - Accent6 2 2" xfId="179" xr:uid="{00000000-0005-0000-0000-0000B2000000}"/>
    <cellStyle name="40% - Accent6 2 3" xfId="180" xr:uid="{00000000-0005-0000-0000-0000B3000000}"/>
    <cellStyle name="40% - Accent6 2 4" xfId="181" xr:uid="{00000000-0005-0000-0000-0000B4000000}"/>
    <cellStyle name="40% - Accent6 2 5" xfId="182" xr:uid="{00000000-0005-0000-0000-0000B5000000}"/>
    <cellStyle name="40% - Accent6 2 6" xfId="183" xr:uid="{00000000-0005-0000-0000-0000B6000000}"/>
    <cellStyle name="40% - Accent6 2 7" xfId="184" xr:uid="{00000000-0005-0000-0000-0000B7000000}"/>
    <cellStyle name="40% - Accent6 2 8" xfId="185" xr:uid="{00000000-0005-0000-0000-0000B8000000}"/>
    <cellStyle name="40% - Accent6 2 9" xfId="186" xr:uid="{00000000-0005-0000-0000-0000B9000000}"/>
    <cellStyle name="40% - Akzent1" xfId="187" xr:uid="{00000000-0005-0000-0000-0000BA000000}"/>
    <cellStyle name="40% - Akzent2" xfId="188" xr:uid="{00000000-0005-0000-0000-0000BB000000}"/>
    <cellStyle name="40% - Akzent3" xfId="189" xr:uid="{00000000-0005-0000-0000-0000BC000000}"/>
    <cellStyle name="40% - Akzent4" xfId="190" xr:uid="{00000000-0005-0000-0000-0000BD000000}"/>
    <cellStyle name="40% - Akzent5" xfId="191" xr:uid="{00000000-0005-0000-0000-0000BE000000}"/>
    <cellStyle name="40% - Akzent6" xfId="192" xr:uid="{00000000-0005-0000-0000-0000BF000000}"/>
    <cellStyle name="60% - Accent1 2" xfId="193" xr:uid="{00000000-0005-0000-0000-0000C0000000}"/>
    <cellStyle name="60% - Accent1 2 10" xfId="194" xr:uid="{00000000-0005-0000-0000-0000C1000000}"/>
    <cellStyle name="60% - Accent1 2 11" xfId="195" xr:uid="{00000000-0005-0000-0000-0000C2000000}"/>
    <cellStyle name="60% - Accent1 2 12" xfId="196" xr:uid="{00000000-0005-0000-0000-0000C3000000}"/>
    <cellStyle name="60% - Accent1 2 13" xfId="197" xr:uid="{00000000-0005-0000-0000-0000C4000000}"/>
    <cellStyle name="60% - Accent1 2 14" xfId="198" xr:uid="{00000000-0005-0000-0000-0000C5000000}"/>
    <cellStyle name="60% - Accent1 2 15" xfId="199" xr:uid="{00000000-0005-0000-0000-0000C6000000}"/>
    <cellStyle name="60% - Accent1 2 2" xfId="200" xr:uid="{00000000-0005-0000-0000-0000C7000000}"/>
    <cellStyle name="60% - Accent1 2 3" xfId="201" xr:uid="{00000000-0005-0000-0000-0000C8000000}"/>
    <cellStyle name="60% - Accent1 2 4" xfId="202" xr:uid="{00000000-0005-0000-0000-0000C9000000}"/>
    <cellStyle name="60% - Accent1 2 5" xfId="203" xr:uid="{00000000-0005-0000-0000-0000CA000000}"/>
    <cellStyle name="60% - Accent1 2 6" xfId="204" xr:uid="{00000000-0005-0000-0000-0000CB000000}"/>
    <cellStyle name="60% - Accent1 2 7" xfId="205" xr:uid="{00000000-0005-0000-0000-0000CC000000}"/>
    <cellStyle name="60% - Accent1 2 8" xfId="206" xr:uid="{00000000-0005-0000-0000-0000CD000000}"/>
    <cellStyle name="60% - Accent1 2 9" xfId="207" xr:uid="{00000000-0005-0000-0000-0000CE000000}"/>
    <cellStyle name="60% - Accent2 2" xfId="208" xr:uid="{00000000-0005-0000-0000-0000CF000000}"/>
    <cellStyle name="60% - Accent2 2 10" xfId="209" xr:uid="{00000000-0005-0000-0000-0000D0000000}"/>
    <cellStyle name="60% - Accent2 2 11" xfId="210" xr:uid="{00000000-0005-0000-0000-0000D1000000}"/>
    <cellStyle name="60% - Accent2 2 12" xfId="211" xr:uid="{00000000-0005-0000-0000-0000D2000000}"/>
    <cellStyle name="60% - Accent2 2 13" xfId="212" xr:uid="{00000000-0005-0000-0000-0000D3000000}"/>
    <cellStyle name="60% - Accent2 2 14" xfId="213" xr:uid="{00000000-0005-0000-0000-0000D4000000}"/>
    <cellStyle name="60% - Accent2 2 15" xfId="214" xr:uid="{00000000-0005-0000-0000-0000D5000000}"/>
    <cellStyle name="60% - Accent2 2 2" xfId="215" xr:uid="{00000000-0005-0000-0000-0000D6000000}"/>
    <cellStyle name="60% - Accent2 2 3" xfId="216" xr:uid="{00000000-0005-0000-0000-0000D7000000}"/>
    <cellStyle name="60% - Accent2 2 4" xfId="217" xr:uid="{00000000-0005-0000-0000-0000D8000000}"/>
    <cellStyle name="60% - Accent2 2 5" xfId="218" xr:uid="{00000000-0005-0000-0000-0000D9000000}"/>
    <cellStyle name="60% - Accent2 2 6" xfId="219" xr:uid="{00000000-0005-0000-0000-0000DA000000}"/>
    <cellStyle name="60% - Accent2 2 7" xfId="220" xr:uid="{00000000-0005-0000-0000-0000DB000000}"/>
    <cellStyle name="60% - Accent2 2 8" xfId="221" xr:uid="{00000000-0005-0000-0000-0000DC000000}"/>
    <cellStyle name="60% - Accent2 2 9" xfId="222" xr:uid="{00000000-0005-0000-0000-0000DD000000}"/>
    <cellStyle name="60% - Accent3 2" xfId="223" xr:uid="{00000000-0005-0000-0000-0000DE000000}"/>
    <cellStyle name="60% - Accent3 2 10" xfId="224" xr:uid="{00000000-0005-0000-0000-0000DF000000}"/>
    <cellStyle name="60% - Accent3 2 11" xfId="225" xr:uid="{00000000-0005-0000-0000-0000E0000000}"/>
    <cellStyle name="60% - Accent3 2 12" xfId="226" xr:uid="{00000000-0005-0000-0000-0000E1000000}"/>
    <cellStyle name="60% - Accent3 2 13" xfId="227" xr:uid="{00000000-0005-0000-0000-0000E2000000}"/>
    <cellStyle name="60% - Accent3 2 14" xfId="228" xr:uid="{00000000-0005-0000-0000-0000E3000000}"/>
    <cellStyle name="60% - Accent3 2 15" xfId="229" xr:uid="{00000000-0005-0000-0000-0000E4000000}"/>
    <cellStyle name="60% - Accent3 2 2" xfId="230" xr:uid="{00000000-0005-0000-0000-0000E5000000}"/>
    <cellStyle name="60% - Accent3 2 3" xfId="231" xr:uid="{00000000-0005-0000-0000-0000E6000000}"/>
    <cellStyle name="60% - Accent3 2 4" xfId="232" xr:uid="{00000000-0005-0000-0000-0000E7000000}"/>
    <cellStyle name="60% - Accent3 2 5" xfId="233" xr:uid="{00000000-0005-0000-0000-0000E8000000}"/>
    <cellStyle name="60% - Accent3 2 6" xfId="234" xr:uid="{00000000-0005-0000-0000-0000E9000000}"/>
    <cellStyle name="60% - Accent3 2 7" xfId="235" xr:uid="{00000000-0005-0000-0000-0000EA000000}"/>
    <cellStyle name="60% - Accent3 2 8" xfId="236" xr:uid="{00000000-0005-0000-0000-0000EB000000}"/>
    <cellStyle name="60% - Accent3 2 9" xfId="237" xr:uid="{00000000-0005-0000-0000-0000EC000000}"/>
    <cellStyle name="60% - Accent4 2" xfId="238" xr:uid="{00000000-0005-0000-0000-0000ED000000}"/>
    <cellStyle name="60% - Accent4 2 10" xfId="239" xr:uid="{00000000-0005-0000-0000-0000EE000000}"/>
    <cellStyle name="60% - Accent4 2 11" xfId="240" xr:uid="{00000000-0005-0000-0000-0000EF000000}"/>
    <cellStyle name="60% - Accent4 2 12" xfId="241" xr:uid="{00000000-0005-0000-0000-0000F0000000}"/>
    <cellStyle name="60% - Accent4 2 13" xfId="242" xr:uid="{00000000-0005-0000-0000-0000F1000000}"/>
    <cellStyle name="60% - Accent4 2 14" xfId="243" xr:uid="{00000000-0005-0000-0000-0000F2000000}"/>
    <cellStyle name="60% - Accent4 2 15" xfId="244" xr:uid="{00000000-0005-0000-0000-0000F3000000}"/>
    <cellStyle name="60% - Accent4 2 2" xfId="245" xr:uid="{00000000-0005-0000-0000-0000F4000000}"/>
    <cellStyle name="60% - Accent4 2 3" xfId="246" xr:uid="{00000000-0005-0000-0000-0000F5000000}"/>
    <cellStyle name="60% - Accent4 2 4" xfId="247" xr:uid="{00000000-0005-0000-0000-0000F6000000}"/>
    <cellStyle name="60% - Accent4 2 5" xfId="248" xr:uid="{00000000-0005-0000-0000-0000F7000000}"/>
    <cellStyle name="60% - Accent4 2 6" xfId="249" xr:uid="{00000000-0005-0000-0000-0000F8000000}"/>
    <cellStyle name="60% - Accent4 2 7" xfId="250" xr:uid="{00000000-0005-0000-0000-0000F9000000}"/>
    <cellStyle name="60% - Accent4 2 8" xfId="251" xr:uid="{00000000-0005-0000-0000-0000FA000000}"/>
    <cellStyle name="60% - Accent4 2 9" xfId="252" xr:uid="{00000000-0005-0000-0000-0000FB000000}"/>
    <cellStyle name="60% - Accent5 2" xfId="253" xr:uid="{00000000-0005-0000-0000-0000FC000000}"/>
    <cellStyle name="60% - Accent5 2 10" xfId="254" xr:uid="{00000000-0005-0000-0000-0000FD000000}"/>
    <cellStyle name="60% - Accent5 2 11" xfId="255" xr:uid="{00000000-0005-0000-0000-0000FE000000}"/>
    <cellStyle name="60% - Accent5 2 12" xfId="256" xr:uid="{00000000-0005-0000-0000-0000FF000000}"/>
    <cellStyle name="60% - Accent5 2 13" xfId="257" xr:uid="{00000000-0005-0000-0000-000000010000}"/>
    <cellStyle name="60% - Accent5 2 14" xfId="258" xr:uid="{00000000-0005-0000-0000-000001010000}"/>
    <cellStyle name="60% - Accent5 2 15" xfId="259" xr:uid="{00000000-0005-0000-0000-000002010000}"/>
    <cellStyle name="60% - Accent5 2 2" xfId="260" xr:uid="{00000000-0005-0000-0000-000003010000}"/>
    <cellStyle name="60% - Accent5 2 3" xfId="261" xr:uid="{00000000-0005-0000-0000-000004010000}"/>
    <cellStyle name="60% - Accent5 2 4" xfId="262" xr:uid="{00000000-0005-0000-0000-000005010000}"/>
    <cellStyle name="60% - Accent5 2 5" xfId="263" xr:uid="{00000000-0005-0000-0000-000006010000}"/>
    <cellStyle name="60% - Accent5 2 6" xfId="264" xr:uid="{00000000-0005-0000-0000-000007010000}"/>
    <cellStyle name="60% - Accent5 2 7" xfId="265" xr:uid="{00000000-0005-0000-0000-000008010000}"/>
    <cellStyle name="60% - Accent5 2 8" xfId="266" xr:uid="{00000000-0005-0000-0000-000009010000}"/>
    <cellStyle name="60% - Accent5 2 9" xfId="267" xr:uid="{00000000-0005-0000-0000-00000A010000}"/>
    <cellStyle name="60% - Accent6 2" xfId="268" xr:uid="{00000000-0005-0000-0000-00000B010000}"/>
    <cellStyle name="60% - Accent6 2 10" xfId="269" xr:uid="{00000000-0005-0000-0000-00000C010000}"/>
    <cellStyle name="60% - Accent6 2 11" xfId="270" xr:uid="{00000000-0005-0000-0000-00000D010000}"/>
    <cellStyle name="60% - Accent6 2 12" xfId="271" xr:uid="{00000000-0005-0000-0000-00000E010000}"/>
    <cellStyle name="60% - Accent6 2 13" xfId="272" xr:uid="{00000000-0005-0000-0000-00000F010000}"/>
    <cellStyle name="60% - Accent6 2 14" xfId="273" xr:uid="{00000000-0005-0000-0000-000010010000}"/>
    <cellStyle name="60% - Accent6 2 15" xfId="274" xr:uid="{00000000-0005-0000-0000-000011010000}"/>
    <cellStyle name="60% - Accent6 2 2" xfId="275" xr:uid="{00000000-0005-0000-0000-000012010000}"/>
    <cellStyle name="60% - Accent6 2 3" xfId="276" xr:uid="{00000000-0005-0000-0000-000013010000}"/>
    <cellStyle name="60% - Accent6 2 4" xfId="277" xr:uid="{00000000-0005-0000-0000-000014010000}"/>
    <cellStyle name="60% - Accent6 2 5" xfId="278" xr:uid="{00000000-0005-0000-0000-000015010000}"/>
    <cellStyle name="60% - Accent6 2 6" xfId="279" xr:uid="{00000000-0005-0000-0000-000016010000}"/>
    <cellStyle name="60% - Accent6 2 7" xfId="280" xr:uid="{00000000-0005-0000-0000-000017010000}"/>
    <cellStyle name="60% - Accent6 2 8" xfId="281" xr:uid="{00000000-0005-0000-0000-000018010000}"/>
    <cellStyle name="60% - Accent6 2 9" xfId="282" xr:uid="{00000000-0005-0000-0000-000019010000}"/>
    <cellStyle name="60% - Akzent1" xfId="283" xr:uid="{00000000-0005-0000-0000-00001A010000}"/>
    <cellStyle name="60% - Akzent2" xfId="284" xr:uid="{00000000-0005-0000-0000-00001B010000}"/>
    <cellStyle name="60% - Akzent3" xfId="285" xr:uid="{00000000-0005-0000-0000-00001C010000}"/>
    <cellStyle name="60% - Akzent4" xfId="286" xr:uid="{00000000-0005-0000-0000-00001D010000}"/>
    <cellStyle name="60% - Akzent5" xfId="287" xr:uid="{00000000-0005-0000-0000-00001E010000}"/>
    <cellStyle name="60% - Akzent6" xfId="288" xr:uid="{00000000-0005-0000-0000-00001F010000}"/>
    <cellStyle name="Accent1 2" xfId="289" xr:uid="{00000000-0005-0000-0000-000020010000}"/>
    <cellStyle name="Accent1 2 10" xfId="290" xr:uid="{00000000-0005-0000-0000-000021010000}"/>
    <cellStyle name="Accent1 2 11" xfId="291" xr:uid="{00000000-0005-0000-0000-000022010000}"/>
    <cellStyle name="Accent1 2 12" xfId="292" xr:uid="{00000000-0005-0000-0000-000023010000}"/>
    <cellStyle name="Accent1 2 13" xfId="293" xr:uid="{00000000-0005-0000-0000-000024010000}"/>
    <cellStyle name="Accent1 2 14" xfId="294" xr:uid="{00000000-0005-0000-0000-000025010000}"/>
    <cellStyle name="Accent1 2 15" xfId="295" xr:uid="{00000000-0005-0000-0000-000026010000}"/>
    <cellStyle name="Accent1 2 2" xfId="296" xr:uid="{00000000-0005-0000-0000-000027010000}"/>
    <cellStyle name="Accent1 2 3" xfId="297" xr:uid="{00000000-0005-0000-0000-000028010000}"/>
    <cellStyle name="Accent1 2 4" xfId="298" xr:uid="{00000000-0005-0000-0000-000029010000}"/>
    <cellStyle name="Accent1 2 5" xfId="299" xr:uid="{00000000-0005-0000-0000-00002A010000}"/>
    <cellStyle name="Accent1 2 6" xfId="300" xr:uid="{00000000-0005-0000-0000-00002B010000}"/>
    <cellStyle name="Accent1 2 7" xfId="301" xr:uid="{00000000-0005-0000-0000-00002C010000}"/>
    <cellStyle name="Accent1 2 8" xfId="302" xr:uid="{00000000-0005-0000-0000-00002D010000}"/>
    <cellStyle name="Accent1 2 9" xfId="303" xr:uid="{00000000-0005-0000-0000-00002E010000}"/>
    <cellStyle name="Accent2" xfId="304" builtinId="33"/>
    <cellStyle name="Accent2 2" xfId="305" xr:uid="{00000000-0005-0000-0000-000030010000}"/>
    <cellStyle name="Accent2 2 10" xfId="306" xr:uid="{00000000-0005-0000-0000-000031010000}"/>
    <cellStyle name="Accent2 2 11" xfId="307" xr:uid="{00000000-0005-0000-0000-000032010000}"/>
    <cellStyle name="Accent2 2 12" xfId="308" xr:uid="{00000000-0005-0000-0000-000033010000}"/>
    <cellStyle name="Accent2 2 13" xfId="309" xr:uid="{00000000-0005-0000-0000-000034010000}"/>
    <cellStyle name="Accent2 2 14" xfId="310" xr:uid="{00000000-0005-0000-0000-000035010000}"/>
    <cellStyle name="Accent2 2 15" xfId="311" xr:uid="{00000000-0005-0000-0000-000036010000}"/>
    <cellStyle name="Accent2 2 2" xfId="312" xr:uid="{00000000-0005-0000-0000-000037010000}"/>
    <cellStyle name="Accent2 2 3" xfId="313" xr:uid="{00000000-0005-0000-0000-000038010000}"/>
    <cellStyle name="Accent2 2 4" xfId="314" xr:uid="{00000000-0005-0000-0000-000039010000}"/>
    <cellStyle name="Accent2 2 5" xfId="315" xr:uid="{00000000-0005-0000-0000-00003A010000}"/>
    <cellStyle name="Accent2 2 6" xfId="316" xr:uid="{00000000-0005-0000-0000-00003B010000}"/>
    <cellStyle name="Accent2 2 7" xfId="317" xr:uid="{00000000-0005-0000-0000-00003C010000}"/>
    <cellStyle name="Accent2 2 8" xfId="318" xr:uid="{00000000-0005-0000-0000-00003D010000}"/>
    <cellStyle name="Accent2 2 9" xfId="319" xr:uid="{00000000-0005-0000-0000-00003E010000}"/>
    <cellStyle name="Accent3 2" xfId="320" xr:uid="{00000000-0005-0000-0000-00003F010000}"/>
    <cellStyle name="Accent3 2 10" xfId="321" xr:uid="{00000000-0005-0000-0000-000040010000}"/>
    <cellStyle name="Accent3 2 11" xfId="322" xr:uid="{00000000-0005-0000-0000-000041010000}"/>
    <cellStyle name="Accent3 2 12" xfId="323" xr:uid="{00000000-0005-0000-0000-000042010000}"/>
    <cellStyle name="Accent3 2 13" xfId="324" xr:uid="{00000000-0005-0000-0000-000043010000}"/>
    <cellStyle name="Accent3 2 14" xfId="325" xr:uid="{00000000-0005-0000-0000-000044010000}"/>
    <cellStyle name="Accent3 2 15" xfId="326" xr:uid="{00000000-0005-0000-0000-000045010000}"/>
    <cellStyle name="Accent3 2 2" xfId="327" xr:uid="{00000000-0005-0000-0000-000046010000}"/>
    <cellStyle name="Accent3 2 3" xfId="328" xr:uid="{00000000-0005-0000-0000-000047010000}"/>
    <cellStyle name="Accent3 2 4" xfId="329" xr:uid="{00000000-0005-0000-0000-000048010000}"/>
    <cellStyle name="Accent3 2 5" xfId="330" xr:uid="{00000000-0005-0000-0000-000049010000}"/>
    <cellStyle name="Accent3 2 6" xfId="331" xr:uid="{00000000-0005-0000-0000-00004A010000}"/>
    <cellStyle name="Accent3 2 7" xfId="332" xr:uid="{00000000-0005-0000-0000-00004B010000}"/>
    <cellStyle name="Accent3 2 8" xfId="333" xr:uid="{00000000-0005-0000-0000-00004C010000}"/>
    <cellStyle name="Accent3 2 9" xfId="334" xr:uid="{00000000-0005-0000-0000-00004D010000}"/>
    <cellStyle name="Accent4 2" xfId="335" xr:uid="{00000000-0005-0000-0000-00004E010000}"/>
    <cellStyle name="Accent4 2 10" xfId="336" xr:uid="{00000000-0005-0000-0000-00004F010000}"/>
    <cellStyle name="Accent4 2 11" xfId="337" xr:uid="{00000000-0005-0000-0000-000050010000}"/>
    <cellStyle name="Accent4 2 12" xfId="338" xr:uid="{00000000-0005-0000-0000-000051010000}"/>
    <cellStyle name="Accent4 2 13" xfId="339" xr:uid="{00000000-0005-0000-0000-000052010000}"/>
    <cellStyle name="Accent4 2 14" xfId="340" xr:uid="{00000000-0005-0000-0000-000053010000}"/>
    <cellStyle name="Accent4 2 15" xfId="341" xr:uid="{00000000-0005-0000-0000-000054010000}"/>
    <cellStyle name="Accent4 2 2" xfId="342" xr:uid="{00000000-0005-0000-0000-000055010000}"/>
    <cellStyle name="Accent4 2 3" xfId="343" xr:uid="{00000000-0005-0000-0000-000056010000}"/>
    <cellStyle name="Accent4 2 4" xfId="344" xr:uid="{00000000-0005-0000-0000-000057010000}"/>
    <cellStyle name="Accent4 2 5" xfId="345" xr:uid="{00000000-0005-0000-0000-000058010000}"/>
    <cellStyle name="Accent4 2 6" xfId="346" xr:uid="{00000000-0005-0000-0000-000059010000}"/>
    <cellStyle name="Accent4 2 7" xfId="347" xr:uid="{00000000-0005-0000-0000-00005A010000}"/>
    <cellStyle name="Accent4 2 8" xfId="348" xr:uid="{00000000-0005-0000-0000-00005B010000}"/>
    <cellStyle name="Accent4 2 9" xfId="349" xr:uid="{00000000-0005-0000-0000-00005C010000}"/>
    <cellStyle name="Accent5 2" xfId="350" xr:uid="{00000000-0005-0000-0000-00005D010000}"/>
    <cellStyle name="Accent5 2 10" xfId="351" xr:uid="{00000000-0005-0000-0000-00005E010000}"/>
    <cellStyle name="Accent5 2 11" xfId="352" xr:uid="{00000000-0005-0000-0000-00005F010000}"/>
    <cellStyle name="Accent5 2 12" xfId="353" xr:uid="{00000000-0005-0000-0000-000060010000}"/>
    <cellStyle name="Accent5 2 13" xfId="354" xr:uid="{00000000-0005-0000-0000-000061010000}"/>
    <cellStyle name="Accent5 2 14" xfId="355" xr:uid="{00000000-0005-0000-0000-000062010000}"/>
    <cellStyle name="Accent5 2 15" xfId="356" xr:uid="{00000000-0005-0000-0000-000063010000}"/>
    <cellStyle name="Accent5 2 2" xfId="357" xr:uid="{00000000-0005-0000-0000-000064010000}"/>
    <cellStyle name="Accent5 2 3" xfId="358" xr:uid="{00000000-0005-0000-0000-000065010000}"/>
    <cellStyle name="Accent5 2 4" xfId="359" xr:uid="{00000000-0005-0000-0000-000066010000}"/>
    <cellStyle name="Accent5 2 5" xfId="360" xr:uid="{00000000-0005-0000-0000-000067010000}"/>
    <cellStyle name="Accent5 2 6" xfId="361" xr:uid="{00000000-0005-0000-0000-000068010000}"/>
    <cellStyle name="Accent5 2 7" xfId="362" xr:uid="{00000000-0005-0000-0000-000069010000}"/>
    <cellStyle name="Accent5 2 8" xfId="363" xr:uid="{00000000-0005-0000-0000-00006A010000}"/>
    <cellStyle name="Accent5 2 9" xfId="364" xr:uid="{00000000-0005-0000-0000-00006B010000}"/>
    <cellStyle name="Accent6 2" xfId="365" xr:uid="{00000000-0005-0000-0000-00006C010000}"/>
    <cellStyle name="Accent6 2 10" xfId="366" xr:uid="{00000000-0005-0000-0000-00006D010000}"/>
    <cellStyle name="Accent6 2 11" xfId="367" xr:uid="{00000000-0005-0000-0000-00006E010000}"/>
    <cellStyle name="Accent6 2 12" xfId="368" xr:uid="{00000000-0005-0000-0000-00006F010000}"/>
    <cellStyle name="Accent6 2 13" xfId="369" xr:uid="{00000000-0005-0000-0000-000070010000}"/>
    <cellStyle name="Accent6 2 14" xfId="370" xr:uid="{00000000-0005-0000-0000-000071010000}"/>
    <cellStyle name="Accent6 2 15" xfId="371" xr:uid="{00000000-0005-0000-0000-000072010000}"/>
    <cellStyle name="Accent6 2 2" xfId="372" xr:uid="{00000000-0005-0000-0000-000073010000}"/>
    <cellStyle name="Accent6 2 3" xfId="373" xr:uid="{00000000-0005-0000-0000-000074010000}"/>
    <cellStyle name="Accent6 2 4" xfId="374" xr:uid="{00000000-0005-0000-0000-000075010000}"/>
    <cellStyle name="Accent6 2 5" xfId="375" xr:uid="{00000000-0005-0000-0000-000076010000}"/>
    <cellStyle name="Accent6 2 6" xfId="376" xr:uid="{00000000-0005-0000-0000-000077010000}"/>
    <cellStyle name="Accent6 2 7" xfId="377" xr:uid="{00000000-0005-0000-0000-000078010000}"/>
    <cellStyle name="Accent6 2 8" xfId="378" xr:uid="{00000000-0005-0000-0000-000079010000}"/>
    <cellStyle name="Accent6 2 9" xfId="379" xr:uid="{00000000-0005-0000-0000-00007A010000}"/>
    <cellStyle name="Akzent1" xfId="380" xr:uid="{00000000-0005-0000-0000-00007B010000}"/>
    <cellStyle name="Akzent2" xfId="381" xr:uid="{00000000-0005-0000-0000-00007C010000}"/>
    <cellStyle name="Akzent3" xfId="382" xr:uid="{00000000-0005-0000-0000-00007D010000}"/>
    <cellStyle name="Akzent4" xfId="383" xr:uid="{00000000-0005-0000-0000-00007E010000}"/>
    <cellStyle name="Akzent5" xfId="384" xr:uid="{00000000-0005-0000-0000-00007F010000}"/>
    <cellStyle name="Akzent6" xfId="385" xr:uid="{00000000-0005-0000-0000-000080010000}"/>
    <cellStyle name="Ausgabe" xfId="386" xr:uid="{00000000-0005-0000-0000-000081010000}"/>
    <cellStyle name="Bad 2" xfId="387" xr:uid="{00000000-0005-0000-0000-000082010000}"/>
    <cellStyle name="Bad 2 10" xfId="388" xr:uid="{00000000-0005-0000-0000-000083010000}"/>
    <cellStyle name="Bad 2 11" xfId="389" xr:uid="{00000000-0005-0000-0000-000084010000}"/>
    <cellStyle name="Bad 2 12" xfId="390" xr:uid="{00000000-0005-0000-0000-000085010000}"/>
    <cellStyle name="Bad 2 13" xfId="391" xr:uid="{00000000-0005-0000-0000-000086010000}"/>
    <cellStyle name="Bad 2 14" xfId="392" xr:uid="{00000000-0005-0000-0000-000087010000}"/>
    <cellStyle name="Bad 2 15" xfId="393" xr:uid="{00000000-0005-0000-0000-000088010000}"/>
    <cellStyle name="Bad 2 2" xfId="394" xr:uid="{00000000-0005-0000-0000-000089010000}"/>
    <cellStyle name="Bad 2 3" xfId="395" xr:uid="{00000000-0005-0000-0000-00008A010000}"/>
    <cellStyle name="Bad 2 4" xfId="396" xr:uid="{00000000-0005-0000-0000-00008B010000}"/>
    <cellStyle name="Bad 2 5" xfId="397" xr:uid="{00000000-0005-0000-0000-00008C010000}"/>
    <cellStyle name="Bad 2 6" xfId="398" xr:uid="{00000000-0005-0000-0000-00008D010000}"/>
    <cellStyle name="Bad 2 7" xfId="399" xr:uid="{00000000-0005-0000-0000-00008E010000}"/>
    <cellStyle name="Bad 2 8" xfId="400" xr:uid="{00000000-0005-0000-0000-00008F010000}"/>
    <cellStyle name="Bad 2 9" xfId="401" xr:uid="{00000000-0005-0000-0000-000090010000}"/>
    <cellStyle name="Berechnung" xfId="402" xr:uid="{00000000-0005-0000-0000-000091010000}"/>
    <cellStyle name="Calculation 2" xfId="403" xr:uid="{00000000-0005-0000-0000-000092010000}"/>
    <cellStyle name="Calculation 2 10" xfId="404" xr:uid="{00000000-0005-0000-0000-000093010000}"/>
    <cellStyle name="Calculation 2 11" xfId="405" xr:uid="{00000000-0005-0000-0000-000094010000}"/>
    <cellStyle name="Calculation 2 12" xfId="406" xr:uid="{00000000-0005-0000-0000-000095010000}"/>
    <cellStyle name="Calculation 2 13" xfId="407" xr:uid="{00000000-0005-0000-0000-000096010000}"/>
    <cellStyle name="Calculation 2 14" xfId="408" xr:uid="{00000000-0005-0000-0000-000097010000}"/>
    <cellStyle name="Calculation 2 15" xfId="409" xr:uid="{00000000-0005-0000-0000-000098010000}"/>
    <cellStyle name="Calculation 2 2" xfId="410" xr:uid="{00000000-0005-0000-0000-000099010000}"/>
    <cellStyle name="Calculation 2 3" xfId="411" xr:uid="{00000000-0005-0000-0000-00009A010000}"/>
    <cellStyle name="Calculation 2 4" xfId="412" xr:uid="{00000000-0005-0000-0000-00009B010000}"/>
    <cellStyle name="Calculation 2 5" xfId="413" xr:uid="{00000000-0005-0000-0000-00009C010000}"/>
    <cellStyle name="Calculation 2 6" xfId="414" xr:uid="{00000000-0005-0000-0000-00009D010000}"/>
    <cellStyle name="Calculation 2 7" xfId="415" xr:uid="{00000000-0005-0000-0000-00009E010000}"/>
    <cellStyle name="Calculation 2 8" xfId="416" xr:uid="{00000000-0005-0000-0000-00009F010000}"/>
    <cellStyle name="Calculation 2 9" xfId="417" xr:uid="{00000000-0005-0000-0000-0000A0010000}"/>
    <cellStyle name="Check Cell 2" xfId="418" xr:uid="{00000000-0005-0000-0000-0000A1010000}"/>
    <cellStyle name="Check Cell 2 10" xfId="419" xr:uid="{00000000-0005-0000-0000-0000A2010000}"/>
    <cellStyle name="Check Cell 2 11" xfId="420" xr:uid="{00000000-0005-0000-0000-0000A3010000}"/>
    <cellStyle name="Check Cell 2 12" xfId="421" xr:uid="{00000000-0005-0000-0000-0000A4010000}"/>
    <cellStyle name="Check Cell 2 13" xfId="422" xr:uid="{00000000-0005-0000-0000-0000A5010000}"/>
    <cellStyle name="Check Cell 2 14" xfId="423" xr:uid="{00000000-0005-0000-0000-0000A6010000}"/>
    <cellStyle name="Check Cell 2 15" xfId="424" xr:uid="{00000000-0005-0000-0000-0000A7010000}"/>
    <cellStyle name="Check Cell 2 2" xfId="425" xr:uid="{00000000-0005-0000-0000-0000A8010000}"/>
    <cellStyle name="Check Cell 2 3" xfId="426" xr:uid="{00000000-0005-0000-0000-0000A9010000}"/>
    <cellStyle name="Check Cell 2 4" xfId="427" xr:uid="{00000000-0005-0000-0000-0000AA010000}"/>
    <cellStyle name="Check Cell 2 5" xfId="428" xr:uid="{00000000-0005-0000-0000-0000AB010000}"/>
    <cellStyle name="Check Cell 2 6" xfId="429" xr:uid="{00000000-0005-0000-0000-0000AC010000}"/>
    <cellStyle name="Check Cell 2 7" xfId="430" xr:uid="{00000000-0005-0000-0000-0000AD010000}"/>
    <cellStyle name="Check Cell 2 8" xfId="431" xr:uid="{00000000-0005-0000-0000-0000AE010000}"/>
    <cellStyle name="Check Cell 2 9" xfId="432" xr:uid="{00000000-0005-0000-0000-0000AF010000}"/>
    <cellStyle name="Comma 2" xfId="433" xr:uid="{00000000-0005-0000-0000-0000B0010000}"/>
    <cellStyle name="Comma 2 2" xfId="434" xr:uid="{00000000-0005-0000-0000-0000B1010000}"/>
    <cellStyle name="Comma 2 2 2" xfId="435" xr:uid="{00000000-0005-0000-0000-0000B2010000}"/>
    <cellStyle name="Comma 2 2 2 2" xfId="436" xr:uid="{00000000-0005-0000-0000-0000B3010000}"/>
    <cellStyle name="Comma 2 2 3" xfId="437" xr:uid="{00000000-0005-0000-0000-0000B4010000}"/>
    <cellStyle name="Comma 2 2 3 2" xfId="438" xr:uid="{00000000-0005-0000-0000-0000B5010000}"/>
    <cellStyle name="Comma 2 2 4" xfId="439" xr:uid="{00000000-0005-0000-0000-0000B6010000}"/>
    <cellStyle name="Comma 2 2 5" xfId="440" xr:uid="{00000000-0005-0000-0000-0000B7010000}"/>
    <cellStyle name="Comma 2 3" xfId="441" xr:uid="{00000000-0005-0000-0000-0000B8010000}"/>
    <cellStyle name="Comma 2 3 2" xfId="442" xr:uid="{00000000-0005-0000-0000-0000B9010000}"/>
    <cellStyle name="Comma 2 3 2 2" xfId="443" xr:uid="{00000000-0005-0000-0000-0000BA010000}"/>
    <cellStyle name="Comma 2 3 3" xfId="444" xr:uid="{00000000-0005-0000-0000-0000BB010000}"/>
    <cellStyle name="Comma 3" xfId="445" xr:uid="{00000000-0005-0000-0000-0000BC010000}"/>
    <cellStyle name="Comma 3 2" xfId="446" xr:uid="{00000000-0005-0000-0000-0000BD010000}"/>
    <cellStyle name="Comma 3 2 2" xfId="447" xr:uid="{00000000-0005-0000-0000-0000BE010000}"/>
    <cellStyle name="Comma 3 3" xfId="448" xr:uid="{00000000-0005-0000-0000-0000BF010000}"/>
    <cellStyle name="Comma 3 4" xfId="449" xr:uid="{00000000-0005-0000-0000-0000C0010000}"/>
    <cellStyle name="Comma 3 4 2" xfId="450" xr:uid="{00000000-0005-0000-0000-0000C1010000}"/>
    <cellStyle name="Comma 4" xfId="451" xr:uid="{00000000-0005-0000-0000-0000C2010000}"/>
    <cellStyle name="Comma 4 2" xfId="452" xr:uid="{00000000-0005-0000-0000-0000C3010000}"/>
    <cellStyle name="Comma 5" xfId="453" xr:uid="{00000000-0005-0000-0000-0000C4010000}"/>
    <cellStyle name="Comma 5 2" xfId="454" xr:uid="{00000000-0005-0000-0000-0000C5010000}"/>
    <cellStyle name="Eingabe" xfId="455" xr:uid="{00000000-0005-0000-0000-0000C6010000}"/>
    <cellStyle name="Ergebnis" xfId="456" xr:uid="{00000000-0005-0000-0000-0000C7010000}"/>
    <cellStyle name="Erklärender Text" xfId="457" xr:uid="{00000000-0005-0000-0000-0000C8010000}"/>
    <cellStyle name="Euro" xfId="458" xr:uid="{00000000-0005-0000-0000-0000C9010000}"/>
    <cellStyle name="Euro 2" xfId="459" xr:uid="{00000000-0005-0000-0000-0000CA010000}"/>
    <cellStyle name="Euro 2 2" xfId="460" xr:uid="{00000000-0005-0000-0000-0000CB010000}"/>
    <cellStyle name="Euro 2 3" xfId="461" xr:uid="{00000000-0005-0000-0000-0000CC010000}"/>
    <cellStyle name="Euro 2 4" xfId="462" xr:uid="{00000000-0005-0000-0000-0000CD010000}"/>
    <cellStyle name="Euro 3" xfId="463" xr:uid="{00000000-0005-0000-0000-0000CE010000}"/>
    <cellStyle name="Euro 4" xfId="464" xr:uid="{00000000-0005-0000-0000-0000CF010000}"/>
    <cellStyle name="Euro 4 2" xfId="465" xr:uid="{00000000-0005-0000-0000-0000D0010000}"/>
    <cellStyle name="Euro 5" xfId="466" xr:uid="{00000000-0005-0000-0000-0000D1010000}"/>
    <cellStyle name="Euro 5 2" xfId="467" xr:uid="{00000000-0005-0000-0000-0000D2010000}"/>
    <cellStyle name="Euro 6" xfId="468" xr:uid="{00000000-0005-0000-0000-0000D3010000}"/>
    <cellStyle name="Explanatory Text 2" xfId="469" xr:uid="{00000000-0005-0000-0000-0000D4010000}"/>
    <cellStyle name="Explanatory Text 2 10" xfId="470" xr:uid="{00000000-0005-0000-0000-0000D5010000}"/>
    <cellStyle name="Explanatory Text 2 11" xfId="471" xr:uid="{00000000-0005-0000-0000-0000D6010000}"/>
    <cellStyle name="Explanatory Text 2 12" xfId="472" xr:uid="{00000000-0005-0000-0000-0000D7010000}"/>
    <cellStyle name="Explanatory Text 2 13" xfId="473" xr:uid="{00000000-0005-0000-0000-0000D8010000}"/>
    <cellStyle name="Explanatory Text 2 14" xfId="474" xr:uid="{00000000-0005-0000-0000-0000D9010000}"/>
    <cellStyle name="Explanatory Text 2 15" xfId="475" xr:uid="{00000000-0005-0000-0000-0000DA010000}"/>
    <cellStyle name="Explanatory Text 2 2" xfId="476" xr:uid="{00000000-0005-0000-0000-0000DB010000}"/>
    <cellStyle name="Explanatory Text 2 3" xfId="477" xr:uid="{00000000-0005-0000-0000-0000DC010000}"/>
    <cellStyle name="Explanatory Text 2 4" xfId="478" xr:uid="{00000000-0005-0000-0000-0000DD010000}"/>
    <cellStyle name="Explanatory Text 2 5" xfId="479" xr:uid="{00000000-0005-0000-0000-0000DE010000}"/>
    <cellStyle name="Explanatory Text 2 6" xfId="480" xr:uid="{00000000-0005-0000-0000-0000DF010000}"/>
    <cellStyle name="Explanatory Text 2 7" xfId="481" xr:uid="{00000000-0005-0000-0000-0000E0010000}"/>
    <cellStyle name="Explanatory Text 2 8" xfId="482" xr:uid="{00000000-0005-0000-0000-0000E1010000}"/>
    <cellStyle name="Explanatory Text 2 9" xfId="483" xr:uid="{00000000-0005-0000-0000-0000E2010000}"/>
    <cellStyle name="Float" xfId="484" xr:uid="{00000000-0005-0000-0000-0000E3010000}"/>
    <cellStyle name="Float 2" xfId="485" xr:uid="{00000000-0005-0000-0000-0000E4010000}"/>
    <cellStyle name="Float 3" xfId="486" xr:uid="{00000000-0005-0000-0000-0000E5010000}"/>
    <cellStyle name="Float 3 2" xfId="487" xr:uid="{00000000-0005-0000-0000-0000E6010000}"/>
    <cellStyle name="Float 4" xfId="488" xr:uid="{00000000-0005-0000-0000-0000E7010000}"/>
    <cellStyle name="Float 5" xfId="489" xr:uid="{00000000-0005-0000-0000-0000E8010000}"/>
    <cellStyle name="Float 5 2" xfId="490" xr:uid="{00000000-0005-0000-0000-0000E9010000}"/>
    <cellStyle name="Float 6" xfId="491" xr:uid="{00000000-0005-0000-0000-0000EA010000}"/>
    <cellStyle name="Good" xfId="492" builtinId="26"/>
    <cellStyle name="Good 2" xfId="493" xr:uid="{00000000-0005-0000-0000-0000EC010000}"/>
    <cellStyle name="Good 2 10" xfId="494" xr:uid="{00000000-0005-0000-0000-0000ED010000}"/>
    <cellStyle name="Good 2 11" xfId="495" xr:uid="{00000000-0005-0000-0000-0000EE010000}"/>
    <cellStyle name="Good 2 12" xfId="496" xr:uid="{00000000-0005-0000-0000-0000EF010000}"/>
    <cellStyle name="Good 2 13" xfId="497" xr:uid="{00000000-0005-0000-0000-0000F0010000}"/>
    <cellStyle name="Good 2 14" xfId="498" xr:uid="{00000000-0005-0000-0000-0000F1010000}"/>
    <cellStyle name="Good 2 15" xfId="499" xr:uid="{00000000-0005-0000-0000-0000F2010000}"/>
    <cellStyle name="Good 2 16" xfId="500" xr:uid="{00000000-0005-0000-0000-0000F3010000}"/>
    <cellStyle name="Good 2 17" xfId="501" xr:uid="{00000000-0005-0000-0000-0000F4010000}"/>
    <cellStyle name="Good 2 2" xfId="502" xr:uid="{00000000-0005-0000-0000-0000F5010000}"/>
    <cellStyle name="Good 2 3" xfId="503" xr:uid="{00000000-0005-0000-0000-0000F6010000}"/>
    <cellStyle name="Good 2 4" xfId="504" xr:uid="{00000000-0005-0000-0000-0000F7010000}"/>
    <cellStyle name="Good 2 5" xfId="505" xr:uid="{00000000-0005-0000-0000-0000F8010000}"/>
    <cellStyle name="Good 2 6" xfId="506" xr:uid="{00000000-0005-0000-0000-0000F9010000}"/>
    <cellStyle name="Good 2 7" xfId="507" xr:uid="{00000000-0005-0000-0000-0000FA010000}"/>
    <cellStyle name="Good 2 8" xfId="508" xr:uid="{00000000-0005-0000-0000-0000FB010000}"/>
    <cellStyle name="Good 2 9" xfId="509" xr:uid="{00000000-0005-0000-0000-0000FC010000}"/>
    <cellStyle name="Gut" xfId="510" xr:uid="{00000000-0005-0000-0000-0000FD010000}"/>
    <cellStyle name="Heading 1 2" xfId="511" xr:uid="{00000000-0005-0000-0000-0000FE010000}"/>
    <cellStyle name="Heading 1 2 10" xfId="512" xr:uid="{00000000-0005-0000-0000-0000FF010000}"/>
    <cellStyle name="Heading 1 2 11" xfId="513" xr:uid="{00000000-0005-0000-0000-000000020000}"/>
    <cellStyle name="Heading 1 2 12" xfId="514" xr:uid="{00000000-0005-0000-0000-000001020000}"/>
    <cellStyle name="Heading 1 2 13" xfId="515" xr:uid="{00000000-0005-0000-0000-000002020000}"/>
    <cellStyle name="Heading 1 2 14" xfId="516" xr:uid="{00000000-0005-0000-0000-000003020000}"/>
    <cellStyle name="Heading 1 2 15" xfId="517" xr:uid="{00000000-0005-0000-0000-000004020000}"/>
    <cellStyle name="Heading 1 2 2" xfId="518" xr:uid="{00000000-0005-0000-0000-000005020000}"/>
    <cellStyle name="Heading 1 2 3" xfId="519" xr:uid="{00000000-0005-0000-0000-000006020000}"/>
    <cellStyle name="Heading 1 2 4" xfId="520" xr:uid="{00000000-0005-0000-0000-000007020000}"/>
    <cellStyle name="Heading 1 2 5" xfId="521" xr:uid="{00000000-0005-0000-0000-000008020000}"/>
    <cellStyle name="Heading 1 2 6" xfId="522" xr:uid="{00000000-0005-0000-0000-000009020000}"/>
    <cellStyle name="Heading 1 2 7" xfId="523" xr:uid="{00000000-0005-0000-0000-00000A020000}"/>
    <cellStyle name="Heading 1 2 8" xfId="524" xr:uid="{00000000-0005-0000-0000-00000B020000}"/>
    <cellStyle name="Heading 1 2 9" xfId="525" xr:uid="{00000000-0005-0000-0000-00000C020000}"/>
    <cellStyle name="Heading 2 2" xfId="526" xr:uid="{00000000-0005-0000-0000-00000D020000}"/>
    <cellStyle name="Heading 2 2 10" xfId="527" xr:uid="{00000000-0005-0000-0000-00000E020000}"/>
    <cellStyle name="Heading 2 2 11" xfId="528" xr:uid="{00000000-0005-0000-0000-00000F020000}"/>
    <cellStyle name="Heading 2 2 12" xfId="529" xr:uid="{00000000-0005-0000-0000-000010020000}"/>
    <cellStyle name="Heading 2 2 13" xfId="530" xr:uid="{00000000-0005-0000-0000-000011020000}"/>
    <cellStyle name="Heading 2 2 14" xfId="531" xr:uid="{00000000-0005-0000-0000-000012020000}"/>
    <cellStyle name="Heading 2 2 15" xfId="532" xr:uid="{00000000-0005-0000-0000-000013020000}"/>
    <cellStyle name="Heading 2 2 2" xfId="533" xr:uid="{00000000-0005-0000-0000-000014020000}"/>
    <cellStyle name="Heading 2 2 3" xfId="534" xr:uid="{00000000-0005-0000-0000-000015020000}"/>
    <cellStyle name="Heading 2 2 4" xfId="535" xr:uid="{00000000-0005-0000-0000-000016020000}"/>
    <cellStyle name="Heading 2 2 5" xfId="536" xr:uid="{00000000-0005-0000-0000-000017020000}"/>
    <cellStyle name="Heading 2 2 6" xfId="537" xr:uid="{00000000-0005-0000-0000-000018020000}"/>
    <cellStyle name="Heading 2 2 7" xfId="538" xr:uid="{00000000-0005-0000-0000-000019020000}"/>
    <cellStyle name="Heading 2 2 8" xfId="539" xr:uid="{00000000-0005-0000-0000-00001A020000}"/>
    <cellStyle name="Heading 2 2 9" xfId="540" xr:uid="{00000000-0005-0000-0000-00001B020000}"/>
    <cellStyle name="Heading 3 2" xfId="541" xr:uid="{00000000-0005-0000-0000-00001C020000}"/>
    <cellStyle name="Heading 3 2 10" xfId="542" xr:uid="{00000000-0005-0000-0000-00001D020000}"/>
    <cellStyle name="Heading 3 2 11" xfId="543" xr:uid="{00000000-0005-0000-0000-00001E020000}"/>
    <cellStyle name="Heading 3 2 12" xfId="544" xr:uid="{00000000-0005-0000-0000-00001F020000}"/>
    <cellStyle name="Heading 3 2 13" xfId="545" xr:uid="{00000000-0005-0000-0000-000020020000}"/>
    <cellStyle name="Heading 3 2 14" xfId="546" xr:uid="{00000000-0005-0000-0000-000021020000}"/>
    <cellStyle name="Heading 3 2 15" xfId="547" xr:uid="{00000000-0005-0000-0000-000022020000}"/>
    <cellStyle name="Heading 3 2 2" xfId="548" xr:uid="{00000000-0005-0000-0000-000023020000}"/>
    <cellStyle name="Heading 3 2 3" xfId="549" xr:uid="{00000000-0005-0000-0000-000024020000}"/>
    <cellStyle name="Heading 3 2 4" xfId="550" xr:uid="{00000000-0005-0000-0000-000025020000}"/>
    <cellStyle name="Heading 3 2 5" xfId="551" xr:uid="{00000000-0005-0000-0000-000026020000}"/>
    <cellStyle name="Heading 3 2 6" xfId="552" xr:uid="{00000000-0005-0000-0000-000027020000}"/>
    <cellStyle name="Heading 3 2 7" xfId="553" xr:uid="{00000000-0005-0000-0000-000028020000}"/>
    <cellStyle name="Heading 3 2 8" xfId="554" xr:uid="{00000000-0005-0000-0000-000029020000}"/>
    <cellStyle name="Heading 3 2 9" xfId="555" xr:uid="{00000000-0005-0000-0000-00002A020000}"/>
    <cellStyle name="Heading 4 2" xfId="556" xr:uid="{00000000-0005-0000-0000-00002B020000}"/>
    <cellStyle name="Heading 4 2 10" xfId="557" xr:uid="{00000000-0005-0000-0000-00002C020000}"/>
    <cellStyle name="Heading 4 2 11" xfId="558" xr:uid="{00000000-0005-0000-0000-00002D020000}"/>
    <cellStyle name="Heading 4 2 12" xfId="559" xr:uid="{00000000-0005-0000-0000-00002E020000}"/>
    <cellStyle name="Heading 4 2 13" xfId="560" xr:uid="{00000000-0005-0000-0000-00002F020000}"/>
    <cellStyle name="Heading 4 2 14" xfId="561" xr:uid="{00000000-0005-0000-0000-000030020000}"/>
    <cellStyle name="Heading 4 2 15" xfId="562" xr:uid="{00000000-0005-0000-0000-000031020000}"/>
    <cellStyle name="Heading 4 2 2" xfId="563" xr:uid="{00000000-0005-0000-0000-000032020000}"/>
    <cellStyle name="Heading 4 2 3" xfId="564" xr:uid="{00000000-0005-0000-0000-000033020000}"/>
    <cellStyle name="Heading 4 2 4" xfId="565" xr:uid="{00000000-0005-0000-0000-000034020000}"/>
    <cellStyle name="Heading 4 2 5" xfId="566" xr:uid="{00000000-0005-0000-0000-000035020000}"/>
    <cellStyle name="Heading 4 2 6" xfId="567" xr:uid="{00000000-0005-0000-0000-000036020000}"/>
    <cellStyle name="Heading 4 2 7" xfId="568" xr:uid="{00000000-0005-0000-0000-000037020000}"/>
    <cellStyle name="Heading 4 2 8" xfId="569" xr:uid="{00000000-0005-0000-0000-000038020000}"/>
    <cellStyle name="Heading 4 2 9" xfId="570" xr:uid="{00000000-0005-0000-0000-000039020000}"/>
    <cellStyle name="Input 2" xfId="571" xr:uid="{00000000-0005-0000-0000-00003A020000}"/>
    <cellStyle name="Input 2 10" xfId="572" xr:uid="{00000000-0005-0000-0000-00003B020000}"/>
    <cellStyle name="Input 2 11" xfId="573" xr:uid="{00000000-0005-0000-0000-00003C020000}"/>
    <cellStyle name="Input 2 12" xfId="574" xr:uid="{00000000-0005-0000-0000-00003D020000}"/>
    <cellStyle name="Input 2 13" xfId="575" xr:uid="{00000000-0005-0000-0000-00003E020000}"/>
    <cellStyle name="Input 2 14" xfId="576" xr:uid="{00000000-0005-0000-0000-00003F020000}"/>
    <cellStyle name="Input 2 15" xfId="577" xr:uid="{00000000-0005-0000-0000-000040020000}"/>
    <cellStyle name="Input 2 2" xfId="578" xr:uid="{00000000-0005-0000-0000-000041020000}"/>
    <cellStyle name="Input 2 3" xfId="579" xr:uid="{00000000-0005-0000-0000-000042020000}"/>
    <cellStyle name="Input 2 4" xfId="580" xr:uid="{00000000-0005-0000-0000-000043020000}"/>
    <cellStyle name="Input 2 5" xfId="581" xr:uid="{00000000-0005-0000-0000-000044020000}"/>
    <cellStyle name="Input 2 6" xfId="582" xr:uid="{00000000-0005-0000-0000-000045020000}"/>
    <cellStyle name="Input 2 7" xfId="583" xr:uid="{00000000-0005-0000-0000-000046020000}"/>
    <cellStyle name="Input 2 8" xfId="584" xr:uid="{00000000-0005-0000-0000-000047020000}"/>
    <cellStyle name="Input 2 9" xfId="585" xr:uid="{00000000-0005-0000-0000-000048020000}"/>
    <cellStyle name="Linked Cell 2" xfId="586" xr:uid="{00000000-0005-0000-0000-000049020000}"/>
    <cellStyle name="Linked Cell 2 10" xfId="587" xr:uid="{00000000-0005-0000-0000-00004A020000}"/>
    <cellStyle name="Linked Cell 2 11" xfId="588" xr:uid="{00000000-0005-0000-0000-00004B020000}"/>
    <cellStyle name="Linked Cell 2 12" xfId="589" xr:uid="{00000000-0005-0000-0000-00004C020000}"/>
    <cellStyle name="Linked Cell 2 13" xfId="590" xr:uid="{00000000-0005-0000-0000-00004D020000}"/>
    <cellStyle name="Linked Cell 2 14" xfId="591" xr:uid="{00000000-0005-0000-0000-00004E020000}"/>
    <cellStyle name="Linked Cell 2 15" xfId="592" xr:uid="{00000000-0005-0000-0000-00004F020000}"/>
    <cellStyle name="Linked Cell 2 2" xfId="593" xr:uid="{00000000-0005-0000-0000-000050020000}"/>
    <cellStyle name="Linked Cell 2 3" xfId="594" xr:uid="{00000000-0005-0000-0000-000051020000}"/>
    <cellStyle name="Linked Cell 2 4" xfId="595" xr:uid="{00000000-0005-0000-0000-000052020000}"/>
    <cellStyle name="Linked Cell 2 5" xfId="596" xr:uid="{00000000-0005-0000-0000-000053020000}"/>
    <cellStyle name="Linked Cell 2 6" xfId="597" xr:uid="{00000000-0005-0000-0000-000054020000}"/>
    <cellStyle name="Linked Cell 2 7" xfId="598" xr:uid="{00000000-0005-0000-0000-000055020000}"/>
    <cellStyle name="Linked Cell 2 8" xfId="599" xr:uid="{00000000-0005-0000-0000-000056020000}"/>
    <cellStyle name="Linked Cell 2 9" xfId="600" xr:uid="{00000000-0005-0000-0000-000057020000}"/>
    <cellStyle name="Neutral 2" xfId="601" xr:uid="{00000000-0005-0000-0000-000058020000}"/>
    <cellStyle name="Neutral 2 10" xfId="602" xr:uid="{00000000-0005-0000-0000-000059020000}"/>
    <cellStyle name="Neutral 2 11" xfId="603" xr:uid="{00000000-0005-0000-0000-00005A020000}"/>
    <cellStyle name="Neutral 2 12" xfId="604" xr:uid="{00000000-0005-0000-0000-00005B020000}"/>
    <cellStyle name="Neutral 2 13" xfId="605" xr:uid="{00000000-0005-0000-0000-00005C020000}"/>
    <cellStyle name="Neutral 2 14" xfId="606" xr:uid="{00000000-0005-0000-0000-00005D020000}"/>
    <cellStyle name="Neutral 2 15" xfId="607" xr:uid="{00000000-0005-0000-0000-00005E020000}"/>
    <cellStyle name="Neutral 2 2" xfId="608" xr:uid="{00000000-0005-0000-0000-00005F020000}"/>
    <cellStyle name="Neutral 2 3" xfId="609" xr:uid="{00000000-0005-0000-0000-000060020000}"/>
    <cellStyle name="Neutral 2 4" xfId="610" xr:uid="{00000000-0005-0000-0000-000061020000}"/>
    <cellStyle name="Neutral 2 5" xfId="611" xr:uid="{00000000-0005-0000-0000-000062020000}"/>
    <cellStyle name="Neutral 2 6" xfId="612" xr:uid="{00000000-0005-0000-0000-000063020000}"/>
    <cellStyle name="Neutral 2 7" xfId="613" xr:uid="{00000000-0005-0000-0000-000064020000}"/>
    <cellStyle name="Neutral 2 8" xfId="614" xr:uid="{00000000-0005-0000-0000-000065020000}"/>
    <cellStyle name="Neutral 2 9" xfId="615" xr:uid="{00000000-0005-0000-0000-000066020000}"/>
    <cellStyle name="Normal" xfId="0" builtinId="0"/>
    <cellStyle name="Normal 10" xfId="616" xr:uid="{00000000-0005-0000-0000-000068020000}"/>
    <cellStyle name="Normal 11" xfId="617" xr:uid="{00000000-0005-0000-0000-000069020000}"/>
    <cellStyle name="Normal 11 2" xfId="618" xr:uid="{00000000-0005-0000-0000-00006A020000}"/>
    <cellStyle name="Normal 17" xfId="619" xr:uid="{00000000-0005-0000-0000-00006B020000}"/>
    <cellStyle name="Normal 2" xfId="620" xr:uid="{00000000-0005-0000-0000-00006C020000}"/>
    <cellStyle name="Normal 2 10" xfId="621" xr:uid="{00000000-0005-0000-0000-00006D020000}"/>
    <cellStyle name="Normal 2 10 2" xfId="622" xr:uid="{00000000-0005-0000-0000-00006E020000}"/>
    <cellStyle name="Normal 2 11" xfId="623" xr:uid="{00000000-0005-0000-0000-00006F020000}"/>
    <cellStyle name="Normal 2 11 2" xfId="624" xr:uid="{00000000-0005-0000-0000-000070020000}"/>
    <cellStyle name="Normal 2 12" xfId="625" xr:uid="{00000000-0005-0000-0000-000071020000}"/>
    <cellStyle name="Normal 2 12 2" xfId="626" xr:uid="{00000000-0005-0000-0000-000072020000}"/>
    <cellStyle name="Normal 2 13" xfId="627" xr:uid="{00000000-0005-0000-0000-000073020000}"/>
    <cellStyle name="Normal 2 13 2" xfId="628" xr:uid="{00000000-0005-0000-0000-000074020000}"/>
    <cellStyle name="Normal 2 14" xfId="629" xr:uid="{00000000-0005-0000-0000-000075020000}"/>
    <cellStyle name="Normal 2 15" xfId="630" xr:uid="{00000000-0005-0000-0000-000076020000}"/>
    <cellStyle name="Normal 2 16" xfId="631" xr:uid="{00000000-0005-0000-0000-000077020000}"/>
    <cellStyle name="Normal 2 2" xfId="632" xr:uid="{00000000-0005-0000-0000-000078020000}"/>
    <cellStyle name="Normal 2 2 2" xfId="633" xr:uid="{00000000-0005-0000-0000-000079020000}"/>
    <cellStyle name="Normal 2 2 2 2" xfId="634" xr:uid="{00000000-0005-0000-0000-00007A020000}"/>
    <cellStyle name="Normal 2 2 2 2 2" xfId="635" xr:uid="{00000000-0005-0000-0000-00007B020000}"/>
    <cellStyle name="Normal 2 2 2 2 3" xfId="636" xr:uid="{00000000-0005-0000-0000-00007C020000}"/>
    <cellStyle name="Normal 2 2 2 2 4" xfId="637" xr:uid="{00000000-0005-0000-0000-00007D020000}"/>
    <cellStyle name="Normal 2 2 2 3" xfId="638" xr:uid="{00000000-0005-0000-0000-00007E020000}"/>
    <cellStyle name="Normal 2 2 2 3 2" xfId="639" xr:uid="{00000000-0005-0000-0000-00007F020000}"/>
    <cellStyle name="Normal 2 2 3" xfId="640" xr:uid="{00000000-0005-0000-0000-000080020000}"/>
    <cellStyle name="Normal 2 2 4" xfId="641" xr:uid="{00000000-0005-0000-0000-000081020000}"/>
    <cellStyle name="Normal 2 2 5" xfId="642" xr:uid="{00000000-0005-0000-0000-000082020000}"/>
    <cellStyle name="Normal 2 2 6" xfId="643" xr:uid="{00000000-0005-0000-0000-000083020000}"/>
    <cellStyle name="Normal 2 3" xfId="644" xr:uid="{00000000-0005-0000-0000-000084020000}"/>
    <cellStyle name="Normal 2 3 2" xfId="645" xr:uid="{00000000-0005-0000-0000-000085020000}"/>
    <cellStyle name="Normal 2 3 2 2" xfId="646" xr:uid="{00000000-0005-0000-0000-000086020000}"/>
    <cellStyle name="Normal 2 3 2 2 2" xfId="647" xr:uid="{00000000-0005-0000-0000-000087020000}"/>
    <cellStyle name="Normal 2 3 2 3" xfId="648" xr:uid="{00000000-0005-0000-0000-000088020000}"/>
    <cellStyle name="Normal 2 3 2 3 2" xfId="649" xr:uid="{00000000-0005-0000-0000-000089020000}"/>
    <cellStyle name="Normal 2 3 2 4" xfId="650" xr:uid="{00000000-0005-0000-0000-00008A020000}"/>
    <cellStyle name="Normal 2 3 3" xfId="651" xr:uid="{00000000-0005-0000-0000-00008B020000}"/>
    <cellStyle name="Normal 2 3 3 2" xfId="652" xr:uid="{00000000-0005-0000-0000-00008C020000}"/>
    <cellStyle name="Normal 2 3 4" xfId="653" xr:uid="{00000000-0005-0000-0000-00008D020000}"/>
    <cellStyle name="Normal 2 4" xfId="654" xr:uid="{00000000-0005-0000-0000-00008E020000}"/>
    <cellStyle name="Normal 2 4 2" xfId="655" xr:uid="{00000000-0005-0000-0000-00008F020000}"/>
    <cellStyle name="Normal 2 5" xfId="656" xr:uid="{00000000-0005-0000-0000-000090020000}"/>
    <cellStyle name="Normal 2 5 2" xfId="657" xr:uid="{00000000-0005-0000-0000-000091020000}"/>
    <cellStyle name="Normal 2 6" xfId="658" xr:uid="{00000000-0005-0000-0000-000092020000}"/>
    <cellStyle name="Normal 2 6 2" xfId="659" xr:uid="{00000000-0005-0000-0000-000093020000}"/>
    <cellStyle name="Normal 2 7" xfId="660" xr:uid="{00000000-0005-0000-0000-000094020000}"/>
    <cellStyle name="Normal 2 7 2" xfId="661" xr:uid="{00000000-0005-0000-0000-000095020000}"/>
    <cellStyle name="Normal 2 8" xfId="662" xr:uid="{00000000-0005-0000-0000-000096020000}"/>
    <cellStyle name="Normal 2 8 2" xfId="663" xr:uid="{00000000-0005-0000-0000-000097020000}"/>
    <cellStyle name="Normal 2 9" xfId="664" xr:uid="{00000000-0005-0000-0000-000098020000}"/>
    <cellStyle name="Normal 2 9 2" xfId="665" xr:uid="{00000000-0005-0000-0000-000099020000}"/>
    <cellStyle name="Normal 3" xfId="666" xr:uid="{00000000-0005-0000-0000-00009A020000}"/>
    <cellStyle name="Normal 3 2" xfId="667" xr:uid="{00000000-0005-0000-0000-00009B020000}"/>
    <cellStyle name="Normal 3 2 2" xfId="668" xr:uid="{00000000-0005-0000-0000-00009C020000}"/>
    <cellStyle name="Normal 3 2 3" xfId="669" xr:uid="{00000000-0005-0000-0000-00009D020000}"/>
    <cellStyle name="Normal 3 2 4" xfId="670" xr:uid="{00000000-0005-0000-0000-00009E020000}"/>
    <cellStyle name="Normal 3 2 5" xfId="671" xr:uid="{00000000-0005-0000-0000-00009F020000}"/>
    <cellStyle name="Normal 3 2 5 2" xfId="672" xr:uid="{00000000-0005-0000-0000-0000A0020000}"/>
    <cellStyle name="Normal 3 2 6" xfId="673" xr:uid="{00000000-0005-0000-0000-0000A1020000}"/>
    <cellStyle name="Normal 3 2 7" xfId="674" xr:uid="{00000000-0005-0000-0000-0000A2020000}"/>
    <cellStyle name="Normal 3 3" xfId="675" xr:uid="{00000000-0005-0000-0000-0000A3020000}"/>
    <cellStyle name="Normal 3 3 2" xfId="676" xr:uid="{00000000-0005-0000-0000-0000A4020000}"/>
    <cellStyle name="Normal 3 3 3" xfId="677" xr:uid="{00000000-0005-0000-0000-0000A5020000}"/>
    <cellStyle name="Normal 3 4" xfId="678" xr:uid="{00000000-0005-0000-0000-0000A6020000}"/>
    <cellStyle name="Normal 3 4 2" xfId="679" xr:uid="{00000000-0005-0000-0000-0000A7020000}"/>
    <cellStyle name="Normal 3 4 3" xfId="680" xr:uid="{00000000-0005-0000-0000-0000A8020000}"/>
    <cellStyle name="Normal 3 5" xfId="681" xr:uid="{00000000-0005-0000-0000-0000A9020000}"/>
    <cellStyle name="Normal 3 5 2" xfId="682" xr:uid="{00000000-0005-0000-0000-0000AA020000}"/>
    <cellStyle name="Normal 3 6" xfId="683" xr:uid="{00000000-0005-0000-0000-0000AB020000}"/>
    <cellStyle name="Normal 3 7" xfId="684" xr:uid="{00000000-0005-0000-0000-0000AC020000}"/>
    <cellStyle name="Normal 3 8" xfId="685" xr:uid="{00000000-0005-0000-0000-0000AD020000}"/>
    <cellStyle name="Normal 3 9" xfId="686" xr:uid="{00000000-0005-0000-0000-0000AE020000}"/>
    <cellStyle name="Normal 4" xfId="687" xr:uid="{00000000-0005-0000-0000-0000AF020000}"/>
    <cellStyle name="Normal 4 2" xfId="688" xr:uid="{00000000-0005-0000-0000-0000B0020000}"/>
    <cellStyle name="Normal 4 2 2" xfId="689" xr:uid="{00000000-0005-0000-0000-0000B1020000}"/>
    <cellStyle name="Normal 4 2 3" xfId="690" xr:uid="{00000000-0005-0000-0000-0000B2020000}"/>
    <cellStyle name="Normal 4 2 4" xfId="691" xr:uid="{00000000-0005-0000-0000-0000B3020000}"/>
    <cellStyle name="Normal 4 2 5" xfId="692" xr:uid="{00000000-0005-0000-0000-0000B4020000}"/>
    <cellStyle name="Normal 4 2 5 2" xfId="693" xr:uid="{00000000-0005-0000-0000-0000B5020000}"/>
    <cellStyle name="Normal 4 2 6" xfId="694" xr:uid="{00000000-0005-0000-0000-0000B6020000}"/>
    <cellStyle name="Normal 4 2 7" xfId="695" xr:uid="{00000000-0005-0000-0000-0000B7020000}"/>
    <cellStyle name="Normal 4 2 8" xfId="696" xr:uid="{00000000-0005-0000-0000-0000B8020000}"/>
    <cellStyle name="Normal 4 3" xfId="697" xr:uid="{00000000-0005-0000-0000-0000B9020000}"/>
    <cellStyle name="Normal 4 3 2" xfId="698" xr:uid="{00000000-0005-0000-0000-0000BA020000}"/>
    <cellStyle name="Normal 4 3 3" xfId="699" xr:uid="{00000000-0005-0000-0000-0000BB020000}"/>
    <cellStyle name="Normal 4 4" xfId="700" xr:uid="{00000000-0005-0000-0000-0000BC020000}"/>
    <cellStyle name="Normal 4 4 2" xfId="701" xr:uid="{00000000-0005-0000-0000-0000BD020000}"/>
    <cellStyle name="Normal 4 4 3" xfId="702" xr:uid="{00000000-0005-0000-0000-0000BE020000}"/>
    <cellStyle name="Normal 4 5" xfId="703" xr:uid="{00000000-0005-0000-0000-0000BF020000}"/>
    <cellStyle name="Normal 4 5 2" xfId="704" xr:uid="{00000000-0005-0000-0000-0000C0020000}"/>
    <cellStyle name="Normal 4 6" xfId="705" xr:uid="{00000000-0005-0000-0000-0000C1020000}"/>
    <cellStyle name="Normal 4 7" xfId="706" xr:uid="{00000000-0005-0000-0000-0000C2020000}"/>
    <cellStyle name="Normal 4 8" xfId="707" xr:uid="{00000000-0005-0000-0000-0000C3020000}"/>
    <cellStyle name="Normal 5" xfId="708" xr:uid="{00000000-0005-0000-0000-0000C4020000}"/>
    <cellStyle name="Normal 5 2" xfId="709" xr:uid="{00000000-0005-0000-0000-0000C5020000}"/>
    <cellStyle name="Normal 5 3" xfId="710" xr:uid="{00000000-0005-0000-0000-0000C6020000}"/>
    <cellStyle name="Normal 5 3 2" xfId="711" xr:uid="{00000000-0005-0000-0000-0000C7020000}"/>
    <cellStyle name="Normal 5 4" xfId="712" xr:uid="{00000000-0005-0000-0000-0000C8020000}"/>
    <cellStyle name="Normal 5 5" xfId="713" xr:uid="{00000000-0005-0000-0000-0000C9020000}"/>
    <cellStyle name="Normal 5 6" xfId="714" xr:uid="{00000000-0005-0000-0000-0000CA020000}"/>
    <cellStyle name="Normal 6 2" xfId="715" xr:uid="{00000000-0005-0000-0000-0000CB020000}"/>
    <cellStyle name="Normal 6 2 2" xfId="716" xr:uid="{00000000-0005-0000-0000-0000CC020000}"/>
    <cellStyle name="Normal 6 2 2 2" xfId="717" xr:uid="{00000000-0005-0000-0000-0000CD020000}"/>
    <cellStyle name="Normal 6 2 3" xfId="718" xr:uid="{00000000-0005-0000-0000-0000CE020000}"/>
    <cellStyle name="Normal 6 2 4" xfId="719" xr:uid="{00000000-0005-0000-0000-0000CF020000}"/>
    <cellStyle name="Normal 6 3" xfId="720" xr:uid="{00000000-0005-0000-0000-0000D0020000}"/>
    <cellStyle name="Normal 6 4" xfId="721" xr:uid="{00000000-0005-0000-0000-0000D1020000}"/>
    <cellStyle name="Normal 6 4 2" xfId="722" xr:uid="{00000000-0005-0000-0000-0000D2020000}"/>
    <cellStyle name="Normal 6 5" xfId="723" xr:uid="{00000000-0005-0000-0000-0000D3020000}"/>
    <cellStyle name="Normal 6 6" xfId="724" xr:uid="{00000000-0005-0000-0000-0000D4020000}"/>
    <cellStyle name="Normal 7 2" xfId="725" xr:uid="{00000000-0005-0000-0000-0000D5020000}"/>
    <cellStyle name="Normal 7 3" xfId="726" xr:uid="{00000000-0005-0000-0000-0000D6020000}"/>
    <cellStyle name="Normal 8" xfId="727" xr:uid="{00000000-0005-0000-0000-0000D7020000}"/>
    <cellStyle name="Normal 8 2" xfId="728" xr:uid="{00000000-0005-0000-0000-0000D8020000}"/>
    <cellStyle name="Normal 9" xfId="729" xr:uid="{00000000-0005-0000-0000-0000D9020000}"/>
    <cellStyle name="Normal 9 2" xfId="730" xr:uid="{00000000-0005-0000-0000-0000DA020000}"/>
    <cellStyle name="Normale_B2020" xfId="731" xr:uid="{00000000-0005-0000-0000-0000DB020000}"/>
    <cellStyle name="Not_Provided" xfId="732" xr:uid="{00000000-0005-0000-0000-0000DC020000}"/>
    <cellStyle name="Note 2" xfId="733" xr:uid="{00000000-0005-0000-0000-0000DD020000}"/>
    <cellStyle name="Note 2 10" xfId="734" xr:uid="{00000000-0005-0000-0000-0000DE020000}"/>
    <cellStyle name="Note 2 11" xfId="735" xr:uid="{00000000-0005-0000-0000-0000DF020000}"/>
    <cellStyle name="Note 2 12" xfId="736" xr:uid="{00000000-0005-0000-0000-0000E0020000}"/>
    <cellStyle name="Note 2 13" xfId="737" xr:uid="{00000000-0005-0000-0000-0000E1020000}"/>
    <cellStyle name="Note 2 14" xfId="738" xr:uid="{00000000-0005-0000-0000-0000E2020000}"/>
    <cellStyle name="Note 2 15" xfId="739" xr:uid="{00000000-0005-0000-0000-0000E3020000}"/>
    <cellStyle name="Note 2 2" xfId="740" xr:uid="{00000000-0005-0000-0000-0000E4020000}"/>
    <cellStyle name="Note 2 3" xfId="741" xr:uid="{00000000-0005-0000-0000-0000E5020000}"/>
    <cellStyle name="Note 2 4" xfId="742" xr:uid="{00000000-0005-0000-0000-0000E6020000}"/>
    <cellStyle name="Note 2 5" xfId="743" xr:uid="{00000000-0005-0000-0000-0000E7020000}"/>
    <cellStyle name="Note 2 6" xfId="744" xr:uid="{00000000-0005-0000-0000-0000E8020000}"/>
    <cellStyle name="Note 2 7" xfId="745" xr:uid="{00000000-0005-0000-0000-0000E9020000}"/>
    <cellStyle name="Note 2 8" xfId="746" xr:uid="{00000000-0005-0000-0000-0000EA020000}"/>
    <cellStyle name="Note 2 9" xfId="747" xr:uid="{00000000-0005-0000-0000-0000EB020000}"/>
    <cellStyle name="Notiz" xfId="748" xr:uid="{00000000-0005-0000-0000-0000EC020000}"/>
    <cellStyle name="Notiz 2" xfId="749" xr:uid="{00000000-0005-0000-0000-0000ED020000}"/>
    <cellStyle name="Notiz 3" xfId="750" xr:uid="{00000000-0005-0000-0000-0000EE020000}"/>
    <cellStyle name="Notiz 3 2" xfId="751" xr:uid="{00000000-0005-0000-0000-0000EF020000}"/>
    <cellStyle name="Notiz 4" xfId="752" xr:uid="{00000000-0005-0000-0000-0000F0020000}"/>
    <cellStyle name="Notiz 5" xfId="753" xr:uid="{00000000-0005-0000-0000-0000F1020000}"/>
    <cellStyle name="Notiz 5 2" xfId="754" xr:uid="{00000000-0005-0000-0000-0000F2020000}"/>
    <cellStyle name="Output 2" xfId="755" xr:uid="{00000000-0005-0000-0000-0000F3020000}"/>
    <cellStyle name="Output 2 10" xfId="756" xr:uid="{00000000-0005-0000-0000-0000F4020000}"/>
    <cellStyle name="Output 2 11" xfId="757" xr:uid="{00000000-0005-0000-0000-0000F5020000}"/>
    <cellStyle name="Output 2 12" xfId="758" xr:uid="{00000000-0005-0000-0000-0000F6020000}"/>
    <cellStyle name="Output 2 13" xfId="759" xr:uid="{00000000-0005-0000-0000-0000F7020000}"/>
    <cellStyle name="Output 2 14" xfId="760" xr:uid="{00000000-0005-0000-0000-0000F8020000}"/>
    <cellStyle name="Output 2 15" xfId="761" xr:uid="{00000000-0005-0000-0000-0000F9020000}"/>
    <cellStyle name="Output 2 2" xfId="762" xr:uid="{00000000-0005-0000-0000-0000FA020000}"/>
    <cellStyle name="Output 2 3" xfId="763" xr:uid="{00000000-0005-0000-0000-0000FB020000}"/>
    <cellStyle name="Output 2 4" xfId="764" xr:uid="{00000000-0005-0000-0000-0000FC020000}"/>
    <cellStyle name="Output 2 5" xfId="765" xr:uid="{00000000-0005-0000-0000-0000FD020000}"/>
    <cellStyle name="Output 2 6" xfId="766" xr:uid="{00000000-0005-0000-0000-0000FE020000}"/>
    <cellStyle name="Output 2 7" xfId="767" xr:uid="{00000000-0005-0000-0000-0000FF020000}"/>
    <cellStyle name="Output 2 8" xfId="768" xr:uid="{00000000-0005-0000-0000-000000030000}"/>
    <cellStyle name="Output 2 9" xfId="769" xr:uid="{00000000-0005-0000-0000-000001030000}"/>
    <cellStyle name="Percent" xfId="770" builtinId="5"/>
    <cellStyle name="Percent 2" xfId="771" xr:uid="{00000000-0005-0000-0000-000003030000}"/>
    <cellStyle name="Percent 2 2" xfId="772" xr:uid="{00000000-0005-0000-0000-000004030000}"/>
    <cellStyle name="Percent 2 2 2" xfId="773" xr:uid="{00000000-0005-0000-0000-000005030000}"/>
    <cellStyle name="Percent 2 2 2 2" xfId="774" xr:uid="{00000000-0005-0000-0000-000006030000}"/>
    <cellStyle name="Percent 2 2 2 3" xfId="775" xr:uid="{00000000-0005-0000-0000-000007030000}"/>
    <cellStyle name="Percent 2 2 3" xfId="776" xr:uid="{00000000-0005-0000-0000-000008030000}"/>
    <cellStyle name="Percent 2 2 4" xfId="777" xr:uid="{00000000-0005-0000-0000-000009030000}"/>
    <cellStyle name="Percent 2 3" xfId="778" xr:uid="{00000000-0005-0000-0000-00000A030000}"/>
    <cellStyle name="Percent 2 3 2" xfId="779" xr:uid="{00000000-0005-0000-0000-00000B030000}"/>
    <cellStyle name="Percent 2 3 3" xfId="780" xr:uid="{00000000-0005-0000-0000-00000C030000}"/>
    <cellStyle name="Percent 2 3 3 2" xfId="781" xr:uid="{00000000-0005-0000-0000-00000D030000}"/>
    <cellStyle name="Percent 2 4" xfId="782" xr:uid="{00000000-0005-0000-0000-00000E030000}"/>
    <cellStyle name="Percent 3" xfId="783" xr:uid="{00000000-0005-0000-0000-00000F030000}"/>
    <cellStyle name="Percent 3 2" xfId="784" xr:uid="{00000000-0005-0000-0000-000010030000}"/>
    <cellStyle name="Percent 3 2 2" xfId="785" xr:uid="{00000000-0005-0000-0000-000011030000}"/>
    <cellStyle name="Percent 3 2 3" xfId="786" xr:uid="{00000000-0005-0000-0000-000012030000}"/>
    <cellStyle name="Percent 3 2 4" xfId="787" xr:uid="{00000000-0005-0000-0000-000013030000}"/>
    <cellStyle name="Percent 3 3" xfId="788" xr:uid="{00000000-0005-0000-0000-000014030000}"/>
    <cellStyle name="Percent 3 3 2" xfId="789" xr:uid="{00000000-0005-0000-0000-000015030000}"/>
    <cellStyle name="Percent 3 3 3" xfId="790" xr:uid="{00000000-0005-0000-0000-000016030000}"/>
    <cellStyle name="Percent 3 4" xfId="791" xr:uid="{00000000-0005-0000-0000-000017030000}"/>
    <cellStyle name="Percent 3 4 2" xfId="792" xr:uid="{00000000-0005-0000-0000-000018030000}"/>
    <cellStyle name="Percent 3 4 3" xfId="793" xr:uid="{00000000-0005-0000-0000-000019030000}"/>
    <cellStyle name="Percent 3 4 3 2" xfId="794" xr:uid="{00000000-0005-0000-0000-00001A030000}"/>
    <cellStyle name="Percent 3 5" xfId="795" xr:uid="{00000000-0005-0000-0000-00001B030000}"/>
    <cellStyle name="Percent 3 6" xfId="796" xr:uid="{00000000-0005-0000-0000-00001C030000}"/>
    <cellStyle name="Percent 3 6 2" xfId="797" xr:uid="{00000000-0005-0000-0000-00001D030000}"/>
    <cellStyle name="Percent 4" xfId="798" xr:uid="{00000000-0005-0000-0000-00001E030000}"/>
    <cellStyle name="Percent 4 2" xfId="799" xr:uid="{00000000-0005-0000-0000-00001F030000}"/>
    <cellStyle name="Percent 4 3" xfId="800" xr:uid="{00000000-0005-0000-0000-000020030000}"/>
    <cellStyle name="Percent 4 4" xfId="801" xr:uid="{00000000-0005-0000-0000-000021030000}"/>
    <cellStyle name="Percent 5" xfId="802" xr:uid="{00000000-0005-0000-0000-000022030000}"/>
    <cellStyle name="Percent 5 2" xfId="803" xr:uid="{00000000-0005-0000-0000-000023030000}"/>
    <cellStyle name="Percent 6" xfId="804" xr:uid="{00000000-0005-0000-0000-000024030000}"/>
    <cellStyle name="Pilkku_Layo9704" xfId="805" xr:uid="{00000000-0005-0000-0000-000025030000}"/>
    <cellStyle name="Pyör. luku_Layo9704" xfId="806" xr:uid="{00000000-0005-0000-0000-000026030000}"/>
    <cellStyle name="Pyör. valuutta_Layo9704" xfId="807" xr:uid="{00000000-0005-0000-0000-000027030000}"/>
    <cellStyle name="Schlecht" xfId="808" xr:uid="{00000000-0005-0000-0000-000028030000}"/>
    <cellStyle name="Standard_Sce_D_Extraction" xfId="809" xr:uid="{00000000-0005-0000-0000-000029030000}"/>
    <cellStyle name="Style 103" xfId="810" xr:uid="{00000000-0005-0000-0000-00002A030000}"/>
    <cellStyle name="Style 103 2" xfId="811" xr:uid="{00000000-0005-0000-0000-00002B030000}"/>
    <cellStyle name="Style 103 3" xfId="812" xr:uid="{00000000-0005-0000-0000-00002C030000}"/>
    <cellStyle name="Style 103 3 2" xfId="813" xr:uid="{00000000-0005-0000-0000-00002D030000}"/>
    <cellStyle name="Style 103 4" xfId="814" xr:uid="{00000000-0005-0000-0000-00002E030000}"/>
    <cellStyle name="Style 103 5" xfId="815" xr:uid="{00000000-0005-0000-0000-00002F030000}"/>
    <cellStyle name="Style 103 5 2" xfId="816" xr:uid="{00000000-0005-0000-0000-000030030000}"/>
    <cellStyle name="Style 104" xfId="817" xr:uid="{00000000-0005-0000-0000-000031030000}"/>
    <cellStyle name="Style 104 2" xfId="818" xr:uid="{00000000-0005-0000-0000-000032030000}"/>
    <cellStyle name="Style 104 3" xfId="819" xr:uid="{00000000-0005-0000-0000-000033030000}"/>
    <cellStyle name="Style 104 3 2" xfId="820" xr:uid="{00000000-0005-0000-0000-000034030000}"/>
    <cellStyle name="Style 104 4" xfId="821" xr:uid="{00000000-0005-0000-0000-000035030000}"/>
    <cellStyle name="Style 104 5" xfId="822" xr:uid="{00000000-0005-0000-0000-000036030000}"/>
    <cellStyle name="Style 104 5 2" xfId="823" xr:uid="{00000000-0005-0000-0000-000037030000}"/>
    <cellStyle name="Style 105" xfId="824" xr:uid="{00000000-0005-0000-0000-000038030000}"/>
    <cellStyle name="Style 105 2" xfId="825" xr:uid="{00000000-0005-0000-0000-000039030000}"/>
    <cellStyle name="Style 105 3" xfId="826" xr:uid="{00000000-0005-0000-0000-00003A030000}"/>
    <cellStyle name="Style 105 4" xfId="827" xr:uid="{00000000-0005-0000-0000-00003B030000}"/>
    <cellStyle name="Style 105 4 2" xfId="828" xr:uid="{00000000-0005-0000-0000-00003C030000}"/>
    <cellStyle name="Style 106" xfId="829" xr:uid="{00000000-0005-0000-0000-00003D030000}"/>
    <cellStyle name="Style 106 2" xfId="830" xr:uid="{00000000-0005-0000-0000-00003E030000}"/>
    <cellStyle name="Style 106 3" xfId="831" xr:uid="{00000000-0005-0000-0000-00003F030000}"/>
    <cellStyle name="Style 106 4" xfId="832" xr:uid="{00000000-0005-0000-0000-000040030000}"/>
    <cellStyle name="Style 106 4 2" xfId="833" xr:uid="{00000000-0005-0000-0000-000041030000}"/>
    <cellStyle name="Style 107" xfId="834" xr:uid="{00000000-0005-0000-0000-000042030000}"/>
    <cellStyle name="Style 107 2" xfId="835" xr:uid="{00000000-0005-0000-0000-000043030000}"/>
    <cellStyle name="Style 107 3" xfId="836" xr:uid="{00000000-0005-0000-0000-000044030000}"/>
    <cellStyle name="Style 107 4" xfId="837" xr:uid="{00000000-0005-0000-0000-000045030000}"/>
    <cellStyle name="Style 107 4 2" xfId="838" xr:uid="{00000000-0005-0000-0000-000046030000}"/>
    <cellStyle name="Style 108" xfId="839" xr:uid="{00000000-0005-0000-0000-000047030000}"/>
    <cellStyle name="Style 108 2" xfId="840" xr:uid="{00000000-0005-0000-0000-000048030000}"/>
    <cellStyle name="Style 108 3" xfId="841" xr:uid="{00000000-0005-0000-0000-000049030000}"/>
    <cellStyle name="Style 108 3 2" xfId="842" xr:uid="{00000000-0005-0000-0000-00004A030000}"/>
    <cellStyle name="Style 108 4" xfId="843" xr:uid="{00000000-0005-0000-0000-00004B030000}"/>
    <cellStyle name="Style 108 5" xfId="844" xr:uid="{00000000-0005-0000-0000-00004C030000}"/>
    <cellStyle name="Style 108 5 2" xfId="845" xr:uid="{00000000-0005-0000-0000-00004D030000}"/>
    <cellStyle name="Style 109" xfId="846" xr:uid="{00000000-0005-0000-0000-00004E030000}"/>
    <cellStyle name="Style 109 2" xfId="847" xr:uid="{00000000-0005-0000-0000-00004F030000}"/>
    <cellStyle name="Style 109 3" xfId="848" xr:uid="{00000000-0005-0000-0000-000050030000}"/>
    <cellStyle name="Style 109 4" xfId="849" xr:uid="{00000000-0005-0000-0000-000051030000}"/>
    <cellStyle name="Style 109 4 2" xfId="850" xr:uid="{00000000-0005-0000-0000-000052030000}"/>
    <cellStyle name="Style 110" xfId="851" xr:uid="{00000000-0005-0000-0000-000053030000}"/>
    <cellStyle name="Style 110 2" xfId="852" xr:uid="{00000000-0005-0000-0000-000054030000}"/>
    <cellStyle name="Style 110 3" xfId="853" xr:uid="{00000000-0005-0000-0000-000055030000}"/>
    <cellStyle name="Style 110 4" xfId="854" xr:uid="{00000000-0005-0000-0000-000056030000}"/>
    <cellStyle name="Style 110 4 2" xfId="855" xr:uid="{00000000-0005-0000-0000-000057030000}"/>
    <cellStyle name="Style 114" xfId="856" xr:uid="{00000000-0005-0000-0000-000058030000}"/>
    <cellStyle name="Style 114 2" xfId="857" xr:uid="{00000000-0005-0000-0000-000059030000}"/>
    <cellStyle name="Style 114 3" xfId="858" xr:uid="{00000000-0005-0000-0000-00005A030000}"/>
    <cellStyle name="Style 114 3 2" xfId="859" xr:uid="{00000000-0005-0000-0000-00005B030000}"/>
    <cellStyle name="Style 114 4" xfId="860" xr:uid="{00000000-0005-0000-0000-00005C030000}"/>
    <cellStyle name="Style 114 5" xfId="861" xr:uid="{00000000-0005-0000-0000-00005D030000}"/>
    <cellStyle name="Style 114 5 2" xfId="862" xr:uid="{00000000-0005-0000-0000-00005E030000}"/>
    <cellStyle name="Style 115" xfId="863" xr:uid="{00000000-0005-0000-0000-00005F030000}"/>
    <cellStyle name="Style 115 2" xfId="864" xr:uid="{00000000-0005-0000-0000-000060030000}"/>
    <cellStyle name="Style 115 3" xfId="865" xr:uid="{00000000-0005-0000-0000-000061030000}"/>
    <cellStyle name="Style 115 3 2" xfId="866" xr:uid="{00000000-0005-0000-0000-000062030000}"/>
    <cellStyle name="Style 115 4" xfId="867" xr:uid="{00000000-0005-0000-0000-000063030000}"/>
    <cellStyle name="Style 115 5" xfId="868" xr:uid="{00000000-0005-0000-0000-000064030000}"/>
    <cellStyle name="Style 115 5 2" xfId="869" xr:uid="{00000000-0005-0000-0000-000065030000}"/>
    <cellStyle name="Style 116" xfId="870" xr:uid="{00000000-0005-0000-0000-000066030000}"/>
    <cellStyle name="Style 116 2" xfId="871" xr:uid="{00000000-0005-0000-0000-000067030000}"/>
    <cellStyle name="Style 116 3" xfId="872" xr:uid="{00000000-0005-0000-0000-000068030000}"/>
    <cellStyle name="Style 116 4" xfId="873" xr:uid="{00000000-0005-0000-0000-000069030000}"/>
    <cellStyle name="Style 116 4 2" xfId="874" xr:uid="{00000000-0005-0000-0000-00006A030000}"/>
    <cellStyle name="Style 117" xfId="875" xr:uid="{00000000-0005-0000-0000-00006B030000}"/>
    <cellStyle name="Style 117 2" xfId="876" xr:uid="{00000000-0005-0000-0000-00006C030000}"/>
    <cellStyle name="Style 117 3" xfId="877" xr:uid="{00000000-0005-0000-0000-00006D030000}"/>
    <cellStyle name="Style 117 4" xfId="878" xr:uid="{00000000-0005-0000-0000-00006E030000}"/>
    <cellStyle name="Style 117 4 2" xfId="879" xr:uid="{00000000-0005-0000-0000-00006F030000}"/>
    <cellStyle name="Style 118" xfId="880" xr:uid="{00000000-0005-0000-0000-000070030000}"/>
    <cellStyle name="Style 118 2" xfId="881" xr:uid="{00000000-0005-0000-0000-000071030000}"/>
    <cellStyle name="Style 118 3" xfId="882" xr:uid="{00000000-0005-0000-0000-000072030000}"/>
    <cellStyle name="Style 118 4" xfId="883" xr:uid="{00000000-0005-0000-0000-000073030000}"/>
    <cellStyle name="Style 118 4 2" xfId="884" xr:uid="{00000000-0005-0000-0000-000074030000}"/>
    <cellStyle name="Style 119" xfId="885" xr:uid="{00000000-0005-0000-0000-000075030000}"/>
    <cellStyle name="Style 119 2" xfId="886" xr:uid="{00000000-0005-0000-0000-000076030000}"/>
    <cellStyle name="Style 119 3" xfId="887" xr:uid="{00000000-0005-0000-0000-000077030000}"/>
    <cellStyle name="Style 119 3 2" xfId="888" xr:uid="{00000000-0005-0000-0000-000078030000}"/>
    <cellStyle name="Style 119 4" xfId="889" xr:uid="{00000000-0005-0000-0000-000079030000}"/>
    <cellStyle name="Style 119 5" xfId="890" xr:uid="{00000000-0005-0000-0000-00007A030000}"/>
    <cellStyle name="Style 119 5 2" xfId="891" xr:uid="{00000000-0005-0000-0000-00007B030000}"/>
    <cellStyle name="Style 120" xfId="892" xr:uid="{00000000-0005-0000-0000-00007C030000}"/>
    <cellStyle name="Style 120 2" xfId="893" xr:uid="{00000000-0005-0000-0000-00007D030000}"/>
    <cellStyle name="Style 120 3" xfId="894" xr:uid="{00000000-0005-0000-0000-00007E030000}"/>
    <cellStyle name="Style 120 4" xfId="895" xr:uid="{00000000-0005-0000-0000-00007F030000}"/>
    <cellStyle name="Style 120 4 2" xfId="896" xr:uid="{00000000-0005-0000-0000-000080030000}"/>
    <cellStyle name="Style 121" xfId="897" xr:uid="{00000000-0005-0000-0000-000081030000}"/>
    <cellStyle name="Style 121 2" xfId="898" xr:uid="{00000000-0005-0000-0000-000082030000}"/>
    <cellStyle name="Style 121 3" xfId="899" xr:uid="{00000000-0005-0000-0000-000083030000}"/>
    <cellStyle name="Style 121 4" xfId="900" xr:uid="{00000000-0005-0000-0000-000084030000}"/>
    <cellStyle name="Style 121 4 2" xfId="901" xr:uid="{00000000-0005-0000-0000-000085030000}"/>
    <cellStyle name="Style 126" xfId="902" xr:uid="{00000000-0005-0000-0000-000086030000}"/>
    <cellStyle name="Style 126 2" xfId="903" xr:uid="{00000000-0005-0000-0000-000087030000}"/>
    <cellStyle name="Style 126 3" xfId="904" xr:uid="{00000000-0005-0000-0000-000088030000}"/>
    <cellStyle name="Style 126 3 2" xfId="905" xr:uid="{00000000-0005-0000-0000-000089030000}"/>
    <cellStyle name="Style 126 4" xfId="906" xr:uid="{00000000-0005-0000-0000-00008A030000}"/>
    <cellStyle name="Style 126 5" xfId="907" xr:uid="{00000000-0005-0000-0000-00008B030000}"/>
    <cellStyle name="Style 126 5 2" xfId="908" xr:uid="{00000000-0005-0000-0000-00008C030000}"/>
    <cellStyle name="Style 127" xfId="909" xr:uid="{00000000-0005-0000-0000-00008D030000}"/>
    <cellStyle name="Style 127 2" xfId="910" xr:uid="{00000000-0005-0000-0000-00008E030000}"/>
    <cellStyle name="Style 127 3" xfId="911" xr:uid="{00000000-0005-0000-0000-00008F030000}"/>
    <cellStyle name="Style 127 4" xfId="912" xr:uid="{00000000-0005-0000-0000-000090030000}"/>
    <cellStyle name="Style 127 4 2" xfId="913" xr:uid="{00000000-0005-0000-0000-000091030000}"/>
    <cellStyle name="Style 128" xfId="914" xr:uid="{00000000-0005-0000-0000-000092030000}"/>
    <cellStyle name="Style 128 2" xfId="915" xr:uid="{00000000-0005-0000-0000-000093030000}"/>
    <cellStyle name="Style 128 3" xfId="916" xr:uid="{00000000-0005-0000-0000-000094030000}"/>
    <cellStyle name="Style 128 4" xfId="917" xr:uid="{00000000-0005-0000-0000-000095030000}"/>
    <cellStyle name="Style 128 4 2" xfId="918" xr:uid="{00000000-0005-0000-0000-000096030000}"/>
    <cellStyle name="Style 129" xfId="919" xr:uid="{00000000-0005-0000-0000-000097030000}"/>
    <cellStyle name="Style 129 2" xfId="920" xr:uid="{00000000-0005-0000-0000-000098030000}"/>
    <cellStyle name="Style 129 3" xfId="921" xr:uid="{00000000-0005-0000-0000-000099030000}"/>
    <cellStyle name="Style 129 4" xfId="922" xr:uid="{00000000-0005-0000-0000-00009A030000}"/>
    <cellStyle name="Style 129 4 2" xfId="923" xr:uid="{00000000-0005-0000-0000-00009B030000}"/>
    <cellStyle name="Style 130" xfId="924" xr:uid="{00000000-0005-0000-0000-00009C030000}"/>
    <cellStyle name="Style 130 2" xfId="925" xr:uid="{00000000-0005-0000-0000-00009D030000}"/>
    <cellStyle name="Style 130 3" xfId="926" xr:uid="{00000000-0005-0000-0000-00009E030000}"/>
    <cellStyle name="Style 130 3 2" xfId="927" xr:uid="{00000000-0005-0000-0000-00009F030000}"/>
    <cellStyle name="Style 130 4" xfId="928" xr:uid="{00000000-0005-0000-0000-0000A0030000}"/>
    <cellStyle name="Style 130 5" xfId="929" xr:uid="{00000000-0005-0000-0000-0000A1030000}"/>
    <cellStyle name="Style 130 5 2" xfId="930" xr:uid="{00000000-0005-0000-0000-0000A2030000}"/>
    <cellStyle name="Style 131" xfId="931" xr:uid="{00000000-0005-0000-0000-0000A3030000}"/>
    <cellStyle name="Style 131 2" xfId="932" xr:uid="{00000000-0005-0000-0000-0000A4030000}"/>
    <cellStyle name="Style 131 3" xfId="933" xr:uid="{00000000-0005-0000-0000-0000A5030000}"/>
    <cellStyle name="Style 131 4" xfId="934" xr:uid="{00000000-0005-0000-0000-0000A6030000}"/>
    <cellStyle name="Style 131 4 2" xfId="935" xr:uid="{00000000-0005-0000-0000-0000A7030000}"/>
    <cellStyle name="Style 132" xfId="936" xr:uid="{00000000-0005-0000-0000-0000A8030000}"/>
    <cellStyle name="Style 132 2" xfId="937" xr:uid="{00000000-0005-0000-0000-0000A9030000}"/>
    <cellStyle name="Style 132 3" xfId="938" xr:uid="{00000000-0005-0000-0000-0000AA030000}"/>
    <cellStyle name="Style 132 4" xfId="939" xr:uid="{00000000-0005-0000-0000-0000AB030000}"/>
    <cellStyle name="Style 132 4 2" xfId="940" xr:uid="{00000000-0005-0000-0000-0000AC030000}"/>
    <cellStyle name="Style 137" xfId="941" xr:uid="{00000000-0005-0000-0000-0000AD030000}"/>
    <cellStyle name="Style 137 2" xfId="942" xr:uid="{00000000-0005-0000-0000-0000AE030000}"/>
    <cellStyle name="Style 137 3" xfId="943" xr:uid="{00000000-0005-0000-0000-0000AF030000}"/>
    <cellStyle name="Style 137 3 2" xfId="944" xr:uid="{00000000-0005-0000-0000-0000B0030000}"/>
    <cellStyle name="Style 137 4" xfId="945" xr:uid="{00000000-0005-0000-0000-0000B1030000}"/>
    <cellStyle name="Style 137 5" xfId="946" xr:uid="{00000000-0005-0000-0000-0000B2030000}"/>
    <cellStyle name="Style 137 5 2" xfId="947" xr:uid="{00000000-0005-0000-0000-0000B3030000}"/>
    <cellStyle name="Style 138" xfId="948" xr:uid="{00000000-0005-0000-0000-0000B4030000}"/>
    <cellStyle name="Style 138 2" xfId="949" xr:uid="{00000000-0005-0000-0000-0000B5030000}"/>
    <cellStyle name="Style 138 3" xfId="950" xr:uid="{00000000-0005-0000-0000-0000B6030000}"/>
    <cellStyle name="Style 138 4" xfId="951" xr:uid="{00000000-0005-0000-0000-0000B7030000}"/>
    <cellStyle name="Style 138 4 2" xfId="952" xr:uid="{00000000-0005-0000-0000-0000B8030000}"/>
    <cellStyle name="Style 139" xfId="953" xr:uid="{00000000-0005-0000-0000-0000B9030000}"/>
    <cellStyle name="Style 139 2" xfId="954" xr:uid="{00000000-0005-0000-0000-0000BA030000}"/>
    <cellStyle name="Style 139 3" xfId="955" xr:uid="{00000000-0005-0000-0000-0000BB030000}"/>
    <cellStyle name="Style 139 4" xfId="956" xr:uid="{00000000-0005-0000-0000-0000BC030000}"/>
    <cellStyle name="Style 139 4 2" xfId="957" xr:uid="{00000000-0005-0000-0000-0000BD030000}"/>
    <cellStyle name="Style 140" xfId="958" xr:uid="{00000000-0005-0000-0000-0000BE030000}"/>
    <cellStyle name="Style 140 2" xfId="959" xr:uid="{00000000-0005-0000-0000-0000BF030000}"/>
    <cellStyle name="Style 140 3" xfId="960" xr:uid="{00000000-0005-0000-0000-0000C0030000}"/>
    <cellStyle name="Style 140 4" xfId="961" xr:uid="{00000000-0005-0000-0000-0000C1030000}"/>
    <cellStyle name="Style 140 4 2" xfId="962" xr:uid="{00000000-0005-0000-0000-0000C2030000}"/>
    <cellStyle name="Style 141" xfId="963" xr:uid="{00000000-0005-0000-0000-0000C3030000}"/>
    <cellStyle name="Style 141 2" xfId="964" xr:uid="{00000000-0005-0000-0000-0000C4030000}"/>
    <cellStyle name="Style 141 3" xfId="965" xr:uid="{00000000-0005-0000-0000-0000C5030000}"/>
    <cellStyle name="Style 141 3 2" xfId="966" xr:uid="{00000000-0005-0000-0000-0000C6030000}"/>
    <cellStyle name="Style 141 4" xfId="967" xr:uid="{00000000-0005-0000-0000-0000C7030000}"/>
    <cellStyle name="Style 141 5" xfId="968" xr:uid="{00000000-0005-0000-0000-0000C8030000}"/>
    <cellStyle name="Style 141 5 2" xfId="969" xr:uid="{00000000-0005-0000-0000-0000C9030000}"/>
    <cellStyle name="Style 142" xfId="970" xr:uid="{00000000-0005-0000-0000-0000CA030000}"/>
    <cellStyle name="Style 142 2" xfId="971" xr:uid="{00000000-0005-0000-0000-0000CB030000}"/>
    <cellStyle name="Style 142 3" xfId="972" xr:uid="{00000000-0005-0000-0000-0000CC030000}"/>
    <cellStyle name="Style 142 4" xfId="973" xr:uid="{00000000-0005-0000-0000-0000CD030000}"/>
    <cellStyle name="Style 142 4 2" xfId="974" xr:uid="{00000000-0005-0000-0000-0000CE030000}"/>
    <cellStyle name="Style 143" xfId="975" xr:uid="{00000000-0005-0000-0000-0000CF030000}"/>
    <cellStyle name="Style 143 2" xfId="976" xr:uid="{00000000-0005-0000-0000-0000D0030000}"/>
    <cellStyle name="Style 143 3" xfId="977" xr:uid="{00000000-0005-0000-0000-0000D1030000}"/>
    <cellStyle name="Style 143 4" xfId="978" xr:uid="{00000000-0005-0000-0000-0000D2030000}"/>
    <cellStyle name="Style 143 4 2" xfId="979" xr:uid="{00000000-0005-0000-0000-0000D3030000}"/>
    <cellStyle name="Style 148" xfId="980" xr:uid="{00000000-0005-0000-0000-0000D4030000}"/>
    <cellStyle name="Style 148 2" xfId="981" xr:uid="{00000000-0005-0000-0000-0000D5030000}"/>
    <cellStyle name="Style 148 3" xfId="982" xr:uid="{00000000-0005-0000-0000-0000D6030000}"/>
    <cellStyle name="Style 148 3 2" xfId="983" xr:uid="{00000000-0005-0000-0000-0000D7030000}"/>
    <cellStyle name="Style 148 4" xfId="984" xr:uid="{00000000-0005-0000-0000-0000D8030000}"/>
    <cellStyle name="Style 148 5" xfId="985" xr:uid="{00000000-0005-0000-0000-0000D9030000}"/>
    <cellStyle name="Style 148 5 2" xfId="986" xr:uid="{00000000-0005-0000-0000-0000DA030000}"/>
    <cellStyle name="Style 149" xfId="987" xr:uid="{00000000-0005-0000-0000-0000DB030000}"/>
    <cellStyle name="Style 149 2" xfId="988" xr:uid="{00000000-0005-0000-0000-0000DC030000}"/>
    <cellStyle name="Style 149 3" xfId="989" xr:uid="{00000000-0005-0000-0000-0000DD030000}"/>
    <cellStyle name="Style 149 4" xfId="990" xr:uid="{00000000-0005-0000-0000-0000DE030000}"/>
    <cellStyle name="Style 149 4 2" xfId="991" xr:uid="{00000000-0005-0000-0000-0000DF030000}"/>
    <cellStyle name="Style 150" xfId="992" xr:uid="{00000000-0005-0000-0000-0000E0030000}"/>
    <cellStyle name="Style 150 2" xfId="993" xr:uid="{00000000-0005-0000-0000-0000E1030000}"/>
    <cellStyle name="Style 150 3" xfId="994" xr:uid="{00000000-0005-0000-0000-0000E2030000}"/>
    <cellStyle name="Style 150 4" xfId="995" xr:uid="{00000000-0005-0000-0000-0000E3030000}"/>
    <cellStyle name="Style 150 4 2" xfId="996" xr:uid="{00000000-0005-0000-0000-0000E4030000}"/>
    <cellStyle name="Style 151" xfId="997" xr:uid="{00000000-0005-0000-0000-0000E5030000}"/>
    <cellStyle name="Style 151 2" xfId="998" xr:uid="{00000000-0005-0000-0000-0000E6030000}"/>
    <cellStyle name="Style 151 3" xfId="999" xr:uid="{00000000-0005-0000-0000-0000E7030000}"/>
    <cellStyle name="Style 151 4" xfId="1000" xr:uid="{00000000-0005-0000-0000-0000E8030000}"/>
    <cellStyle name="Style 151 4 2" xfId="1001" xr:uid="{00000000-0005-0000-0000-0000E9030000}"/>
    <cellStyle name="Style 152" xfId="1002" xr:uid="{00000000-0005-0000-0000-0000EA030000}"/>
    <cellStyle name="Style 152 2" xfId="1003" xr:uid="{00000000-0005-0000-0000-0000EB030000}"/>
    <cellStyle name="Style 152 3" xfId="1004" xr:uid="{00000000-0005-0000-0000-0000EC030000}"/>
    <cellStyle name="Style 152 3 2" xfId="1005" xr:uid="{00000000-0005-0000-0000-0000ED030000}"/>
    <cellStyle name="Style 152 4" xfId="1006" xr:uid="{00000000-0005-0000-0000-0000EE030000}"/>
    <cellStyle name="Style 152 5" xfId="1007" xr:uid="{00000000-0005-0000-0000-0000EF030000}"/>
    <cellStyle name="Style 152 5 2" xfId="1008" xr:uid="{00000000-0005-0000-0000-0000F0030000}"/>
    <cellStyle name="Style 153" xfId="1009" xr:uid="{00000000-0005-0000-0000-0000F1030000}"/>
    <cellStyle name="Style 153 2" xfId="1010" xr:uid="{00000000-0005-0000-0000-0000F2030000}"/>
    <cellStyle name="Style 153 3" xfId="1011" xr:uid="{00000000-0005-0000-0000-0000F3030000}"/>
    <cellStyle name="Style 153 4" xfId="1012" xr:uid="{00000000-0005-0000-0000-0000F4030000}"/>
    <cellStyle name="Style 153 4 2" xfId="1013" xr:uid="{00000000-0005-0000-0000-0000F5030000}"/>
    <cellStyle name="Style 154" xfId="1014" xr:uid="{00000000-0005-0000-0000-0000F6030000}"/>
    <cellStyle name="Style 154 2" xfId="1015" xr:uid="{00000000-0005-0000-0000-0000F7030000}"/>
    <cellStyle name="Style 154 3" xfId="1016" xr:uid="{00000000-0005-0000-0000-0000F8030000}"/>
    <cellStyle name="Style 154 4" xfId="1017" xr:uid="{00000000-0005-0000-0000-0000F9030000}"/>
    <cellStyle name="Style 154 4 2" xfId="1018" xr:uid="{00000000-0005-0000-0000-0000FA030000}"/>
    <cellStyle name="Style 159" xfId="1019" xr:uid="{00000000-0005-0000-0000-0000FB030000}"/>
    <cellStyle name="Style 159 2" xfId="1020" xr:uid="{00000000-0005-0000-0000-0000FC030000}"/>
    <cellStyle name="Style 159 3" xfId="1021" xr:uid="{00000000-0005-0000-0000-0000FD030000}"/>
    <cellStyle name="Style 159 3 2" xfId="1022" xr:uid="{00000000-0005-0000-0000-0000FE030000}"/>
    <cellStyle name="Style 159 4" xfId="1023" xr:uid="{00000000-0005-0000-0000-0000FF030000}"/>
    <cellStyle name="Style 159 5" xfId="1024" xr:uid="{00000000-0005-0000-0000-000000040000}"/>
    <cellStyle name="Style 159 5 2" xfId="1025" xr:uid="{00000000-0005-0000-0000-000001040000}"/>
    <cellStyle name="Style 160" xfId="1026" xr:uid="{00000000-0005-0000-0000-000002040000}"/>
    <cellStyle name="Style 160 2" xfId="1027" xr:uid="{00000000-0005-0000-0000-000003040000}"/>
    <cellStyle name="Style 160 3" xfId="1028" xr:uid="{00000000-0005-0000-0000-000004040000}"/>
    <cellStyle name="Style 160 4" xfId="1029" xr:uid="{00000000-0005-0000-0000-000005040000}"/>
    <cellStyle name="Style 160 4 2" xfId="1030" xr:uid="{00000000-0005-0000-0000-000006040000}"/>
    <cellStyle name="Style 161" xfId="1031" xr:uid="{00000000-0005-0000-0000-000007040000}"/>
    <cellStyle name="Style 161 2" xfId="1032" xr:uid="{00000000-0005-0000-0000-000008040000}"/>
    <cellStyle name="Style 161 3" xfId="1033" xr:uid="{00000000-0005-0000-0000-000009040000}"/>
    <cellStyle name="Style 161 4" xfId="1034" xr:uid="{00000000-0005-0000-0000-00000A040000}"/>
    <cellStyle name="Style 161 4 2" xfId="1035" xr:uid="{00000000-0005-0000-0000-00000B040000}"/>
    <cellStyle name="Style 162" xfId="1036" xr:uid="{00000000-0005-0000-0000-00000C040000}"/>
    <cellStyle name="Style 162 2" xfId="1037" xr:uid="{00000000-0005-0000-0000-00000D040000}"/>
    <cellStyle name="Style 162 3" xfId="1038" xr:uid="{00000000-0005-0000-0000-00000E040000}"/>
    <cellStyle name="Style 162 4" xfId="1039" xr:uid="{00000000-0005-0000-0000-00000F040000}"/>
    <cellStyle name="Style 162 4 2" xfId="1040" xr:uid="{00000000-0005-0000-0000-000010040000}"/>
    <cellStyle name="Style 163" xfId="1041" xr:uid="{00000000-0005-0000-0000-000011040000}"/>
    <cellStyle name="Style 163 2" xfId="1042" xr:uid="{00000000-0005-0000-0000-000012040000}"/>
    <cellStyle name="Style 163 3" xfId="1043" xr:uid="{00000000-0005-0000-0000-000013040000}"/>
    <cellStyle name="Style 163 3 2" xfId="1044" xr:uid="{00000000-0005-0000-0000-000014040000}"/>
    <cellStyle name="Style 163 4" xfId="1045" xr:uid="{00000000-0005-0000-0000-000015040000}"/>
    <cellStyle name="Style 163 5" xfId="1046" xr:uid="{00000000-0005-0000-0000-000016040000}"/>
    <cellStyle name="Style 163 5 2" xfId="1047" xr:uid="{00000000-0005-0000-0000-000017040000}"/>
    <cellStyle name="Style 164" xfId="1048" xr:uid="{00000000-0005-0000-0000-000018040000}"/>
    <cellStyle name="Style 164 2" xfId="1049" xr:uid="{00000000-0005-0000-0000-000019040000}"/>
    <cellStyle name="Style 164 3" xfId="1050" xr:uid="{00000000-0005-0000-0000-00001A040000}"/>
    <cellStyle name="Style 164 4" xfId="1051" xr:uid="{00000000-0005-0000-0000-00001B040000}"/>
    <cellStyle name="Style 164 4 2" xfId="1052" xr:uid="{00000000-0005-0000-0000-00001C040000}"/>
    <cellStyle name="Style 165" xfId="1053" xr:uid="{00000000-0005-0000-0000-00001D040000}"/>
    <cellStyle name="Style 165 2" xfId="1054" xr:uid="{00000000-0005-0000-0000-00001E040000}"/>
    <cellStyle name="Style 165 3" xfId="1055" xr:uid="{00000000-0005-0000-0000-00001F040000}"/>
    <cellStyle name="Style 165 4" xfId="1056" xr:uid="{00000000-0005-0000-0000-000020040000}"/>
    <cellStyle name="Style 165 4 2" xfId="1057" xr:uid="{00000000-0005-0000-0000-000021040000}"/>
    <cellStyle name="Style 21" xfId="1058" xr:uid="{00000000-0005-0000-0000-000022040000}"/>
    <cellStyle name="Style 21 2" xfId="1059" xr:uid="{00000000-0005-0000-0000-000023040000}"/>
    <cellStyle name="Style 21 3" xfId="1060" xr:uid="{00000000-0005-0000-0000-000024040000}"/>
    <cellStyle name="Style 21 3 2" xfId="1061" xr:uid="{00000000-0005-0000-0000-000025040000}"/>
    <cellStyle name="Style 21 4" xfId="1062" xr:uid="{00000000-0005-0000-0000-000026040000}"/>
    <cellStyle name="Style 21 5" xfId="1063" xr:uid="{00000000-0005-0000-0000-000027040000}"/>
    <cellStyle name="Style 21 5 2" xfId="1064" xr:uid="{00000000-0005-0000-0000-000028040000}"/>
    <cellStyle name="Style 21 6" xfId="1065" xr:uid="{00000000-0005-0000-0000-000029040000}"/>
    <cellStyle name="Style 21 7" xfId="1066" xr:uid="{00000000-0005-0000-0000-00002A040000}"/>
    <cellStyle name="Style 22" xfId="1067" xr:uid="{00000000-0005-0000-0000-00002B040000}"/>
    <cellStyle name="Style 22 2" xfId="1068" xr:uid="{00000000-0005-0000-0000-00002C040000}"/>
    <cellStyle name="Style 22 3" xfId="1069" xr:uid="{00000000-0005-0000-0000-00002D040000}"/>
    <cellStyle name="Style 22 4" xfId="1070" xr:uid="{00000000-0005-0000-0000-00002E040000}"/>
    <cellStyle name="Style 22 4 2" xfId="1071" xr:uid="{00000000-0005-0000-0000-00002F040000}"/>
    <cellStyle name="Style 22 5" xfId="1072" xr:uid="{00000000-0005-0000-0000-000030040000}"/>
    <cellStyle name="Style 23" xfId="1073" xr:uid="{00000000-0005-0000-0000-000031040000}"/>
    <cellStyle name="Style 23 2" xfId="1074" xr:uid="{00000000-0005-0000-0000-000032040000}"/>
    <cellStyle name="Style 23 3" xfId="1075" xr:uid="{00000000-0005-0000-0000-000033040000}"/>
    <cellStyle name="Style 23 4" xfId="1076" xr:uid="{00000000-0005-0000-0000-000034040000}"/>
    <cellStyle name="Style 23 4 2" xfId="1077" xr:uid="{00000000-0005-0000-0000-000035040000}"/>
    <cellStyle name="Style 23 5" xfId="1078" xr:uid="{00000000-0005-0000-0000-000036040000}"/>
    <cellStyle name="Style 24" xfId="1079" xr:uid="{00000000-0005-0000-0000-000037040000}"/>
    <cellStyle name="Style 24 2" xfId="1080" xr:uid="{00000000-0005-0000-0000-000038040000}"/>
    <cellStyle name="Style 24 3" xfId="1081" xr:uid="{00000000-0005-0000-0000-000039040000}"/>
    <cellStyle name="Style 24 4" xfId="1082" xr:uid="{00000000-0005-0000-0000-00003A040000}"/>
    <cellStyle name="Style 24 4 2" xfId="1083" xr:uid="{00000000-0005-0000-0000-00003B040000}"/>
    <cellStyle name="Style 24 5" xfId="1084" xr:uid="{00000000-0005-0000-0000-00003C040000}"/>
    <cellStyle name="Style 25" xfId="1085" xr:uid="{00000000-0005-0000-0000-00003D040000}"/>
    <cellStyle name="Style 25 2" xfId="1086" xr:uid="{00000000-0005-0000-0000-00003E040000}"/>
    <cellStyle name="Style 25 3" xfId="1087" xr:uid="{00000000-0005-0000-0000-00003F040000}"/>
    <cellStyle name="Style 25 3 2" xfId="1088" xr:uid="{00000000-0005-0000-0000-000040040000}"/>
    <cellStyle name="Style 25 4" xfId="1089" xr:uid="{00000000-0005-0000-0000-000041040000}"/>
    <cellStyle name="Style 25 5" xfId="1090" xr:uid="{00000000-0005-0000-0000-000042040000}"/>
    <cellStyle name="Style 25 5 2" xfId="1091" xr:uid="{00000000-0005-0000-0000-000043040000}"/>
    <cellStyle name="Style 25 6" xfId="1092" xr:uid="{00000000-0005-0000-0000-000044040000}"/>
    <cellStyle name="Style 26" xfId="1093" xr:uid="{00000000-0005-0000-0000-000045040000}"/>
    <cellStyle name="Style 26 2" xfId="1094" xr:uid="{00000000-0005-0000-0000-000046040000}"/>
    <cellStyle name="Style 26 3" xfId="1095" xr:uid="{00000000-0005-0000-0000-000047040000}"/>
    <cellStyle name="Style 26 4" xfId="1096" xr:uid="{00000000-0005-0000-0000-000048040000}"/>
    <cellStyle name="Style 26 4 2" xfId="1097" xr:uid="{00000000-0005-0000-0000-000049040000}"/>
    <cellStyle name="Style 26 5" xfId="1098" xr:uid="{00000000-0005-0000-0000-00004A040000}"/>
    <cellStyle name="Style 27" xfId="1099" xr:uid="{00000000-0005-0000-0000-00004B040000}"/>
    <cellStyle name="Style 27 2" xfId="1100" xr:uid="{00000000-0005-0000-0000-00004C040000}"/>
    <cellStyle name="Style 27 3" xfId="1101" xr:uid="{00000000-0005-0000-0000-00004D040000}"/>
    <cellStyle name="Style 27 4" xfId="1102" xr:uid="{00000000-0005-0000-0000-00004E040000}"/>
    <cellStyle name="Style 27 4 2" xfId="1103" xr:uid="{00000000-0005-0000-0000-00004F040000}"/>
    <cellStyle name="Style 35" xfId="1104" xr:uid="{00000000-0005-0000-0000-000050040000}"/>
    <cellStyle name="Style 35 2" xfId="1105" xr:uid="{00000000-0005-0000-0000-000051040000}"/>
    <cellStyle name="Style 35 3" xfId="1106" xr:uid="{00000000-0005-0000-0000-000052040000}"/>
    <cellStyle name="Style 35 3 2" xfId="1107" xr:uid="{00000000-0005-0000-0000-000053040000}"/>
    <cellStyle name="Style 35 4" xfId="1108" xr:uid="{00000000-0005-0000-0000-000054040000}"/>
    <cellStyle name="Style 35 5" xfId="1109" xr:uid="{00000000-0005-0000-0000-000055040000}"/>
    <cellStyle name="Style 35 5 2" xfId="1110" xr:uid="{00000000-0005-0000-0000-000056040000}"/>
    <cellStyle name="Style 36" xfId="1111" xr:uid="{00000000-0005-0000-0000-000057040000}"/>
    <cellStyle name="Style 36 2" xfId="1112" xr:uid="{00000000-0005-0000-0000-000058040000}"/>
    <cellStyle name="Style 36 3" xfId="1113" xr:uid="{00000000-0005-0000-0000-000059040000}"/>
    <cellStyle name="Style 36 4" xfId="1114" xr:uid="{00000000-0005-0000-0000-00005A040000}"/>
    <cellStyle name="Style 36 4 2" xfId="1115" xr:uid="{00000000-0005-0000-0000-00005B040000}"/>
    <cellStyle name="Style 37" xfId="1116" xr:uid="{00000000-0005-0000-0000-00005C040000}"/>
    <cellStyle name="Style 37 2" xfId="1117" xr:uid="{00000000-0005-0000-0000-00005D040000}"/>
    <cellStyle name="Style 37 3" xfId="1118" xr:uid="{00000000-0005-0000-0000-00005E040000}"/>
    <cellStyle name="Style 37 4" xfId="1119" xr:uid="{00000000-0005-0000-0000-00005F040000}"/>
    <cellStyle name="Style 37 4 2" xfId="1120" xr:uid="{00000000-0005-0000-0000-000060040000}"/>
    <cellStyle name="Style 38" xfId="1121" xr:uid="{00000000-0005-0000-0000-000061040000}"/>
    <cellStyle name="Style 38 2" xfId="1122" xr:uid="{00000000-0005-0000-0000-000062040000}"/>
    <cellStyle name="Style 38 3" xfId="1123" xr:uid="{00000000-0005-0000-0000-000063040000}"/>
    <cellStyle name="Style 38 4" xfId="1124" xr:uid="{00000000-0005-0000-0000-000064040000}"/>
    <cellStyle name="Style 38 4 2" xfId="1125" xr:uid="{00000000-0005-0000-0000-000065040000}"/>
    <cellStyle name="Style 39" xfId="1126" xr:uid="{00000000-0005-0000-0000-000066040000}"/>
    <cellStyle name="Style 39 2" xfId="1127" xr:uid="{00000000-0005-0000-0000-000067040000}"/>
    <cellStyle name="Style 39 3" xfId="1128" xr:uid="{00000000-0005-0000-0000-000068040000}"/>
    <cellStyle name="Style 39 3 2" xfId="1129" xr:uid="{00000000-0005-0000-0000-000069040000}"/>
    <cellStyle name="Style 39 4" xfId="1130" xr:uid="{00000000-0005-0000-0000-00006A040000}"/>
    <cellStyle name="Style 39 5" xfId="1131" xr:uid="{00000000-0005-0000-0000-00006B040000}"/>
    <cellStyle name="Style 39 5 2" xfId="1132" xr:uid="{00000000-0005-0000-0000-00006C040000}"/>
    <cellStyle name="Style 40" xfId="1133" xr:uid="{00000000-0005-0000-0000-00006D040000}"/>
    <cellStyle name="Style 40 2" xfId="1134" xr:uid="{00000000-0005-0000-0000-00006E040000}"/>
    <cellStyle name="Style 40 3" xfId="1135" xr:uid="{00000000-0005-0000-0000-00006F040000}"/>
    <cellStyle name="Style 40 4" xfId="1136" xr:uid="{00000000-0005-0000-0000-000070040000}"/>
    <cellStyle name="Style 40 4 2" xfId="1137" xr:uid="{00000000-0005-0000-0000-000071040000}"/>
    <cellStyle name="Style 41" xfId="1138" xr:uid="{00000000-0005-0000-0000-000072040000}"/>
    <cellStyle name="Style 41 2" xfId="1139" xr:uid="{00000000-0005-0000-0000-000073040000}"/>
    <cellStyle name="Style 41 3" xfId="1140" xr:uid="{00000000-0005-0000-0000-000074040000}"/>
    <cellStyle name="Style 41 4" xfId="1141" xr:uid="{00000000-0005-0000-0000-000075040000}"/>
    <cellStyle name="Style 41 4 2" xfId="1142" xr:uid="{00000000-0005-0000-0000-000076040000}"/>
    <cellStyle name="Style 46" xfId="1143" xr:uid="{00000000-0005-0000-0000-000077040000}"/>
    <cellStyle name="Style 46 2" xfId="1144" xr:uid="{00000000-0005-0000-0000-000078040000}"/>
    <cellStyle name="Style 46 3" xfId="1145" xr:uid="{00000000-0005-0000-0000-000079040000}"/>
    <cellStyle name="Style 46 3 2" xfId="1146" xr:uid="{00000000-0005-0000-0000-00007A040000}"/>
    <cellStyle name="Style 46 4" xfId="1147" xr:uid="{00000000-0005-0000-0000-00007B040000}"/>
    <cellStyle name="Style 46 5" xfId="1148" xr:uid="{00000000-0005-0000-0000-00007C040000}"/>
    <cellStyle name="Style 46 5 2" xfId="1149" xr:uid="{00000000-0005-0000-0000-00007D040000}"/>
    <cellStyle name="Style 47" xfId="1150" xr:uid="{00000000-0005-0000-0000-00007E040000}"/>
    <cellStyle name="Style 47 2" xfId="1151" xr:uid="{00000000-0005-0000-0000-00007F040000}"/>
    <cellStyle name="Style 47 3" xfId="1152" xr:uid="{00000000-0005-0000-0000-000080040000}"/>
    <cellStyle name="Style 47 4" xfId="1153" xr:uid="{00000000-0005-0000-0000-000081040000}"/>
    <cellStyle name="Style 47 4 2" xfId="1154" xr:uid="{00000000-0005-0000-0000-000082040000}"/>
    <cellStyle name="Style 48" xfId="1155" xr:uid="{00000000-0005-0000-0000-000083040000}"/>
    <cellStyle name="Style 48 2" xfId="1156" xr:uid="{00000000-0005-0000-0000-000084040000}"/>
    <cellStyle name="Style 48 3" xfId="1157" xr:uid="{00000000-0005-0000-0000-000085040000}"/>
    <cellStyle name="Style 48 4" xfId="1158" xr:uid="{00000000-0005-0000-0000-000086040000}"/>
    <cellStyle name="Style 48 4 2" xfId="1159" xr:uid="{00000000-0005-0000-0000-000087040000}"/>
    <cellStyle name="Style 49" xfId="1160" xr:uid="{00000000-0005-0000-0000-000088040000}"/>
    <cellStyle name="Style 49 2" xfId="1161" xr:uid="{00000000-0005-0000-0000-000089040000}"/>
    <cellStyle name="Style 49 3" xfId="1162" xr:uid="{00000000-0005-0000-0000-00008A040000}"/>
    <cellStyle name="Style 49 4" xfId="1163" xr:uid="{00000000-0005-0000-0000-00008B040000}"/>
    <cellStyle name="Style 49 4 2" xfId="1164" xr:uid="{00000000-0005-0000-0000-00008C040000}"/>
    <cellStyle name="Style 50" xfId="1165" xr:uid="{00000000-0005-0000-0000-00008D040000}"/>
    <cellStyle name="Style 50 2" xfId="1166" xr:uid="{00000000-0005-0000-0000-00008E040000}"/>
    <cellStyle name="Style 50 3" xfId="1167" xr:uid="{00000000-0005-0000-0000-00008F040000}"/>
    <cellStyle name="Style 50 3 2" xfId="1168" xr:uid="{00000000-0005-0000-0000-000090040000}"/>
    <cellStyle name="Style 50 4" xfId="1169" xr:uid="{00000000-0005-0000-0000-000091040000}"/>
    <cellStyle name="Style 50 5" xfId="1170" xr:uid="{00000000-0005-0000-0000-000092040000}"/>
    <cellStyle name="Style 50 5 2" xfId="1171" xr:uid="{00000000-0005-0000-0000-000093040000}"/>
    <cellStyle name="Style 51" xfId="1172" xr:uid="{00000000-0005-0000-0000-000094040000}"/>
    <cellStyle name="Style 51 2" xfId="1173" xr:uid="{00000000-0005-0000-0000-000095040000}"/>
    <cellStyle name="Style 51 3" xfId="1174" xr:uid="{00000000-0005-0000-0000-000096040000}"/>
    <cellStyle name="Style 51 4" xfId="1175" xr:uid="{00000000-0005-0000-0000-000097040000}"/>
    <cellStyle name="Style 51 4 2" xfId="1176" xr:uid="{00000000-0005-0000-0000-000098040000}"/>
    <cellStyle name="Style 52" xfId="1177" xr:uid="{00000000-0005-0000-0000-000099040000}"/>
    <cellStyle name="Style 52 2" xfId="1178" xr:uid="{00000000-0005-0000-0000-00009A040000}"/>
    <cellStyle name="Style 52 3" xfId="1179" xr:uid="{00000000-0005-0000-0000-00009B040000}"/>
    <cellStyle name="Style 52 4" xfId="1180" xr:uid="{00000000-0005-0000-0000-00009C040000}"/>
    <cellStyle name="Style 52 4 2" xfId="1181" xr:uid="{00000000-0005-0000-0000-00009D040000}"/>
    <cellStyle name="Style 58" xfId="1182" xr:uid="{00000000-0005-0000-0000-00009E040000}"/>
    <cellStyle name="Style 58 2" xfId="1183" xr:uid="{00000000-0005-0000-0000-00009F040000}"/>
    <cellStyle name="Style 58 3" xfId="1184" xr:uid="{00000000-0005-0000-0000-0000A0040000}"/>
    <cellStyle name="Style 58 3 2" xfId="1185" xr:uid="{00000000-0005-0000-0000-0000A1040000}"/>
    <cellStyle name="Style 58 4" xfId="1186" xr:uid="{00000000-0005-0000-0000-0000A2040000}"/>
    <cellStyle name="Style 58 5" xfId="1187" xr:uid="{00000000-0005-0000-0000-0000A3040000}"/>
    <cellStyle name="Style 58 5 2" xfId="1188" xr:uid="{00000000-0005-0000-0000-0000A4040000}"/>
    <cellStyle name="Style 59" xfId="1189" xr:uid="{00000000-0005-0000-0000-0000A5040000}"/>
    <cellStyle name="Style 59 2" xfId="1190" xr:uid="{00000000-0005-0000-0000-0000A6040000}"/>
    <cellStyle name="Style 59 3" xfId="1191" xr:uid="{00000000-0005-0000-0000-0000A7040000}"/>
    <cellStyle name="Style 59 4" xfId="1192" xr:uid="{00000000-0005-0000-0000-0000A8040000}"/>
    <cellStyle name="Style 59 4 2" xfId="1193" xr:uid="{00000000-0005-0000-0000-0000A9040000}"/>
    <cellStyle name="Style 60" xfId="1194" xr:uid="{00000000-0005-0000-0000-0000AA040000}"/>
    <cellStyle name="Style 60 2" xfId="1195" xr:uid="{00000000-0005-0000-0000-0000AB040000}"/>
    <cellStyle name="Style 60 3" xfId="1196" xr:uid="{00000000-0005-0000-0000-0000AC040000}"/>
    <cellStyle name="Style 60 4" xfId="1197" xr:uid="{00000000-0005-0000-0000-0000AD040000}"/>
    <cellStyle name="Style 60 4 2" xfId="1198" xr:uid="{00000000-0005-0000-0000-0000AE040000}"/>
    <cellStyle name="Style 61" xfId="1199" xr:uid="{00000000-0005-0000-0000-0000AF040000}"/>
    <cellStyle name="Style 61 2" xfId="1200" xr:uid="{00000000-0005-0000-0000-0000B0040000}"/>
    <cellStyle name="Style 61 3" xfId="1201" xr:uid="{00000000-0005-0000-0000-0000B1040000}"/>
    <cellStyle name="Style 61 4" xfId="1202" xr:uid="{00000000-0005-0000-0000-0000B2040000}"/>
    <cellStyle name="Style 61 4 2" xfId="1203" xr:uid="{00000000-0005-0000-0000-0000B3040000}"/>
    <cellStyle name="Style 62" xfId="1204" xr:uid="{00000000-0005-0000-0000-0000B4040000}"/>
    <cellStyle name="Style 62 2" xfId="1205" xr:uid="{00000000-0005-0000-0000-0000B5040000}"/>
    <cellStyle name="Style 62 3" xfId="1206" xr:uid="{00000000-0005-0000-0000-0000B6040000}"/>
    <cellStyle name="Style 62 3 2" xfId="1207" xr:uid="{00000000-0005-0000-0000-0000B7040000}"/>
    <cellStyle name="Style 62 4" xfId="1208" xr:uid="{00000000-0005-0000-0000-0000B8040000}"/>
    <cellStyle name="Style 62 5" xfId="1209" xr:uid="{00000000-0005-0000-0000-0000B9040000}"/>
    <cellStyle name="Style 62 5 2" xfId="1210" xr:uid="{00000000-0005-0000-0000-0000BA040000}"/>
    <cellStyle name="Style 63" xfId="1211" xr:uid="{00000000-0005-0000-0000-0000BB040000}"/>
    <cellStyle name="Style 63 2" xfId="1212" xr:uid="{00000000-0005-0000-0000-0000BC040000}"/>
    <cellStyle name="Style 63 3" xfId="1213" xr:uid="{00000000-0005-0000-0000-0000BD040000}"/>
    <cellStyle name="Style 63 4" xfId="1214" xr:uid="{00000000-0005-0000-0000-0000BE040000}"/>
    <cellStyle name="Style 63 4 2" xfId="1215" xr:uid="{00000000-0005-0000-0000-0000BF040000}"/>
    <cellStyle name="Style 64" xfId="1216" xr:uid="{00000000-0005-0000-0000-0000C0040000}"/>
    <cellStyle name="Style 64 2" xfId="1217" xr:uid="{00000000-0005-0000-0000-0000C1040000}"/>
    <cellStyle name="Style 64 3" xfId="1218" xr:uid="{00000000-0005-0000-0000-0000C2040000}"/>
    <cellStyle name="Style 64 4" xfId="1219" xr:uid="{00000000-0005-0000-0000-0000C3040000}"/>
    <cellStyle name="Style 64 4 2" xfId="1220" xr:uid="{00000000-0005-0000-0000-0000C4040000}"/>
    <cellStyle name="Style 69" xfId="1221" xr:uid="{00000000-0005-0000-0000-0000C5040000}"/>
    <cellStyle name="Style 69 2" xfId="1222" xr:uid="{00000000-0005-0000-0000-0000C6040000}"/>
    <cellStyle name="Style 69 3" xfId="1223" xr:uid="{00000000-0005-0000-0000-0000C7040000}"/>
    <cellStyle name="Style 69 3 2" xfId="1224" xr:uid="{00000000-0005-0000-0000-0000C8040000}"/>
    <cellStyle name="Style 69 4" xfId="1225" xr:uid="{00000000-0005-0000-0000-0000C9040000}"/>
    <cellStyle name="Style 69 5" xfId="1226" xr:uid="{00000000-0005-0000-0000-0000CA040000}"/>
    <cellStyle name="Style 69 5 2" xfId="1227" xr:uid="{00000000-0005-0000-0000-0000CB040000}"/>
    <cellStyle name="Style 70" xfId="1228" xr:uid="{00000000-0005-0000-0000-0000CC040000}"/>
    <cellStyle name="Style 70 2" xfId="1229" xr:uid="{00000000-0005-0000-0000-0000CD040000}"/>
    <cellStyle name="Style 70 3" xfId="1230" xr:uid="{00000000-0005-0000-0000-0000CE040000}"/>
    <cellStyle name="Style 70 4" xfId="1231" xr:uid="{00000000-0005-0000-0000-0000CF040000}"/>
    <cellStyle name="Style 70 4 2" xfId="1232" xr:uid="{00000000-0005-0000-0000-0000D0040000}"/>
    <cellStyle name="Style 71" xfId="1233" xr:uid="{00000000-0005-0000-0000-0000D1040000}"/>
    <cellStyle name="Style 71 2" xfId="1234" xr:uid="{00000000-0005-0000-0000-0000D2040000}"/>
    <cellStyle name="Style 71 3" xfId="1235" xr:uid="{00000000-0005-0000-0000-0000D3040000}"/>
    <cellStyle name="Style 71 4" xfId="1236" xr:uid="{00000000-0005-0000-0000-0000D4040000}"/>
    <cellStyle name="Style 71 4 2" xfId="1237" xr:uid="{00000000-0005-0000-0000-0000D5040000}"/>
    <cellStyle name="Style 72" xfId="1238" xr:uid="{00000000-0005-0000-0000-0000D6040000}"/>
    <cellStyle name="Style 72 2" xfId="1239" xr:uid="{00000000-0005-0000-0000-0000D7040000}"/>
    <cellStyle name="Style 72 3" xfId="1240" xr:uid="{00000000-0005-0000-0000-0000D8040000}"/>
    <cellStyle name="Style 72 4" xfId="1241" xr:uid="{00000000-0005-0000-0000-0000D9040000}"/>
    <cellStyle name="Style 72 4 2" xfId="1242" xr:uid="{00000000-0005-0000-0000-0000DA040000}"/>
    <cellStyle name="Style 73" xfId="1243" xr:uid="{00000000-0005-0000-0000-0000DB040000}"/>
    <cellStyle name="Style 73 2" xfId="1244" xr:uid="{00000000-0005-0000-0000-0000DC040000}"/>
    <cellStyle name="Style 73 3" xfId="1245" xr:uid="{00000000-0005-0000-0000-0000DD040000}"/>
    <cellStyle name="Style 73 3 2" xfId="1246" xr:uid="{00000000-0005-0000-0000-0000DE040000}"/>
    <cellStyle name="Style 73 4" xfId="1247" xr:uid="{00000000-0005-0000-0000-0000DF040000}"/>
    <cellStyle name="Style 73 5" xfId="1248" xr:uid="{00000000-0005-0000-0000-0000E0040000}"/>
    <cellStyle name="Style 73 5 2" xfId="1249" xr:uid="{00000000-0005-0000-0000-0000E1040000}"/>
    <cellStyle name="Style 74" xfId="1250" xr:uid="{00000000-0005-0000-0000-0000E2040000}"/>
    <cellStyle name="Style 74 2" xfId="1251" xr:uid="{00000000-0005-0000-0000-0000E3040000}"/>
    <cellStyle name="Style 74 3" xfId="1252" xr:uid="{00000000-0005-0000-0000-0000E4040000}"/>
    <cellStyle name="Style 74 4" xfId="1253" xr:uid="{00000000-0005-0000-0000-0000E5040000}"/>
    <cellStyle name="Style 74 4 2" xfId="1254" xr:uid="{00000000-0005-0000-0000-0000E6040000}"/>
    <cellStyle name="Style 75" xfId="1255" xr:uid="{00000000-0005-0000-0000-0000E7040000}"/>
    <cellStyle name="Style 75 2" xfId="1256" xr:uid="{00000000-0005-0000-0000-0000E8040000}"/>
    <cellStyle name="Style 75 3" xfId="1257" xr:uid="{00000000-0005-0000-0000-0000E9040000}"/>
    <cellStyle name="Style 75 4" xfId="1258" xr:uid="{00000000-0005-0000-0000-0000EA040000}"/>
    <cellStyle name="Style 75 4 2" xfId="1259" xr:uid="{00000000-0005-0000-0000-0000EB040000}"/>
    <cellStyle name="Style 80" xfId="1260" xr:uid="{00000000-0005-0000-0000-0000EC040000}"/>
    <cellStyle name="Style 80 2" xfId="1261" xr:uid="{00000000-0005-0000-0000-0000ED040000}"/>
    <cellStyle name="Style 80 3" xfId="1262" xr:uid="{00000000-0005-0000-0000-0000EE040000}"/>
    <cellStyle name="Style 80 3 2" xfId="1263" xr:uid="{00000000-0005-0000-0000-0000EF040000}"/>
    <cellStyle name="Style 80 4" xfId="1264" xr:uid="{00000000-0005-0000-0000-0000F0040000}"/>
    <cellStyle name="Style 80 5" xfId="1265" xr:uid="{00000000-0005-0000-0000-0000F1040000}"/>
    <cellStyle name="Style 80 5 2" xfId="1266" xr:uid="{00000000-0005-0000-0000-0000F2040000}"/>
    <cellStyle name="Style 81" xfId="1267" xr:uid="{00000000-0005-0000-0000-0000F3040000}"/>
    <cellStyle name="Style 81 2" xfId="1268" xr:uid="{00000000-0005-0000-0000-0000F4040000}"/>
    <cellStyle name="Style 81 3" xfId="1269" xr:uid="{00000000-0005-0000-0000-0000F5040000}"/>
    <cellStyle name="Style 81 3 2" xfId="1270" xr:uid="{00000000-0005-0000-0000-0000F6040000}"/>
    <cellStyle name="Style 81 4" xfId="1271" xr:uid="{00000000-0005-0000-0000-0000F7040000}"/>
    <cellStyle name="Style 81 5" xfId="1272" xr:uid="{00000000-0005-0000-0000-0000F8040000}"/>
    <cellStyle name="Style 81 5 2" xfId="1273" xr:uid="{00000000-0005-0000-0000-0000F9040000}"/>
    <cellStyle name="Style 82" xfId="1274" xr:uid="{00000000-0005-0000-0000-0000FA040000}"/>
    <cellStyle name="Style 82 2" xfId="1275" xr:uid="{00000000-0005-0000-0000-0000FB040000}"/>
    <cellStyle name="Style 82 3" xfId="1276" xr:uid="{00000000-0005-0000-0000-0000FC040000}"/>
    <cellStyle name="Style 82 4" xfId="1277" xr:uid="{00000000-0005-0000-0000-0000FD040000}"/>
    <cellStyle name="Style 82 4 2" xfId="1278" xr:uid="{00000000-0005-0000-0000-0000FE040000}"/>
    <cellStyle name="Style 83" xfId="1279" xr:uid="{00000000-0005-0000-0000-0000FF040000}"/>
    <cellStyle name="Style 83 2" xfId="1280" xr:uid="{00000000-0005-0000-0000-000000050000}"/>
    <cellStyle name="Style 83 3" xfId="1281" xr:uid="{00000000-0005-0000-0000-000001050000}"/>
    <cellStyle name="Style 83 4" xfId="1282" xr:uid="{00000000-0005-0000-0000-000002050000}"/>
    <cellStyle name="Style 83 4 2" xfId="1283" xr:uid="{00000000-0005-0000-0000-000003050000}"/>
    <cellStyle name="Style 84" xfId="1284" xr:uid="{00000000-0005-0000-0000-000004050000}"/>
    <cellStyle name="Style 84 2" xfId="1285" xr:uid="{00000000-0005-0000-0000-000005050000}"/>
    <cellStyle name="Style 84 3" xfId="1286" xr:uid="{00000000-0005-0000-0000-000006050000}"/>
    <cellStyle name="Style 84 4" xfId="1287" xr:uid="{00000000-0005-0000-0000-000007050000}"/>
    <cellStyle name="Style 84 4 2" xfId="1288" xr:uid="{00000000-0005-0000-0000-000008050000}"/>
    <cellStyle name="Style 85" xfId="1289" xr:uid="{00000000-0005-0000-0000-000009050000}"/>
    <cellStyle name="Style 85 2" xfId="1290" xr:uid="{00000000-0005-0000-0000-00000A050000}"/>
    <cellStyle name="Style 85 3" xfId="1291" xr:uid="{00000000-0005-0000-0000-00000B050000}"/>
    <cellStyle name="Style 85 3 2" xfId="1292" xr:uid="{00000000-0005-0000-0000-00000C050000}"/>
    <cellStyle name="Style 85 4" xfId="1293" xr:uid="{00000000-0005-0000-0000-00000D050000}"/>
    <cellStyle name="Style 85 5" xfId="1294" xr:uid="{00000000-0005-0000-0000-00000E050000}"/>
    <cellStyle name="Style 85 5 2" xfId="1295" xr:uid="{00000000-0005-0000-0000-00000F050000}"/>
    <cellStyle name="Style 86" xfId="1296" xr:uid="{00000000-0005-0000-0000-000010050000}"/>
    <cellStyle name="Style 86 2" xfId="1297" xr:uid="{00000000-0005-0000-0000-000011050000}"/>
    <cellStyle name="Style 86 3" xfId="1298" xr:uid="{00000000-0005-0000-0000-000012050000}"/>
    <cellStyle name="Style 86 4" xfId="1299" xr:uid="{00000000-0005-0000-0000-000013050000}"/>
    <cellStyle name="Style 86 4 2" xfId="1300" xr:uid="{00000000-0005-0000-0000-000014050000}"/>
    <cellStyle name="Style 87" xfId="1301" xr:uid="{00000000-0005-0000-0000-000015050000}"/>
    <cellStyle name="Style 87 2" xfId="1302" xr:uid="{00000000-0005-0000-0000-000016050000}"/>
    <cellStyle name="Style 87 3" xfId="1303" xr:uid="{00000000-0005-0000-0000-000017050000}"/>
    <cellStyle name="Style 87 4" xfId="1304" xr:uid="{00000000-0005-0000-0000-000018050000}"/>
    <cellStyle name="Style 87 4 2" xfId="1305" xr:uid="{00000000-0005-0000-0000-000019050000}"/>
    <cellStyle name="Style 93" xfId="1306" xr:uid="{00000000-0005-0000-0000-00001A050000}"/>
    <cellStyle name="Style 93 2" xfId="1307" xr:uid="{00000000-0005-0000-0000-00001B050000}"/>
    <cellStyle name="Style 93 3" xfId="1308" xr:uid="{00000000-0005-0000-0000-00001C050000}"/>
    <cellStyle name="Style 93 3 2" xfId="1309" xr:uid="{00000000-0005-0000-0000-00001D050000}"/>
    <cellStyle name="Style 93 4" xfId="1310" xr:uid="{00000000-0005-0000-0000-00001E050000}"/>
    <cellStyle name="Style 93 5" xfId="1311" xr:uid="{00000000-0005-0000-0000-00001F050000}"/>
    <cellStyle name="Style 93 5 2" xfId="1312" xr:uid="{00000000-0005-0000-0000-000020050000}"/>
    <cellStyle name="Style 94" xfId="1313" xr:uid="{00000000-0005-0000-0000-000021050000}"/>
    <cellStyle name="Style 94 2" xfId="1314" xr:uid="{00000000-0005-0000-0000-000022050000}"/>
    <cellStyle name="Style 94 3" xfId="1315" xr:uid="{00000000-0005-0000-0000-000023050000}"/>
    <cellStyle name="Style 94 4" xfId="1316" xr:uid="{00000000-0005-0000-0000-000024050000}"/>
    <cellStyle name="Style 94 4 2" xfId="1317" xr:uid="{00000000-0005-0000-0000-000025050000}"/>
    <cellStyle name="Style 95" xfId="1318" xr:uid="{00000000-0005-0000-0000-000026050000}"/>
    <cellStyle name="Style 95 2" xfId="1319" xr:uid="{00000000-0005-0000-0000-000027050000}"/>
    <cellStyle name="Style 95 3" xfId="1320" xr:uid="{00000000-0005-0000-0000-000028050000}"/>
    <cellStyle name="Style 95 4" xfId="1321" xr:uid="{00000000-0005-0000-0000-000029050000}"/>
    <cellStyle name="Style 95 4 2" xfId="1322" xr:uid="{00000000-0005-0000-0000-00002A050000}"/>
    <cellStyle name="Style 96" xfId="1323" xr:uid="{00000000-0005-0000-0000-00002B050000}"/>
    <cellStyle name="Style 96 2" xfId="1324" xr:uid="{00000000-0005-0000-0000-00002C050000}"/>
    <cellStyle name="Style 96 3" xfId="1325" xr:uid="{00000000-0005-0000-0000-00002D050000}"/>
    <cellStyle name="Style 96 4" xfId="1326" xr:uid="{00000000-0005-0000-0000-00002E050000}"/>
    <cellStyle name="Style 96 4 2" xfId="1327" xr:uid="{00000000-0005-0000-0000-00002F050000}"/>
    <cellStyle name="Style 97" xfId="1328" xr:uid="{00000000-0005-0000-0000-000030050000}"/>
    <cellStyle name="Style 97 2" xfId="1329" xr:uid="{00000000-0005-0000-0000-000031050000}"/>
    <cellStyle name="Style 97 3" xfId="1330" xr:uid="{00000000-0005-0000-0000-000032050000}"/>
    <cellStyle name="Style 97 3 2" xfId="1331" xr:uid="{00000000-0005-0000-0000-000033050000}"/>
    <cellStyle name="Style 97 4" xfId="1332" xr:uid="{00000000-0005-0000-0000-000034050000}"/>
    <cellStyle name="Style 97 5" xfId="1333" xr:uid="{00000000-0005-0000-0000-000035050000}"/>
    <cellStyle name="Style 97 5 2" xfId="1334" xr:uid="{00000000-0005-0000-0000-000036050000}"/>
    <cellStyle name="Style 98" xfId="1335" xr:uid="{00000000-0005-0000-0000-000037050000}"/>
    <cellStyle name="Style 98 2" xfId="1336" xr:uid="{00000000-0005-0000-0000-000038050000}"/>
    <cellStyle name="Style 98 3" xfId="1337" xr:uid="{00000000-0005-0000-0000-000039050000}"/>
    <cellStyle name="Style 98 4" xfId="1338" xr:uid="{00000000-0005-0000-0000-00003A050000}"/>
    <cellStyle name="Style 98 4 2" xfId="1339" xr:uid="{00000000-0005-0000-0000-00003B050000}"/>
    <cellStyle name="Style 99" xfId="1340" xr:uid="{00000000-0005-0000-0000-00003C050000}"/>
    <cellStyle name="Style 99 2" xfId="1341" xr:uid="{00000000-0005-0000-0000-00003D050000}"/>
    <cellStyle name="Style 99 3" xfId="1342" xr:uid="{00000000-0005-0000-0000-00003E050000}"/>
    <cellStyle name="Style 99 4" xfId="1343" xr:uid="{00000000-0005-0000-0000-00003F050000}"/>
    <cellStyle name="Style 99 4 2" xfId="1344" xr:uid="{00000000-0005-0000-0000-000040050000}"/>
    <cellStyle name="Title 2" xfId="1345" xr:uid="{00000000-0005-0000-0000-000041050000}"/>
    <cellStyle name="Title 2 10" xfId="1346" xr:uid="{00000000-0005-0000-0000-000042050000}"/>
    <cellStyle name="Title 2 11" xfId="1347" xr:uid="{00000000-0005-0000-0000-000043050000}"/>
    <cellStyle name="Title 2 12" xfId="1348" xr:uid="{00000000-0005-0000-0000-000044050000}"/>
    <cellStyle name="Title 2 13" xfId="1349" xr:uid="{00000000-0005-0000-0000-000045050000}"/>
    <cellStyle name="Title 2 14" xfId="1350" xr:uid="{00000000-0005-0000-0000-000046050000}"/>
    <cellStyle name="Title 2 15" xfId="1351" xr:uid="{00000000-0005-0000-0000-000047050000}"/>
    <cellStyle name="Title 2 2" xfId="1352" xr:uid="{00000000-0005-0000-0000-000048050000}"/>
    <cellStyle name="Title 2 3" xfId="1353" xr:uid="{00000000-0005-0000-0000-000049050000}"/>
    <cellStyle name="Title 2 4" xfId="1354" xr:uid="{00000000-0005-0000-0000-00004A050000}"/>
    <cellStyle name="Title 2 5" xfId="1355" xr:uid="{00000000-0005-0000-0000-00004B050000}"/>
    <cellStyle name="Title 2 6" xfId="1356" xr:uid="{00000000-0005-0000-0000-00004C050000}"/>
    <cellStyle name="Title 2 7" xfId="1357" xr:uid="{00000000-0005-0000-0000-00004D050000}"/>
    <cellStyle name="Title 2 8" xfId="1358" xr:uid="{00000000-0005-0000-0000-00004E050000}"/>
    <cellStyle name="Title 2 9" xfId="1359" xr:uid="{00000000-0005-0000-0000-00004F050000}"/>
    <cellStyle name="Total 2" xfId="1360" xr:uid="{00000000-0005-0000-0000-000050050000}"/>
    <cellStyle name="Total 2 10" xfId="1361" xr:uid="{00000000-0005-0000-0000-000051050000}"/>
    <cellStyle name="Total 2 11" xfId="1362" xr:uid="{00000000-0005-0000-0000-000052050000}"/>
    <cellStyle name="Total 2 12" xfId="1363" xr:uid="{00000000-0005-0000-0000-000053050000}"/>
    <cellStyle name="Total 2 13" xfId="1364" xr:uid="{00000000-0005-0000-0000-000054050000}"/>
    <cellStyle name="Total 2 14" xfId="1365" xr:uid="{00000000-0005-0000-0000-000055050000}"/>
    <cellStyle name="Total 2 15" xfId="1366" xr:uid="{00000000-0005-0000-0000-000056050000}"/>
    <cellStyle name="Total 2 2" xfId="1367" xr:uid="{00000000-0005-0000-0000-000057050000}"/>
    <cellStyle name="Total 2 3" xfId="1368" xr:uid="{00000000-0005-0000-0000-000058050000}"/>
    <cellStyle name="Total 2 4" xfId="1369" xr:uid="{00000000-0005-0000-0000-000059050000}"/>
    <cellStyle name="Total 2 5" xfId="1370" xr:uid="{00000000-0005-0000-0000-00005A050000}"/>
    <cellStyle name="Total 2 6" xfId="1371" xr:uid="{00000000-0005-0000-0000-00005B050000}"/>
    <cellStyle name="Total 2 7" xfId="1372" xr:uid="{00000000-0005-0000-0000-00005C050000}"/>
    <cellStyle name="Total 2 8" xfId="1373" xr:uid="{00000000-0005-0000-0000-00005D050000}"/>
    <cellStyle name="Total 2 9" xfId="1374" xr:uid="{00000000-0005-0000-0000-00005E050000}"/>
    <cellStyle name="Überschrift" xfId="1375" xr:uid="{00000000-0005-0000-0000-00005F050000}"/>
    <cellStyle name="Überschrift 1" xfId="1376" xr:uid="{00000000-0005-0000-0000-000060050000}"/>
    <cellStyle name="Überschrift 2" xfId="1377" xr:uid="{00000000-0005-0000-0000-000061050000}"/>
    <cellStyle name="Überschrift 3" xfId="1378" xr:uid="{00000000-0005-0000-0000-000062050000}"/>
    <cellStyle name="Überschrift 4" xfId="1379" xr:uid="{00000000-0005-0000-0000-000063050000}"/>
    <cellStyle name="Valuutta_Layo9704" xfId="1380" xr:uid="{00000000-0005-0000-0000-000064050000}"/>
    <cellStyle name="Verknüpfte Zelle" xfId="1381" xr:uid="{00000000-0005-0000-0000-000065050000}"/>
    <cellStyle name="Warnender Text" xfId="1382" xr:uid="{00000000-0005-0000-0000-000066050000}"/>
    <cellStyle name="Warning Text 2" xfId="1383" xr:uid="{00000000-0005-0000-0000-000067050000}"/>
    <cellStyle name="Warning Text 2 10" xfId="1384" xr:uid="{00000000-0005-0000-0000-000068050000}"/>
    <cellStyle name="Warning Text 2 11" xfId="1385" xr:uid="{00000000-0005-0000-0000-000069050000}"/>
    <cellStyle name="Warning Text 2 12" xfId="1386" xr:uid="{00000000-0005-0000-0000-00006A050000}"/>
    <cellStyle name="Warning Text 2 13" xfId="1387" xr:uid="{00000000-0005-0000-0000-00006B050000}"/>
    <cellStyle name="Warning Text 2 14" xfId="1388" xr:uid="{00000000-0005-0000-0000-00006C050000}"/>
    <cellStyle name="Warning Text 2 15" xfId="1389" xr:uid="{00000000-0005-0000-0000-00006D050000}"/>
    <cellStyle name="Warning Text 2 2" xfId="1390" xr:uid="{00000000-0005-0000-0000-00006E050000}"/>
    <cellStyle name="Warning Text 2 3" xfId="1391" xr:uid="{00000000-0005-0000-0000-00006F050000}"/>
    <cellStyle name="Warning Text 2 4" xfId="1392" xr:uid="{00000000-0005-0000-0000-000070050000}"/>
    <cellStyle name="Warning Text 2 5" xfId="1393" xr:uid="{00000000-0005-0000-0000-000071050000}"/>
    <cellStyle name="Warning Text 2 6" xfId="1394" xr:uid="{00000000-0005-0000-0000-000072050000}"/>
    <cellStyle name="Warning Text 2 7" xfId="1395" xr:uid="{00000000-0005-0000-0000-000073050000}"/>
    <cellStyle name="Warning Text 2 8" xfId="1396" xr:uid="{00000000-0005-0000-0000-000074050000}"/>
    <cellStyle name="Warning Text 2 9" xfId="1397" xr:uid="{00000000-0005-0000-0000-000075050000}"/>
    <cellStyle name="Zelle überprüfen" xfId="1398" xr:uid="{00000000-0005-0000-0000-000076050000}"/>
    <cellStyle name="Κανονικό 3" xfId="1399" xr:uid="{00000000-0005-0000-0000-000077050000}"/>
    <cellStyle name="Κανονικό 3 2" xfId="1400" xr:uid="{00000000-0005-0000-0000-000078050000}"/>
    <cellStyle name="Ουδέτερο 2 2" xfId="1401" xr:uid="{00000000-0005-0000-0000-000079050000}"/>
    <cellStyle name="Ουδέτερο 2 3" xfId="1402" xr:uid="{00000000-0005-0000-0000-00007A050000}"/>
    <cellStyle name="Ουδέτερο 2 4" xfId="1403" xr:uid="{00000000-0005-0000-0000-00007B050000}"/>
    <cellStyle name="Ουδέτερο 2 5" xfId="1404" xr:uid="{00000000-0005-0000-0000-00007C050000}"/>
    <cellStyle name="Ουδέτερο 3 10" xfId="1405" xr:uid="{00000000-0005-0000-0000-00007D050000}"/>
    <cellStyle name="Ουδέτερο 3 11" xfId="1406" xr:uid="{00000000-0005-0000-0000-00007E050000}"/>
    <cellStyle name="Ουδέτερο 3 2" xfId="1407" xr:uid="{00000000-0005-0000-0000-00007F050000}"/>
    <cellStyle name="Ουδέτερο 3 3" xfId="1408" xr:uid="{00000000-0005-0000-0000-000080050000}"/>
    <cellStyle name="Ουδέτερο 3 4" xfId="1409" xr:uid="{00000000-0005-0000-0000-000081050000}"/>
    <cellStyle name="Ουδέτερο 3 5" xfId="1410" xr:uid="{00000000-0005-0000-0000-000082050000}"/>
    <cellStyle name="Ουδέτερο 3 6" xfId="1411" xr:uid="{00000000-0005-0000-0000-000083050000}"/>
    <cellStyle name="Ουδέτερο 3 7" xfId="1412" xr:uid="{00000000-0005-0000-0000-000084050000}"/>
    <cellStyle name="Ουδέτερο 3 8" xfId="1413" xr:uid="{00000000-0005-0000-0000-000085050000}"/>
    <cellStyle name="Ουδέτερο 3 9" xfId="1414" xr:uid="{00000000-0005-0000-0000-000086050000}"/>
    <cellStyle name="Ουδέτερο 4 10" xfId="1415" xr:uid="{00000000-0005-0000-0000-000087050000}"/>
    <cellStyle name="Ουδέτερο 4 11" xfId="1416" xr:uid="{00000000-0005-0000-0000-000088050000}"/>
    <cellStyle name="Ουδέτερο 4 2" xfId="1417" xr:uid="{00000000-0005-0000-0000-000089050000}"/>
    <cellStyle name="Ουδέτερο 4 3" xfId="1418" xr:uid="{00000000-0005-0000-0000-00008A050000}"/>
    <cellStyle name="Ουδέτερο 4 4" xfId="1419" xr:uid="{00000000-0005-0000-0000-00008B050000}"/>
    <cellStyle name="Ουδέτερο 4 5" xfId="1420" xr:uid="{00000000-0005-0000-0000-00008C050000}"/>
    <cellStyle name="Ουδέτερο 4 6" xfId="1421" xr:uid="{00000000-0005-0000-0000-00008D050000}"/>
    <cellStyle name="Ουδέτερο 4 7" xfId="1422" xr:uid="{00000000-0005-0000-0000-00008E050000}"/>
    <cellStyle name="Ουδέτερο 4 8" xfId="1423" xr:uid="{00000000-0005-0000-0000-00008F050000}"/>
    <cellStyle name="Ουδέτερο 4 9" xfId="1424" xr:uid="{00000000-0005-0000-0000-000090050000}"/>
  </cellStyles>
  <dxfs count="18">
    <dxf>
      <font>
        <strike val="0"/>
        <outline val="0"/>
        <shadow val="0"/>
        <u val="none"/>
        <vertAlign val="baseline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4" formatCode="#,##0.00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>
          <bgColor rgb="FFFFC000"/>
        </patternFill>
      </fill>
    </dxf>
    <dxf>
      <font>
        <b/>
        <i val="0"/>
        <color rgb="FFFF0000"/>
      </font>
      <fill>
        <patternFill>
          <bgColor rgb="FFFFC000"/>
        </patternFill>
      </fill>
    </dxf>
    <dxf>
      <font>
        <b/>
        <i val="0"/>
        <color rgb="FFFF0000"/>
      </font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C3C559-3D1B-41E5-BDD6-AFC23CDFB950}" name="Table3" displayName="Table3" ref="K4:M15" totalsRowShown="0" headerRowDxfId="1" dataDxfId="0">
  <tableColumns count="3">
    <tableColumn id="1" xr3:uid="{2F7E2F8C-81A5-4804-AF08-AA3BC574C23D}" name="Metallurgical industry" dataDxfId="4"/>
    <tableColumn id="2" xr3:uid="{58F6FBBB-86BF-4B75-A8AE-79CABC520C64}" name="2017 - Local data" dataDxfId="3">
      <calculatedColumnFormula>0.2874*10^6</calculatedColumnFormula>
    </tableColumn>
    <tableColumn id="3" xr3:uid="{86626BC8-0805-4E0D-83D9-91430A147B05}" name="Other comments" dataDxfId="2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431F40-BFCB-41BD-8338-E21477905AF4}" name="Table6" displayName="Table6" ref="H99:J101" totalsRowShown="0" headerRowDxfId="6" dataDxfId="5">
  <tableColumns count="3">
    <tableColumn id="1" xr3:uid="{33D34B0E-E636-451E-A575-894892EE5359}" name="Production" dataDxfId="9"/>
    <tableColumn id="2" xr3:uid="{4FF83817-6441-43B4-9DF0-A42DFFFD5057}" name="2017-Local data" dataDxfId="8"/>
    <tableColumn id="3" xr3:uid="{E5212237-598E-48E0-8F5A-D93325088EFC}" name="Other comments" dataDxfId="7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F502D6-596B-4FF4-84A6-FD05B3D80DD8}" name="Table4" displayName="Table4" ref="AN3:AP11" totalsRowShown="0" headerRowDxfId="11" dataDxfId="10">
  <tableColumns count="3">
    <tableColumn id="1" xr3:uid="{3AE1EA67-6394-4BBC-B1CF-B193AB86AF34}" name="Production of basic precious and non-ferrous metals" dataDxfId="14"/>
    <tableColumn id="2" xr3:uid="{F7568E4B-F05D-436E-8227-59B3A44B102D}" name="2017 - Local data" dataDxfId="13">
      <calculatedColumnFormula>0.000568*10^6</calculatedColumnFormula>
    </tableColumn>
    <tableColumn id="3" xr3:uid="{1A088941-A8E1-49ED-98EA-0FC5BC5E7093}" name="2016" dataDxfId="1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R20"/>
  <sheetViews>
    <sheetView tabSelected="1" zoomScale="70" zoomScaleNormal="70" workbookViewId="0">
      <selection sqref="A1:XFD1048576"/>
    </sheetView>
  </sheetViews>
  <sheetFormatPr defaultColWidth="9.109375" defaultRowHeight="12.75" customHeight="1" x14ac:dyDescent="0.25"/>
  <cols>
    <col min="1" max="1" width="9.109375" style="442"/>
    <col min="2" max="2" width="11.109375" style="442" customWidth="1"/>
    <col min="3" max="3" width="25.44140625" style="442" bestFit="1" customWidth="1"/>
    <col min="4" max="4" width="46.5546875" style="442" bestFit="1" customWidth="1"/>
    <col min="5" max="5" width="14" style="442" bestFit="1" customWidth="1"/>
    <col min="6" max="6" width="25.33203125" style="442" bestFit="1" customWidth="1"/>
    <col min="7" max="7" width="9.5546875" style="442" customWidth="1"/>
    <col min="8" max="8" width="62.5546875" style="442" bestFit="1" customWidth="1"/>
    <col min="9" max="10" width="9.109375" style="442"/>
    <col min="11" max="11" width="15.88671875" style="442" customWidth="1"/>
    <col min="12" max="12" width="22.33203125" style="442" customWidth="1"/>
    <col min="13" max="13" width="46.5546875" style="442" bestFit="1" customWidth="1"/>
    <col min="14" max="14" width="15.33203125" style="442" customWidth="1"/>
    <col min="15" max="15" width="25.109375" style="443" customWidth="1"/>
    <col min="16" max="16" width="24.88671875" style="442" bestFit="1" customWidth="1"/>
    <col min="17" max="17" width="16.44140625" style="442" bestFit="1" customWidth="1"/>
    <col min="18" max="18" width="17.33203125" style="442" customWidth="1"/>
    <col min="19" max="19" width="17.44140625" style="442" bestFit="1" customWidth="1"/>
    <col min="20" max="20" width="22" style="442" bestFit="1" customWidth="1"/>
    <col min="21" max="16384" width="9.109375" style="442"/>
  </cols>
  <sheetData>
    <row r="2" spans="2:18" ht="12.75" customHeight="1" x14ac:dyDescent="0.25">
      <c r="B2" s="108" t="s">
        <v>442</v>
      </c>
      <c r="N2" s="443"/>
      <c r="O2" s="442"/>
    </row>
    <row r="3" spans="2:18" ht="12.75" customHeight="1" x14ac:dyDescent="0.25">
      <c r="B3" s="444"/>
      <c r="M3" s="443"/>
      <c r="O3" s="442"/>
    </row>
    <row r="4" spans="2:18" ht="12.75" customHeight="1" x14ac:dyDescent="0.25">
      <c r="B4" s="444"/>
      <c r="N4" s="443"/>
      <c r="O4" s="442"/>
    </row>
    <row r="5" spans="2:18" ht="12.75" customHeight="1" x14ac:dyDescent="0.25">
      <c r="E5" s="445" t="s">
        <v>15</v>
      </c>
      <c r="F5" s="445"/>
      <c r="J5" s="446" t="s">
        <v>149</v>
      </c>
      <c r="K5" s="446"/>
      <c r="N5" s="443"/>
      <c r="O5" s="442"/>
    </row>
    <row r="6" spans="2:18" ht="12.75" customHeight="1" x14ac:dyDescent="0.25">
      <c r="B6" s="447" t="s">
        <v>33</v>
      </c>
      <c r="C6" s="447" t="s">
        <v>1</v>
      </c>
      <c r="D6" s="448" t="s">
        <v>41</v>
      </c>
      <c r="E6" s="449" t="s">
        <v>8</v>
      </c>
      <c r="F6" s="450" t="s">
        <v>298</v>
      </c>
      <c r="H6" s="450" t="s">
        <v>331</v>
      </c>
      <c r="N6" s="443"/>
      <c r="O6" s="442"/>
    </row>
    <row r="7" spans="2:18" ht="12.75" customHeight="1" x14ac:dyDescent="0.3">
      <c r="B7" s="451" t="s">
        <v>150</v>
      </c>
      <c r="C7" s="451" t="s">
        <v>427</v>
      </c>
      <c r="D7" s="452" t="s">
        <v>428</v>
      </c>
      <c r="E7" s="453" t="s">
        <v>295</v>
      </c>
      <c r="F7" s="452" t="s">
        <v>443</v>
      </c>
      <c r="H7" s="452" t="s">
        <v>443</v>
      </c>
      <c r="J7" s="454" t="s">
        <v>38</v>
      </c>
      <c r="K7" s="454"/>
      <c r="L7" s="455"/>
      <c r="M7" s="455"/>
      <c r="N7" s="456"/>
      <c r="O7" s="455"/>
      <c r="P7" s="455"/>
      <c r="Q7" s="455"/>
      <c r="R7" s="455"/>
    </row>
    <row r="8" spans="2:18" ht="12.75" customHeight="1" x14ac:dyDescent="0.25">
      <c r="B8" s="457" t="s">
        <v>152</v>
      </c>
      <c r="C8" s="457" t="s">
        <v>152</v>
      </c>
      <c r="D8" s="458"/>
      <c r="E8" s="459" t="s">
        <v>48</v>
      </c>
      <c r="F8" s="460" t="str">
        <f>General!D22</f>
        <v>M$/Mt</v>
      </c>
      <c r="H8" s="460"/>
      <c r="J8" s="461" t="s">
        <v>18</v>
      </c>
      <c r="K8" s="461"/>
      <c r="L8" s="455"/>
      <c r="M8" s="455"/>
      <c r="N8" s="456"/>
      <c r="O8" s="455"/>
      <c r="P8" s="455"/>
      <c r="Q8" s="455"/>
      <c r="R8" s="455"/>
    </row>
    <row r="9" spans="2:18" ht="12.75" customHeight="1" x14ac:dyDescent="0.25">
      <c r="B9" s="462"/>
      <c r="C9" s="462" t="str">
        <f>L11</f>
        <v>MINMATORE00</v>
      </c>
      <c r="D9" s="462" t="str">
        <f>M11</f>
        <v>Minning of Iron Ore</v>
      </c>
      <c r="E9" s="463" t="str">
        <f>Commodities!AI11</f>
        <v>MATORE</v>
      </c>
      <c r="F9" s="464">
        <f>96*0.9/1000</f>
        <v>8.6400000000000005E-2</v>
      </c>
      <c r="H9" s="465" t="s">
        <v>444</v>
      </c>
      <c r="J9" s="466" t="s">
        <v>13</v>
      </c>
      <c r="K9" s="466" t="s">
        <v>33</v>
      </c>
      <c r="L9" s="466" t="s">
        <v>1</v>
      </c>
      <c r="M9" s="466" t="s">
        <v>2</v>
      </c>
      <c r="N9" s="467" t="s">
        <v>19</v>
      </c>
      <c r="O9" s="466" t="s">
        <v>20</v>
      </c>
      <c r="P9" s="466" t="s">
        <v>21</v>
      </c>
      <c r="Q9" s="466" t="s">
        <v>22</v>
      </c>
      <c r="R9" s="466" t="s">
        <v>23</v>
      </c>
    </row>
    <row r="10" spans="2:18" ht="12.75" customHeight="1" thickBot="1" x14ac:dyDescent="0.3">
      <c r="B10" s="462"/>
      <c r="C10" s="462" t="str">
        <f t="shared" ref="C10:D11" si="0">L12</f>
        <v>MINMATCEM00</v>
      </c>
      <c r="D10" s="462" t="str">
        <f t="shared" si="0"/>
        <v>Minning of Input Materials for Cement</v>
      </c>
      <c r="E10" s="463" t="str">
        <f>Commodities!AI19</f>
        <v>MATCEM</v>
      </c>
      <c r="F10" s="464">
        <f>50/1000</f>
        <v>0.05</v>
      </c>
      <c r="H10" s="462"/>
      <c r="J10" s="468" t="s">
        <v>43</v>
      </c>
      <c r="K10" s="468" t="s">
        <v>34</v>
      </c>
      <c r="L10" s="468" t="s">
        <v>24</v>
      </c>
      <c r="M10" s="468" t="s">
        <v>25</v>
      </c>
      <c r="N10" s="469" t="s">
        <v>26</v>
      </c>
      <c r="O10" s="468" t="s">
        <v>27</v>
      </c>
      <c r="P10" s="468" t="s">
        <v>47</v>
      </c>
      <c r="Q10" s="468" t="s">
        <v>46</v>
      </c>
      <c r="R10" s="468" t="s">
        <v>28</v>
      </c>
    </row>
    <row r="11" spans="2:18" ht="12.75" customHeight="1" x14ac:dyDescent="0.25">
      <c r="B11" s="462"/>
      <c r="C11" s="462" t="str">
        <f t="shared" si="0"/>
        <v>MINMATCRE00</v>
      </c>
      <c r="D11" s="462" t="str">
        <f t="shared" si="0"/>
        <v>Minning of Copper Ore</v>
      </c>
      <c r="E11" s="463" t="str">
        <f>Commodities!AI12</f>
        <v>MATCRE</v>
      </c>
      <c r="F11" s="464">
        <f>743/1000</f>
        <v>0.74299999999999999</v>
      </c>
      <c r="H11" s="462"/>
      <c r="J11" s="442" t="s">
        <v>429</v>
      </c>
      <c r="L11" s="442" t="str">
        <f>"MIN"&amp;Commodities!AI11&amp;"00"</f>
        <v>MINMATORE00</v>
      </c>
      <c r="M11" s="442" t="s">
        <v>721</v>
      </c>
      <c r="N11" s="443" t="str">
        <f>General!$B$6</f>
        <v>Mt</v>
      </c>
      <c r="O11" s="442" t="str">
        <f>General!$D$27</f>
        <v>Mta</v>
      </c>
    </row>
    <row r="12" spans="2:18" ht="12.75" customHeight="1" x14ac:dyDescent="0.25">
      <c r="B12" s="462"/>
      <c r="C12" s="462" t="str">
        <f t="shared" ref="C12:D17" si="1">L14</f>
        <v>MINMATCSR00</v>
      </c>
      <c r="D12" s="462" t="str">
        <f t="shared" si="1"/>
        <v>Minning of Copper Scrap</v>
      </c>
      <c r="E12" s="463" t="str">
        <f>Commodities!AI17</f>
        <v>MATCSR</v>
      </c>
      <c r="F12" s="470">
        <f>3500/1000000</f>
        <v>3.5000000000000001E-3</v>
      </c>
      <c r="H12" s="224" t="s">
        <v>445</v>
      </c>
      <c r="L12" s="442" t="str">
        <f>"MIN"&amp;Commodities!AI19&amp;"00"</f>
        <v>MINMATCEM00</v>
      </c>
      <c r="M12" s="442" t="s">
        <v>722</v>
      </c>
      <c r="N12" s="443" t="str">
        <f>General!$B$6</f>
        <v>Mt</v>
      </c>
      <c r="O12" s="442" t="str">
        <f>General!$D$27</f>
        <v>Mta</v>
      </c>
    </row>
    <row r="13" spans="2:18" ht="12.75" customHeight="1" x14ac:dyDescent="0.25">
      <c r="B13" s="462"/>
      <c r="C13" s="462" t="str">
        <f t="shared" si="1"/>
        <v>MINMATLRE00</v>
      </c>
      <c r="D13" s="462" t="str">
        <f t="shared" si="1"/>
        <v>Minning of Lead Ore</v>
      </c>
      <c r="E13" s="463" t="str">
        <f>Commodities!AI16</f>
        <v>MATLRE</v>
      </c>
      <c r="F13" s="470">
        <f>500/1000000</f>
        <v>5.0000000000000001E-4</v>
      </c>
      <c r="H13" s="462"/>
      <c r="L13" s="442" t="str">
        <f>"MIN"&amp;Commodities!AI12&amp;"00"</f>
        <v>MINMATCRE00</v>
      </c>
      <c r="M13" s="442" t="s">
        <v>723</v>
      </c>
      <c r="N13" s="443" t="str">
        <f>General!$B$6</f>
        <v>Mt</v>
      </c>
      <c r="O13" s="442" t="str">
        <f>General!$D$27</f>
        <v>Mta</v>
      </c>
    </row>
    <row r="14" spans="2:18" ht="12.75" customHeight="1" x14ac:dyDescent="0.25">
      <c r="B14" s="462"/>
      <c r="C14" s="462" t="str">
        <f t="shared" si="1"/>
        <v>MINMATONF00</v>
      </c>
      <c r="D14" s="462" t="str">
        <f t="shared" si="1"/>
        <v>Minning of Other Non-Ferrous</v>
      </c>
      <c r="E14" s="463" t="str">
        <f>Commodities!AI18</f>
        <v>MATONF</v>
      </c>
      <c r="F14" s="470">
        <f>500/1000000</f>
        <v>5.0000000000000001E-4</v>
      </c>
      <c r="H14" s="462"/>
      <c r="L14" s="442" t="str">
        <f>"MIN"&amp;Commodities!AI17&amp;"00"</f>
        <v>MINMATCSR00</v>
      </c>
      <c r="M14" s="442" t="s">
        <v>724</v>
      </c>
      <c r="N14" s="443" t="str">
        <f>General!$B$6</f>
        <v>Mt</v>
      </c>
      <c r="O14" s="442" t="str">
        <f>General!$D$27</f>
        <v>Mta</v>
      </c>
    </row>
    <row r="15" spans="2:18" ht="12.75" customHeight="1" x14ac:dyDescent="0.25">
      <c r="B15" s="462"/>
      <c r="C15" s="462" t="str">
        <f t="shared" si="1"/>
        <v>MINMATZRE00</v>
      </c>
      <c r="D15" s="462" t="str">
        <f t="shared" si="1"/>
        <v>Minning of Zinc Ore</v>
      </c>
      <c r="E15" s="463" t="str">
        <f>Commodities!AI15</f>
        <v>MATZRE</v>
      </c>
      <c r="F15" s="470">
        <f>500/1000000</f>
        <v>5.0000000000000001E-4</v>
      </c>
      <c r="H15" s="462"/>
      <c r="L15" s="442" t="str">
        <f>"MIN"&amp;Commodities!AI16&amp;"00"</f>
        <v>MINMATLRE00</v>
      </c>
      <c r="M15" s="442" t="s">
        <v>725</v>
      </c>
      <c r="N15" s="443" t="str">
        <f>General!$B$6</f>
        <v>Mt</v>
      </c>
      <c r="O15" s="442" t="str">
        <f>General!$D$27</f>
        <v>Mta</v>
      </c>
    </row>
    <row r="16" spans="2:18" ht="12.75" customHeight="1" x14ac:dyDescent="0.25">
      <c r="B16" s="462"/>
      <c r="C16" s="462" t="str">
        <f t="shared" si="1"/>
        <v>MINMATLRE00</v>
      </c>
      <c r="D16" s="462" t="str">
        <f t="shared" si="1"/>
        <v>Minning of Bauxite</v>
      </c>
      <c r="E16" s="463" t="str">
        <f>Commodities!AI21</f>
        <v>MATBAU</v>
      </c>
      <c r="F16" s="470">
        <f>0.5/1000</f>
        <v>5.0000000000000001E-4</v>
      </c>
      <c r="L16" s="442" t="str">
        <f>"MIN"&amp;Commodities!AI18&amp;"00"</f>
        <v>MINMATONF00</v>
      </c>
      <c r="M16" s="442" t="s">
        <v>726</v>
      </c>
      <c r="N16" s="443" t="str">
        <f>General!$B$6</f>
        <v>Mt</v>
      </c>
      <c r="O16" s="442" t="str">
        <f>General!$D$27</f>
        <v>Mta</v>
      </c>
    </row>
    <row r="17" spans="2:15" ht="12.75" customHeight="1" x14ac:dyDescent="0.25">
      <c r="B17" s="462"/>
      <c r="C17" s="462" t="str">
        <f t="shared" si="1"/>
        <v>MINMATSCR00</v>
      </c>
      <c r="D17" s="462" t="str">
        <f t="shared" si="1"/>
        <v>Minning of Scrap</v>
      </c>
      <c r="E17" s="463" t="str">
        <f>Commodities!AI23</f>
        <v>MATSCR</v>
      </c>
      <c r="F17" s="464">
        <v>0.1</v>
      </c>
      <c r="L17" s="442" t="str">
        <f>"MIN"&amp;Commodities!AI15&amp;"00"</f>
        <v>MINMATZRE00</v>
      </c>
      <c r="M17" s="442" t="s">
        <v>727</v>
      </c>
      <c r="N17" s="443" t="str">
        <f>General!$B$6</f>
        <v>Mt</v>
      </c>
      <c r="O17" s="442" t="str">
        <f>General!$D$27</f>
        <v>Mta</v>
      </c>
    </row>
    <row r="18" spans="2:15" ht="12.75" customHeight="1" x14ac:dyDescent="0.25">
      <c r="C18" s="462" t="str">
        <f t="shared" ref="C18" si="2">L20</f>
        <v>MINMATFSC00</v>
      </c>
      <c r="D18" s="462" t="str">
        <f t="shared" ref="D18" si="3">M20</f>
        <v>Minning of Ferrous Scrap</v>
      </c>
      <c r="E18" s="463" t="str">
        <f>Commodities!AI24</f>
        <v>MATFSC</v>
      </c>
      <c r="F18" s="464">
        <v>0.05</v>
      </c>
      <c r="L18" s="442" t="str">
        <f>"MIN"&amp;Commodities!AI16&amp;"00"</f>
        <v>MINMATLRE00</v>
      </c>
      <c r="M18" s="442" t="s">
        <v>728</v>
      </c>
      <c r="N18" s="443" t="str">
        <f>General!$B$6</f>
        <v>Mt</v>
      </c>
      <c r="O18" s="442" t="str">
        <f>General!$D$27</f>
        <v>Mta</v>
      </c>
    </row>
    <row r="19" spans="2:15" ht="12.75" customHeight="1" x14ac:dyDescent="0.25">
      <c r="L19" s="442" t="str">
        <f>"MIN"&amp;Commodities!AI23&amp;"00"</f>
        <v>MINMATSCR00</v>
      </c>
      <c r="M19" s="442" t="s">
        <v>729</v>
      </c>
      <c r="N19" s="443" t="str">
        <f>General!$B$6</f>
        <v>Mt</v>
      </c>
      <c r="O19" s="442" t="str">
        <f>General!$D$27</f>
        <v>Mta</v>
      </c>
    </row>
    <row r="20" spans="2:15" ht="12.75" customHeight="1" x14ac:dyDescent="0.25">
      <c r="L20" s="442" t="str">
        <f>"MIN"&amp;Commodities!AI24&amp;"00"</f>
        <v>MINMATFSC00</v>
      </c>
      <c r="M20" s="442" t="s">
        <v>768</v>
      </c>
      <c r="N20" s="443" t="str">
        <f>General!$B$6</f>
        <v>Mt</v>
      </c>
      <c r="O20" s="442" t="str">
        <f>General!$D$27</f>
        <v>Mta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J42"/>
  <sheetViews>
    <sheetView zoomScale="80" zoomScaleNormal="80" workbookViewId="0">
      <pane xSplit="7" ySplit="2" topLeftCell="AS3" activePane="bottomRight" state="frozen"/>
      <selection activeCell="J45" activeCellId="1" sqref="F12:F16 J45"/>
      <selection pane="topRight" activeCell="J45" activeCellId="1" sqref="F12:F16 J45"/>
      <selection pane="bottomLeft" activeCell="J45" activeCellId="1" sqref="F12:F16 J45"/>
      <selection pane="bottomRight" activeCell="J45" activeCellId="1" sqref="F12:F16 J45"/>
    </sheetView>
  </sheetViews>
  <sheetFormatPr defaultRowHeight="13.2" x14ac:dyDescent="0.25"/>
  <cols>
    <col min="1" max="4" width="9.109375" style="67"/>
    <col min="5" max="5" width="13.6640625" style="67" customWidth="1"/>
    <col min="6" max="6" width="9.109375" style="67"/>
    <col min="60" max="60" width="13" bestFit="1" customWidth="1"/>
    <col min="62" max="62" width="21.44140625" bestFit="1" customWidth="1"/>
  </cols>
  <sheetData>
    <row r="1" spans="1:62" ht="13.5" customHeight="1" thickBot="1" x14ac:dyDescent="0.3">
      <c r="A1" s="5"/>
      <c r="B1" s="5"/>
      <c r="C1" s="6"/>
      <c r="D1" s="6"/>
      <c r="E1" s="6"/>
      <c r="F1" s="7"/>
      <c r="G1" s="7"/>
      <c r="H1" s="8"/>
      <c r="I1" s="8"/>
      <c r="J1" s="9"/>
      <c r="K1" s="9"/>
      <c r="L1" s="9"/>
      <c r="M1" s="9"/>
      <c r="N1" s="9"/>
      <c r="O1" s="9"/>
      <c r="P1" s="9"/>
      <c r="Q1" s="8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8"/>
      <c r="AN1" s="9"/>
      <c r="AO1" s="9"/>
      <c r="AP1" s="9"/>
      <c r="AQ1" s="8"/>
      <c r="AR1" s="9"/>
      <c r="AS1" s="9"/>
      <c r="AT1" s="9"/>
      <c r="AU1" s="9"/>
      <c r="AV1" s="9"/>
      <c r="AW1" s="9"/>
      <c r="AX1" s="9"/>
      <c r="AY1" s="9"/>
      <c r="AZ1" s="9"/>
      <c r="BA1" s="8"/>
      <c r="BB1" s="9"/>
      <c r="BC1" s="9"/>
      <c r="BD1" s="8"/>
      <c r="BE1" s="8"/>
    </row>
    <row r="2" spans="1:62" ht="38.25" customHeight="1" x14ac:dyDescent="0.25">
      <c r="A2" s="44" t="s">
        <v>711</v>
      </c>
      <c r="B2" s="43"/>
      <c r="C2" s="43"/>
      <c r="D2" s="43"/>
      <c r="E2" s="44" t="s">
        <v>841</v>
      </c>
      <c r="F2" s="45" t="s">
        <v>501</v>
      </c>
      <c r="G2" s="10"/>
      <c r="H2" s="11" t="s">
        <v>153</v>
      </c>
      <c r="I2" s="12" t="s">
        <v>154</v>
      </c>
      <c r="J2" s="10" t="s">
        <v>53</v>
      </c>
      <c r="K2" s="13" t="s">
        <v>55</v>
      </c>
      <c r="L2" s="13" t="s">
        <v>710</v>
      </c>
      <c r="M2" s="13" t="s">
        <v>155</v>
      </c>
      <c r="N2" s="13" t="s">
        <v>57</v>
      </c>
      <c r="O2" s="10" t="s">
        <v>59</v>
      </c>
      <c r="P2" s="10" t="s">
        <v>156</v>
      </c>
      <c r="Q2" s="12" t="s">
        <v>157</v>
      </c>
      <c r="R2" s="13" t="s">
        <v>158</v>
      </c>
      <c r="S2" s="13" t="s">
        <v>159</v>
      </c>
      <c r="T2" s="13" t="s">
        <v>160</v>
      </c>
      <c r="U2" s="13" t="s">
        <v>161</v>
      </c>
      <c r="V2" s="13" t="s">
        <v>162</v>
      </c>
      <c r="W2" s="13" t="s">
        <v>65</v>
      </c>
      <c r="X2" s="13" t="s">
        <v>163</v>
      </c>
      <c r="Y2" s="13" t="s">
        <v>164</v>
      </c>
      <c r="Z2" s="13" t="s">
        <v>69</v>
      </c>
      <c r="AA2" s="13" t="s">
        <v>165</v>
      </c>
      <c r="AB2" s="13" t="s">
        <v>166</v>
      </c>
      <c r="AC2" s="13" t="s">
        <v>167</v>
      </c>
      <c r="AD2" s="13" t="s">
        <v>75</v>
      </c>
      <c r="AE2" s="13" t="s">
        <v>168</v>
      </c>
      <c r="AF2" s="13" t="s">
        <v>169</v>
      </c>
      <c r="AG2" s="13" t="s">
        <v>170</v>
      </c>
      <c r="AH2" s="13" t="s">
        <v>81</v>
      </c>
      <c r="AI2" s="13" t="s">
        <v>79</v>
      </c>
      <c r="AJ2" s="13" t="s">
        <v>77</v>
      </c>
      <c r="AK2" s="13" t="s">
        <v>171</v>
      </c>
      <c r="AL2" s="13" t="s">
        <v>172</v>
      </c>
      <c r="AM2" s="12" t="s">
        <v>173</v>
      </c>
      <c r="AN2" s="13" t="s">
        <v>174</v>
      </c>
      <c r="AO2" s="13" t="s">
        <v>175</v>
      </c>
      <c r="AP2" s="13" t="s">
        <v>176</v>
      </c>
      <c r="AQ2" s="14" t="s">
        <v>177</v>
      </c>
      <c r="AR2" s="13" t="s">
        <v>178</v>
      </c>
      <c r="AS2" s="13" t="s">
        <v>179</v>
      </c>
      <c r="AT2" s="13" t="s">
        <v>180</v>
      </c>
      <c r="AU2" s="13" t="s">
        <v>181</v>
      </c>
      <c r="AV2" s="13" t="s">
        <v>182</v>
      </c>
      <c r="AW2" s="13" t="s">
        <v>94</v>
      </c>
      <c r="AX2" s="13" t="s">
        <v>183</v>
      </c>
      <c r="AY2" s="13" t="s">
        <v>184</v>
      </c>
      <c r="AZ2" s="13" t="s">
        <v>185</v>
      </c>
      <c r="BA2" s="14" t="s">
        <v>186</v>
      </c>
      <c r="BB2" s="13" t="s">
        <v>187</v>
      </c>
      <c r="BC2" s="13" t="s">
        <v>188</v>
      </c>
      <c r="BD2" s="14" t="s">
        <v>189</v>
      </c>
      <c r="BE2" s="12" t="s">
        <v>190</v>
      </c>
    </row>
    <row r="3" spans="1:62" ht="13.5" customHeight="1" x14ac:dyDescent="0.25">
      <c r="A3" s="46" t="s">
        <v>191</v>
      </c>
      <c r="B3" s="46"/>
      <c r="C3" s="46"/>
      <c r="D3" s="46"/>
      <c r="E3" s="46"/>
      <c r="F3" s="47" t="s">
        <v>192</v>
      </c>
      <c r="G3" s="15"/>
      <c r="H3" s="34"/>
      <c r="I3" s="35"/>
      <c r="J3" s="36"/>
      <c r="K3" s="36"/>
      <c r="L3" s="36"/>
      <c r="M3" s="36"/>
      <c r="N3" s="36"/>
      <c r="O3" s="36"/>
      <c r="P3" s="36"/>
      <c r="Q3" s="35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5"/>
      <c r="AN3" s="36"/>
      <c r="AO3" s="36"/>
      <c r="AP3" s="36"/>
      <c r="AQ3" s="35"/>
      <c r="AR3" s="36"/>
      <c r="AS3" s="36"/>
      <c r="AT3" s="36"/>
      <c r="AU3" s="36"/>
      <c r="AV3" s="36"/>
      <c r="AW3" s="36"/>
      <c r="AX3" s="36"/>
      <c r="AY3" s="36"/>
      <c r="AZ3" s="36"/>
      <c r="BA3" s="35"/>
      <c r="BB3" s="36"/>
      <c r="BC3" s="36"/>
      <c r="BD3" s="35"/>
      <c r="BE3" s="35"/>
      <c r="BF3" s="37"/>
    </row>
    <row r="4" spans="1:62" ht="13.5" customHeight="1" x14ac:dyDescent="0.25">
      <c r="A4" s="48" t="s">
        <v>193</v>
      </c>
      <c r="B4" s="48"/>
      <c r="C4" s="48"/>
      <c r="D4" s="48"/>
      <c r="E4" s="48"/>
      <c r="F4" s="49" t="s">
        <v>194</v>
      </c>
      <c r="G4" s="16"/>
      <c r="H4" s="38"/>
      <c r="I4" s="71"/>
      <c r="J4" s="72"/>
      <c r="K4" s="72"/>
      <c r="L4" s="72"/>
      <c r="M4" s="72"/>
      <c r="N4" s="72"/>
      <c r="O4" s="72"/>
      <c r="P4" s="72"/>
      <c r="Q4" s="71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1"/>
      <c r="AN4" s="72"/>
      <c r="AO4" s="72"/>
      <c r="AP4" s="72"/>
      <c r="AQ4" s="71"/>
      <c r="AR4" s="72"/>
      <c r="AS4" s="72"/>
      <c r="AT4" s="72"/>
      <c r="AU4" s="72"/>
      <c r="AV4" s="72"/>
      <c r="AW4" s="72"/>
      <c r="AX4" s="72"/>
      <c r="AY4" s="72"/>
      <c r="AZ4" s="72"/>
      <c r="BA4" s="71"/>
      <c r="BB4" s="72"/>
      <c r="BC4" s="72"/>
      <c r="BD4" s="71"/>
      <c r="BE4" s="71"/>
      <c r="BF4" s="37"/>
    </row>
    <row r="5" spans="1:62" ht="13.5" customHeight="1" x14ac:dyDescent="0.25">
      <c r="A5" s="50" t="s">
        <v>195</v>
      </c>
      <c r="B5" s="51" t="s">
        <v>196</v>
      </c>
      <c r="C5" s="51"/>
      <c r="D5" s="51"/>
      <c r="E5" s="51"/>
      <c r="F5" s="52" t="s">
        <v>197</v>
      </c>
      <c r="G5" s="17"/>
      <c r="H5" s="39"/>
      <c r="I5" s="73"/>
      <c r="J5" s="74"/>
      <c r="K5" s="74"/>
      <c r="L5" s="74"/>
      <c r="M5" s="74"/>
      <c r="N5" s="74"/>
      <c r="O5" s="74"/>
      <c r="P5" s="74"/>
      <c r="Q5" s="73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3"/>
      <c r="AN5" s="74"/>
      <c r="AO5" s="74"/>
      <c r="AP5" s="74"/>
      <c r="AQ5" s="73"/>
      <c r="AR5" s="74"/>
      <c r="AS5" s="74"/>
      <c r="AT5" s="74"/>
      <c r="AU5" s="74"/>
      <c r="AV5" s="74"/>
      <c r="AW5" s="74"/>
      <c r="AX5" s="74"/>
      <c r="AY5" s="74"/>
      <c r="AZ5" s="74"/>
      <c r="BA5" s="73"/>
      <c r="BB5" s="74"/>
      <c r="BC5" s="74"/>
      <c r="BD5" s="73"/>
      <c r="BE5" s="73"/>
      <c r="BF5" s="37"/>
    </row>
    <row r="6" spans="1:62" ht="13.5" customHeight="1" x14ac:dyDescent="0.25">
      <c r="A6" s="53" t="s">
        <v>195</v>
      </c>
      <c r="B6" s="54" t="s">
        <v>198</v>
      </c>
      <c r="C6" s="54"/>
      <c r="D6" s="54"/>
      <c r="E6" s="54"/>
      <c r="F6" s="55" t="s">
        <v>199</v>
      </c>
      <c r="G6" s="18"/>
      <c r="H6" s="40"/>
      <c r="I6" s="75"/>
      <c r="J6" s="76"/>
      <c r="K6" s="76"/>
      <c r="L6" s="76"/>
      <c r="M6" s="76"/>
      <c r="N6" s="76"/>
      <c r="O6" s="76"/>
      <c r="P6" s="76"/>
      <c r="Q6" s="75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5"/>
      <c r="AN6" s="76"/>
      <c r="AO6" s="76"/>
      <c r="AP6" s="76"/>
      <c r="AQ6" s="75"/>
      <c r="AR6" s="76"/>
      <c r="AS6" s="76"/>
      <c r="AT6" s="76"/>
      <c r="AU6" s="76"/>
      <c r="AV6" s="76"/>
      <c r="AW6" s="76"/>
      <c r="AX6" s="76"/>
      <c r="AY6" s="76"/>
      <c r="AZ6" s="76"/>
      <c r="BA6" s="75"/>
      <c r="BB6" s="76"/>
      <c r="BC6" s="76"/>
      <c r="BD6" s="75"/>
      <c r="BE6" s="75"/>
      <c r="BF6" s="37"/>
    </row>
    <row r="7" spans="1:62" ht="13.5" customHeight="1" x14ac:dyDescent="0.25">
      <c r="A7" s="53" t="s">
        <v>195</v>
      </c>
      <c r="B7" s="54" t="s">
        <v>200</v>
      </c>
      <c r="C7" s="54"/>
      <c r="D7" s="54"/>
      <c r="E7" s="54"/>
      <c r="F7" s="55" t="s">
        <v>201</v>
      </c>
      <c r="G7" s="18"/>
      <c r="H7" s="40"/>
      <c r="I7" s="75"/>
      <c r="J7" s="76"/>
      <c r="K7" s="76"/>
      <c r="L7" s="76"/>
      <c r="M7" s="76"/>
      <c r="N7" s="76"/>
      <c r="O7" s="76"/>
      <c r="P7" s="76"/>
      <c r="Q7" s="75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7"/>
      <c r="AN7" s="78"/>
      <c r="AO7" s="76"/>
      <c r="AP7" s="76"/>
      <c r="AQ7" s="75"/>
      <c r="AR7" s="76"/>
      <c r="AS7" s="76"/>
      <c r="AT7" s="76"/>
      <c r="AU7" s="76"/>
      <c r="AV7" s="76"/>
      <c r="AW7" s="76"/>
      <c r="AX7" s="76"/>
      <c r="AY7" s="76"/>
      <c r="AZ7" s="76"/>
      <c r="BA7" s="75"/>
      <c r="BB7" s="76"/>
      <c r="BC7" s="76"/>
      <c r="BD7" s="75"/>
      <c r="BE7" s="75"/>
      <c r="BF7" s="37"/>
    </row>
    <row r="8" spans="1:62" ht="13.5" customHeight="1" x14ac:dyDescent="0.25">
      <c r="A8" s="56"/>
      <c r="B8" s="57"/>
      <c r="C8" s="57" t="s">
        <v>202</v>
      </c>
      <c r="D8" s="57"/>
      <c r="E8" s="57"/>
      <c r="F8" s="58" t="s">
        <v>203</v>
      </c>
      <c r="G8" s="19"/>
      <c r="H8" s="41"/>
      <c r="I8" s="79"/>
      <c r="J8" s="80"/>
      <c r="K8" s="80"/>
      <c r="L8" s="80"/>
      <c r="M8" s="80"/>
      <c r="N8" s="80"/>
      <c r="O8" s="80"/>
      <c r="P8" s="80"/>
      <c r="Q8" s="79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79"/>
      <c r="AN8" s="80"/>
      <c r="AO8" s="80"/>
      <c r="AP8" s="80"/>
      <c r="AQ8" s="79"/>
      <c r="AR8" s="80"/>
      <c r="AS8" s="80"/>
      <c r="AT8" s="80"/>
      <c r="AU8" s="80"/>
      <c r="AV8" s="80"/>
      <c r="AW8" s="80"/>
      <c r="AX8" s="80"/>
      <c r="AY8" s="80"/>
      <c r="AZ8" s="80"/>
      <c r="BA8" s="79"/>
      <c r="BB8" s="80"/>
      <c r="BC8" s="80"/>
      <c r="BD8" s="79"/>
      <c r="BE8" s="79"/>
      <c r="BF8" s="37"/>
    </row>
    <row r="9" spans="1:62" ht="13.5" customHeight="1" x14ac:dyDescent="0.25">
      <c r="A9" s="53" t="s">
        <v>195</v>
      </c>
      <c r="B9" s="54" t="s">
        <v>204</v>
      </c>
      <c r="C9" s="54"/>
      <c r="D9" s="54"/>
      <c r="E9" s="54"/>
      <c r="F9" s="55" t="s">
        <v>205</v>
      </c>
      <c r="G9" s="18"/>
      <c r="H9" s="40"/>
      <c r="I9" s="75"/>
      <c r="J9" s="76"/>
      <c r="K9" s="76"/>
      <c r="L9" s="76"/>
      <c r="M9" s="76"/>
      <c r="N9" s="76"/>
      <c r="O9" s="76"/>
      <c r="P9" s="76"/>
      <c r="Q9" s="75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5"/>
      <c r="AN9" s="76"/>
      <c r="AO9" s="76"/>
      <c r="AP9" s="76"/>
      <c r="AQ9" s="75"/>
      <c r="AR9" s="76"/>
      <c r="AS9" s="76"/>
      <c r="AT9" s="76"/>
      <c r="AU9" s="76"/>
      <c r="AV9" s="76"/>
      <c r="AW9" s="76"/>
      <c r="AX9" s="76"/>
      <c r="AY9" s="76"/>
      <c r="AZ9" s="76"/>
      <c r="BA9" s="75"/>
      <c r="BB9" s="76"/>
      <c r="BC9" s="76"/>
      <c r="BD9" s="75"/>
      <c r="BE9" s="75"/>
      <c r="BF9" s="37"/>
    </row>
    <row r="10" spans="1:62" ht="13.5" customHeight="1" x14ac:dyDescent="0.25">
      <c r="A10" s="53" t="s">
        <v>195</v>
      </c>
      <c r="B10" s="54" t="s">
        <v>206</v>
      </c>
      <c r="C10" s="54"/>
      <c r="D10" s="54"/>
      <c r="E10" s="54"/>
      <c r="F10" s="55" t="s">
        <v>207</v>
      </c>
      <c r="G10" s="18"/>
      <c r="H10" s="40"/>
      <c r="I10" s="75"/>
      <c r="J10" s="76"/>
      <c r="K10" s="76"/>
      <c r="L10" s="76"/>
      <c r="M10" s="76"/>
      <c r="N10" s="76"/>
      <c r="O10" s="76"/>
      <c r="P10" s="76"/>
      <c r="Q10" s="75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5"/>
      <c r="AN10" s="76"/>
      <c r="AO10" s="76"/>
      <c r="AP10" s="76"/>
      <c r="AQ10" s="75"/>
      <c r="AR10" s="76"/>
      <c r="AS10" s="76"/>
      <c r="AT10" s="76"/>
      <c r="AU10" s="76"/>
      <c r="AV10" s="76"/>
      <c r="AW10" s="76"/>
      <c r="AX10" s="76"/>
      <c r="AY10" s="76"/>
      <c r="AZ10" s="76"/>
      <c r="BA10" s="75"/>
      <c r="BB10" s="76"/>
      <c r="BC10" s="76"/>
      <c r="BD10" s="75"/>
      <c r="BE10" s="75"/>
      <c r="BF10" s="37"/>
    </row>
    <row r="11" spans="1:62" ht="13.5" customHeight="1" x14ac:dyDescent="0.25">
      <c r="A11" s="59" t="s">
        <v>195</v>
      </c>
      <c r="B11" s="60" t="s">
        <v>208</v>
      </c>
      <c r="C11" s="60"/>
      <c r="D11" s="60"/>
      <c r="E11" s="60"/>
      <c r="F11" s="61" t="s">
        <v>209</v>
      </c>
      <c r="G11" s="20"/>
      <c r="H11" s="42"/>
      <c r="I11" s="81"/>
      <c r="J11" s="82"/>
      <c r="K11" s="82"/>
      <c r="L11" s="82"/>
      <c r="M11" s="82"/>
      <c r="N11" s="82"/>
      <c r="O11" s="82"/>
      <c r="P11" s="82"/>
      <c r="Q11" s="81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97">
        <v>950</v>
      </c>
      <c r="AM11" s="81"/>
      <c r="AN11" s="82"/>
      <c r="AO11" s="82"/>
      <c r="AP11" s="82"/>
      <c r="AQ11" s="81"/>
      <c r="AR11" s="82"/>
      <c r="AS11" s="82"/>
      <c r="AT11" s="82"/>
      <c r="AU11" s="82"/>
      <c r="AV11" s="82"/>
      <c r="AW11" s="82"/>
      <c r="AX11" s="82"/>
      <c r="AY11" s="82"/>
      <c r="AZ11" s="82"/>
      <c r="BA11" s="81"/>
      <c r="BB11" s="82"/>
      <c r="BC11" s="82"/>
      <c r="BD11" s="81"/>
      <c r="BE11" s="81"/>
      <c r="BF11" s="37"/>
    </row>
    <row r="12" spans="1:62" ht="13.5" customHeight="1" x14ac:dyDescent="0.25">
      <c r="A12" s="48" t="s">
        <v>210</v>
      </c>
      <c r="B12" s="48"/>
      <c r="C12" s="48"/>
      <c r="D12" s="48"/>
      <c r="E12" s="48"/>
      <c r="F12" s="49" t="s">
        <v>211</v>
      </c>
      <c r="G12" s="16"/>
      <c r="H12" s="38"/>
      <c r="I12" s="71"/>
      <c r="J12" s="72"/>
      <c r="K12" s="72"/>
      <c r="L12" s="72"/>
      <c r="M12" s="72"/>
      <c r="N12" s="72"/>
      <c r="O12" s="72"/>
      <c r="P12" s="72"/>
      <c r="Q12" s="71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1"/>
      <c r="AN12" s="72"/>
      <c r="AO12" s="72"/>
      <c r="AP12" s="72"/>
      <c r="AQ12" s="71"/>
      <c r="AR12" s="72"/>
      <c r="AS12" s="72"/>
      <c r="AT12" s="72"/>
      <c r="AU12" s="72"/>
      <c r="AV12" s="72"/>
      <c r="AW12" s="72"/>
      <c r="AX12" s="72"/>
      <c r="AY12" s="72"/>
      <c r="AZ12" s="72"/>
      <c r="BA12" s="71"/>
      <c r="BB12" s="72"/>
      <c r="BC12" s="72"/>
      <c r="BD12" s="71"/>
      <c r="BE12" s="71"/>
      <c r="BF12" s="37"/>
      <c r="BH12" s="33" t="s">
        <v>769</v>
      </c>
      <c r="BJ12" s="69"/>
    </row>
    <row r="13" spans="1:62" ht="13.5" customHeight="1" x14ac:dyDescent="0.25">
      <c r="A13" s="50" t="s">
        <v>195</v>
      </c>
      <c r="B13" s="51" t="s">
        <v>212</v>
      </c>
      <c r="C13" s="51"/>
      <c r="D13" s="51"/>
      <c r="E13" s="51"/>
      <c r="F13" s="52" t="s">
        <v>213</v>
      </c>
      <c r="G13" s="17"/>
      <c r="H13" s="39"/>
      <c r="I13" s="91">
        <f>SUM(J13:P13)</f>
        <v>110</v>
      </c>
      <c r="J13" s="92"/>
      <c r="K13" s="95">
        <f>SUM(K14:K26)</f>
        <v>50</v>
      </c>
      <c r="L13" s="95">
        <f>SUM(L14:L26)</f>
        <v>0</v>
      </c>
      <c r="M13" s="95">
        <f>SUM(M14:M26)</f>
        <v>0</v>
      </c>
      <c r="N13" s="95">
        <f>SUM(N14:N26)</f>
        <v>60</v>
      </c>
      <c r="O13" s="85"/>
      <c r="P13" s="84"/>
      <c r="Q13" s="83">
        <f>SUM(R13:AL13)</f>
        <v>85</v>
      </c>
      <c r="R13" s="84"/>
      <c r="S13" s="78">
        <f>SUM(S15:S26)</f>
        <v>0</v>
      </c>
      <c r="T13" s="84"/>
      <c r="U13" s="84"/>
      <c r="V13" s="84"/>
      <c r="W13" s="85">
        <f t="shared" ref="W13:AL13" si="0">SUM(W14:W26)</f>
        <v>0</v>
      </c>
      <c r="X13" s="85">
        <f t="shared" si="0"/>
        <v>0</v>
      </c>
      <c r="Y13" s="85">
        <f t="shared" si="0"/>
        <v>0</v>
      </c>
      <c r="Z13" s="85">
        <f t="shared" si="0"/>
        <v>0</v>
      </c>
      <c r="AA13" s="85">
        <f t="shared" si="0"/>
        <v>0</v>
      </c>
      <c r="AB13" s="85">
        <f t="shared" si="0"/>
        <v>0</v>
      </c>
      <c r="AC13" s="85">
        <f t="shared" si="0"/>
        <v>0</v>
      </c>
      <c r="AD13" s="85">
        <f t="shared" si="0"/>
        <v>0</v>
      </c>
      <c r="AE13" s="95">
        <f t="shared" si="0"/>
        <v>80</v>
      </c>
      <c r="AF13" s="95">
        <f t="shared" si="0"/>
        <v>5</v>
      </c>
      <c r="AG13" s="85">
        <f t="shared" si="0"/>
        <v>0</v>
      </c>
      <c r="AH13" s="85">
        <f t="shared" si="0"/>
        <v>0</v>
      </c>
      <c r="AI13" s="85">
        <f t="shared" si="0"/>
        <v>0</v>
      </c>
      <c r="AJ13" s="85">
        <f t="shared" si="0"/>
        <v>0</v>
      </c>
      <c r="AK13" s="85">
        <f t="shared" si="0"/>
        <v>0</v>
      </c>
      <c r="AL13" s="85">
        <f t="shared" si="0"/>
        <v>0</v>
      </c>
      <c r="AM13" s="91">
        <f>SUM(AN13:AP13)</f>
        <v>640</v>
      </c>
      <c r="AN13" s="92">
        <f>SUM(AN14:AN26)</f>
        <v>640</v>
      </c>
      <c r="AO13" s="92"/>
      <c r="AP13" s="92">
        <f>AP14</f>
        <v>0</v>
      </c>
      <c r="AQ13" s="91"/>
      <c r="AR13" s="92"/>
      <c r="AS13" s="92"/>
      <c r="AT13" s="92"/>
      <c r="AU13" s="92"/>
      <c r="AV13" s="92"/>
      <c r="AW13" s="92"/>
      <c r="AX13" s="92"/>
      <c r="AY13" s="92"/>
      <c r="AZ13" s="92"/>
      <c r="BA13" s="91"/>
      <c r="BB13" s="92"/>
      <c r="BC13" s="92"/>
      <c r="BD13" s="91">
        <f>SUM(BD14:BD26)</f>
        <v>0</v>
      </c>
      <c r="BE13" s="91">
        <f>SUM(BE14:BE26)</f>
        <v>310</v>
      </c>
      <c r="BF13" s="37"/>
      <c r="BG13" s="68">
        <f>SUM(BG14:BG26)</f>
        <v>74.734380000000002</v>
      </c>
      <c r="BH13" s="68">
        <f>SUM(BH14:BH26)</f>
        <v>61.755299999999984</v>
      </c>
      <c r="BJ13" s="69"/>
    </row>
    <row r="14" spans="1:62" ht="13.5" customHeight="1" x14ac:dyDescent="0.25">
      <c r="A14" s="62"/>
      <c r="B14" s="53" t="s">
        <v>195</v>
      </c>
      <c r="C14" s="54" t="s">
        <v>214</v>
      </c>
      <c r="D14" s="54"/>
      <c r="E14" s="54"/>
      <c r="F14" s="55" t="s">
        <v>215</v>
      </c>
      <c r="G14" s="18"/>
      <c r="H14" s="40"/>
      <c r="I14" s="91"/>
      <c r="J14" s="94"/>
      <c r="K14" s="94"/>
      <c r="L14" s="94"/>
      <c r="M14" s="94"/>
      <c r="N14" s="94">
        <v>60</v>
      </c>
      <c r="O14" s="78"/>
      <c r="P14" s="78"/>
      <c r="Q14" s="83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93">
        <f>AN14</f>
        <v>30</v>
      </c>
      <c r="AN14" s="94">
        <v>30</v>
      </c>
      <c r="AO14" s="94"/>
      <c r="AP14" s="94"/>
      <c r="AQ14" s="93"/>
      <c r="AR14" s="94"/>
      <c r="AS14" s="94"/>
      <c r="AT14" s="94"/>
      <c r="AU14" s="94"/>
      <c r="AV14" s="94"/>
      <c r="AW14" s="94"/>
      <c r="AX14" s="94"/>
      <c r="AY14" s="94"/>
      <c r="AZ14" s="94"/>
      <c r="BA14" s="93"/>
      <c r="BB14" s="94"/>
      <c r="BC14" s="94"/>
      <c r="BD14" s="93"/>
      <c r="BE14" s="96">
        <f>30</f>
        <v>30</v>
      </c>
      <c r="BF14" s="37"/>
      <c r="BG14" s="68">
        <f t="shared" ref="BG14:BG19" si="1">SUM(H14:BE14)/1000*41.868</f>
        <v>6.2801999999999998</v>
      </c>
      <c r="BH14" s="68">
        <f t="shared" ref="BH14:BH26" si="2">SUM(H14:BC14)/1000*41.868</f>
        <v>5.0241600000000002</v>
      </c>
      <c r="BJ14" s="70"/>
    </row>
    <row r="15" spans="1:62" ht="13.5" customHeight="1" x14ac:dyDescent="0.25">
      <c r="A15" s="62"/>
      <c r="B15" s="53" t="s">
        <v>195</v>
      </c>
      <c r="C15" s="54" t="s">
        <v>216</v>
      </c>
      <c r="D15" s="54"/>
      <c r="E15" s="54"/>
      <c r="F15" s="55" t="s">
        <v>217</v>
      </c>
      <c r="G15" s="18"/>
      <c r="H15" s="40"/>
      <c r="I15" s="83"/>
      <c r="J15" s="78"/>
      <c r="K15" s="78"/>
      <c r="L15" s="78"/>
      <c r="M15" s="78"/>
      <c r="N15" s="78"/>
      <c r="O15" s="78"/>
      <c r="P15" s="78"/>
      <c r="Q15" s="83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93">
        <f>AN15</f>
        <v>150</v>
      </c>
      <c r="AN15" s="94">
        <v>150</v>
      </c>
      <c r="AO15" s="94"/>
      <c r="AP15" s="94"/>
      <c r="AQ15" s="93"/>
      <c r="AR15" s="94"/>
      <c r="AS15" s="94"/>
      <c r="AT15" s="94"/>
      <c r="AU15" s="94"/>
      <c r="AV15" s="94"/>
      <c r="AW15" s="94"/>
      <c r="AX15" s="94"/>
      <c r="AY15" s="94"/>
      <c r="AZ15" s="94"/>
      <c r="BA15" s="93"/>
      <c r="BB15" s="94"/>
      <c r="BC15" s="94"/>
      <c r="BD15" s="93"/>
      <c r="BE15" s="93">
        <v>20</v>
      </c>
      <c r="BF15" s="37"/>
      <c r="BG15" s="68">
        <f t="shared" si="1"/>
        <v>13.397760000000002</v>
      </c>
      <c r="BH15" s="68">
        <f t="shared" si="2"/>
        <v>12.5604</v>
      </c>
      <c r="BJ15" s="69"/>
    </row>
    <row r="16" spans="1:62" ht="13.5" customHeight="1" x14ac:dyDescent="0.25">
      <c r="A16" s="62"/>
      <c r="B16" s="53" t="s">
        <v>195</v>
      </c>
      <c r="C16" s="54" t="s">
        <v>218</v>
      </c>
      <c r="D16" s="54"/>
      <c r="E16" s="54"/>
      <c r="F16" s="55" t="s">
        <v>219</v>
      </c>
      <c r="G16" s="18"/>
      <c r="H16" s="40"/>
      <c r="I16" s="83"/>
      <c r="J16" s="78"/>
      <c r="K16" s="78"/>
      <c r="L16" s="78"/>
      <c r="M16" s="78"/>
      <c r="N16" s="78"/>
      <c r="O16" s="78"/>
      <c r="P16" s="78"/>
      <c r="Q16" s="83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93"/>
      <c r="AN16" s="94"/>
      <c r="AO16" s="94"/>
      <c r="AP16" s="94"/>
      <c r="AQ16" s="93"/>
      <c r="AR16" s="94"/>
      <c r="AS16" s="94"/>
      <c r="AT16" s="94"/>
      <c r="AU16" s="94"/>
      <c r="AV16" s="94"/>
      <c r="AW16" s="94"/>
      <c r="AX16" s="94"/>
      <c r="AY16" s="94"/>
      <c r="AZ16" s="94"/>
      <c r="BA16" s="93"/>
      <c r="BB16" s="94"/>
      <c r="BC16" s="94"/>
      <c r="BD16" s="93"/>
      <c r="BE16" s="96">
        <f>60</f>
        <v>60</v>
      </c>
      <c r="BF16" s="37"/>
      <c r="BG16" s="68">
        <f t="shared" si="1"/>
        <v>2.5120800000000001</v>
      </c>
      <c r="BH16" s="68">
        <f t="shared" si="2"/>
        <v>0</v>
      </c>
      <c r="BJ16" s="69"/>
    </row>
    <row r="17" spans="1:62" ht="13.5" customHeight="1" x14ac:dyDescent="0.25">
      <c r="A17" s="62"/>
      <c r="B17" s="53" t="s">
        <v>195</v>
      </c>
      <c r="C17" s="54" t="s">
        <v>220</v>
      </c>
      <c r="D17" s="54"/>
      <c r="E17" s="54"/>
      <c r="F17" s="55" t="s">
        <v>221</v>
      </c>
      <c r="G17" s="18"/>
      <c r="H17" s="40"/>
      <c r="I17" s="83"/>
      <c r="J17" s="78"/>
      <c r="K17" s="94">
        <v>50</v>
      </c>
      <c r="L17" s="78"/>
      <c r="M17" s="78"/>
      <c r="N17" s="78"/>
      <c r="O17" s="78"/>
      <c r="P17" s="78"/>
      <c r="Q17" s="83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94"/>
      <c r="AF17" s="78"/>
      <c r="AG17" s="78"/>
      <c r="AH17" s="78"/>
      <c r="AI17" s="78"/>
      <c r="AJ17" s="78"/>
      <c r="AK17" s="78"/>
      <c r="AL17" s="78"/>
      <c r="AM17" s="93">
        <f>AN17</f>
        <v>260</v>
      </c>
      <c r="AN17" s="94">
        <v>260</v>
      </c>
      <c r="AO17" s="94"/>
      <c r="AP17" s="94"/>
      <c r="AQ17" s="93"/>
      <c r="AR17" s="94"/>
      <c r="AS17" s="94"/>
      <c r="AT17" s="94"/>
      <c r="AU17" s="94"/>
      <c r="AV17" s="94"/>
      <c r="AW17" s="94"/>
      <c r="AX17" s="94"/>
      <c r="AY17" s="94"/>
      <c r="AZ17" s="94"/>
      <c r="BA17" s="93"/>
      <c r="BB17" s="94"/>
      <c r="BC17" s="94"/>
      <c r="BD17" s="93"/>
      <c r="BE17" s="93">
        <v>30</v>
      </c>
      <c r="BF17" s="37"/>
      <c r="BG17" s="68">
        <f t="shared" si="1"/>
        <v>25.120799999999999</v>
      </c>
      <c r="BH17" s="68">
        <f t="shared" si="2"/>
        <v>23.86476</v>
      </c>
      <c r="BJ17" s="69"/>
    </row>
    <row r="18" spans="1:62" ht="13.5" customHeight="1" x14ac:dyDescent="0.25">
      <c r="A18" s="62"/>
      <c r="B18" s="53" t="s">
        <v>195</v>
      </c>
      <c r="C18" s="54" t="s">
        <v>222</v>
      </c>
      <c r="D18" s="54"/>
      <c r="E18" s="54"/>
      <c r="F18" s="55" t="s">
        <v>223</v>
      </c>
      <c r="G18" s="18"/>
      <c r="H18" s="40"/>
      <c r="I18" s="83"/>
      <c r="J18" s="78"/>
      <c r="K18" s="78"/>
      <c r="L18" s="78"/>
      <c r="M18" s="78"/>
      <c r="N18" s="78"/>
      <c r="O18" s="78"/>
      <c r="P18" s="78"/>
      <c r="Q18" s="83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93"/>
      <c r="AN18" s="94"/>
      <c r="AO18" s="94"/>
      <c r="AP18" s="94"/>
      <c r="AQ18" s="93"/>
      <c r="AR18" s="94"/>
      <c r="AS18" s="94"/>
      <c r="AT18" s="94"/>
      <c r="AU18" s="94"/>
      <c r="AV18" s="94"/>
      <c r="AW18" s="94"/>
      <c r="AX18" s="94"/>
      <c r="AY18" s="94"/>
      <c r="AZ18" s="94"/>
      <c r="BA18" s="93"/>
      <c r="BB18" s="94"/>
      <c r="BC18" s="94"/>
      <c r="BD18" s="93"/>
      <c r="BE18" s="93"/>
      <c r="BF18" s="37"/>
      <c r="BG18" s="68">
        <f t="shared" si="1"/>
        <v>0</v>
      </c>
      <c r="BH18" s="68">
        <f t="shared" si="2"/>
        <v>0</v>
      </c>
      <c r="BJ18" s="69"/>
    </row>
    <row r="19" spans="1:62" ht="13.5" customHeight="1" x14ac:dyDescent="0.25">
      <c r="A19" s="62"/>
      <c r="B19" s="53" t="s">
        <v>195</v>
      </c>
      <c r="C19" s="54" t="s">
        <v>224</v>
      </c>
      <c r="D19" s="54"/>
      <c r="E19" s="54"/>
      <c r="F19" s="55" t="s">
        <v>225</v>
      </c>
      <c r="G19" s="18"/>
      <c r="H19" s="40"/>
      <c r="I19" s="83"/>
      <c r="J19" s="78"/>
      <c r="K19" s="78"/>
      <c r="L19" s="78"/>
      <c r="M19" s="78"/>
      <c r="N19" s="78"/>
      <c r="O19" s="78"/>
      <c r="P19" s="78"/>
      <c r="Q19" s="83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93">
        <f>AN19</f>
        <v>10</v>
      </c>
      <c r="AN19" s="94">
        <v>10</v>
      </c>
      <c r="AO19" s="94"/>
      <c r="AP19" s="94"/>
      <c r="AQ19" s="93"/>
      <c r="AR19" s="94"/>
      <c r="AS19" s="94"/>
      <c r="AT19" s="94"/>
      <c r="AU19" s="94"/>
      <c r="AV19" s="94"/>
      <c r="AW19" s="94"/>
      <c r="AX19" s="94"/>
      <c r="AY19" s="94"/>
      <c r="AZ19" s="94"/>
      <c r="BA19" s="93"/>
      <c r="BB19" s="94"/>
      <c r="BC19" s="94"/>
      <c r="BD19" s="93"/>
      <c r="BE19" s="93">
        <v>20</v>
      </c>
      <c r="BF19" s="37"/>
      <c r="BG19" s="68">
        <f t="shared" si="1"/>
        <v>1.6747200000000002</v>
      </c>
      <c r="BH19" s="68">
        <f t="shared" si="2"/>
        <v>0.8373600000000001</v>
      </c>
      <c r="BJ19" s="69"/>
    </row>
    <row r="20" spans="1:62" ht="13.5" customHeight="1" x14ac:dyDescent="0.25">
      <c r="A20" s="62"/>
      <c r="B20" s="53" t="s">
        <v>195</v>
      </c>
      <c r="C20" s="54" t="s">
        <v>226</v>
      </c>
      <c r="D20" s="54"/>
      <c r="E20" s="54"/>
      <c r="F20" s="55" t="s">
        <v>227</v>
      </c>
      <c r="G20" s="18"/>
      <c r="H20" s="40"/>
      <c r="I20" s="83"/>
      <c r="J20" s="78"/>
      <c r="K20" s="78"/>
      <c r="L20" s="78"/>
      <c r="M20" s="78"/>
      <c r="N20" s="78"/>
      <c r="O20" s="78"/>
      <c r="P20" s="78"/>
      <c r="Q20" s="83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93">
        <f t="shared" ref="AM20:AM21" si="3">AN20</f>
        <v>10</v>
      </c>
      <c r="AN20" s="94">
        <v>10</v>
      </c>
      <c r="AO20" s="94"/>
      <c r="AP20" s="94"/>
      <c r="AQ20" s="93"/>
      <c r="AR20" s="94"/>
      <c r="AS20" s="94"/>
      <c r="AT20" s="94"/>
      <c r="AU20" s="94"/>
      <c r="AV20" s="94"/>
      <c r="AW20" s="94"/>
      <c r="AX20" s="94"/>
      <c r="AY20" s="94"/>
      <c r="AZ20" s="94"/>
      <c r="BA20" s="93"/>
      <c r="BB20" s="94"/>
      <c r="BC20" s="94"/>
      <c r="BD20" s="93"/>
      <c r="BE20" s="93">
        <v>10</v>
      </c>
      <c r="BF20" s="37"/>
      <c r="BG20" s="68">
        <f>SUM(H20:BE20)/1000*41.868</f>
        <v>1.25604</v>
      </c>
      <c r="BH20" s="68">
        <f t="shared" si="2"/>
        <v>0.8373600000000001</v>
      </c>
      <c r="BJ20" s="69"/>
    </row>
    <row r="21" spans="1:62" ht="13.5" customHeight="1" x14ac:dyDescent="0.25">
      <c r="A21" s="62"/>
      <c r="B21" s="53" t="s">
        <v>195</v>
      </c>
      <c r="C21" s="54" t="s">
        <v>228</v>
      </c>
      <c r="D21" s="54"/>
      <c r="E21" s="54"/>
      <c r="F21" s="55" t="s">
        <v>229</v>
      </c>
      <c r="G21" s="18"/>
      <c r="H21" s="40"/>
      <c r="I21" s="83"/>
      <c r="J21" s="78"/>
      <c r="K21" s="78"/>
      <c r="L21" s="78"/>
      <c r="M21" s="78"/>
      <c r="N21" s="78"/>
      <c r="O21" s="78"/>
      <c r="P21" s="78"/>
      <c r="Q21" s="83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93">
        <f t="shared" si="3"/>
        <v>140</v>
      </c>
      <c r="AN21" s="94">
        <v>140</v>
      </c>
      <c r="AO21" s="94"/>
      <c r="AP21" s="94"/>
      <c r="AQ21" s="93"/>
      <c r="AR21" s="94"/>
      <c r="AS21" s="94"/>
      <c r="AT21" s="94"/>
      <c r="AU21" s="94"/>
      <c r="AV21" s="94"/>
      <c r="AW21" s="94"/>
      <c r="AX21" s="94"/>
      <c r="AY21" s="94"/>
      <c r="AZ21" s="94"/>
      <c r="BA21" s="93"/>
      <c r="BB21" s="94"/>
      <c r="BC21" s="94"/>
      <c r="BD21" s="93"/>
      <c r="BE21" s="93">
        <v>50</v>
      </c>
      <c r="BF21" s="37"/>
      <c r="BG21" s="68">
        <f t="shared" ref="BG21:BG26" si="4">SUM(H21:BE21)/1000*41.868</f>
        <v>13.816440000000002</v>
      </c>
      <c r="BH21" s="68">
        <f t="shared" si="2"/>
        <v>11.723040000000001</v>
      </c>
      <c r="BJ21" s="69"/>
    </row>
    <row r="22" spans="1:62" ht="13.5" customHeight="1" x14ac:dyDescent="0.25">
      <c r="A22" s="62"/>
      <c r="B22" s="53" t="s">
        <v>195</v>
      </c>
      <c r="C22" s="54" t="s">
        <v>230</v>
      </c>
      <c r="D22" s="54"/>
      <c r="E22" s="54"/>
      <c r="F22" s="55" t="s">
        <v>231</v>
      </c>
      <c r="G22" s="18"/>
      <c r="H22" s="40"/>
      <c r="I22" s="83"/>
      <c r="J22" s="78"/>
      <c r="K22" s="78"/>
      <c r="L22" s="78"/>
      <c r="M22" s="78"/>
      <c r="N22" s="78"/>
      <c r="O22" s="78"/>
      <c r="P22" s="78"/>
      <c r="Q22" s="83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93"/>
      <c r="AN22" s="94"/>
      <c r="AO22" s="94"/>
      <c r="AP22" s="94"/>
      <c r="AQ22" s="93"/>
      <c r="AR22" s="94"/>
      <c r="AS22" s="94"/>
      <c r="AT22" s="94"/>
      <c r="AU22" s="94"/>
      <c r="AV22" s="94"/>
      <c r="AW22" s="94"/>
      <c r="AX22" s="94"/>
      <c r="AY22" s="94"/>
      <c r="AZ22" s="94"/>
      <c r="BA22" s="93"/>
      <c r="BB22" s="94"/>
      <c r="BC22" s="94"/>
      <c r="BD22" s="93"/>
      <c r="BE22" s="93"/>
      <c r="BF22" s="37"/>
      <c r="BG22" s="68">
        <f t="shared" si="4"/>
        <v>0</v>
      </c>
      <c r="BH22" s="68">
        <f t="shared" si="2"/>
        <v>0</v>
      </c>
      <c r="BJ22" s="69"/>
    </row>
    <row r="23" spans="1:62" ht="13.5" customHeight="1" x14ac:dyDescent="0.25">
      <c r="A23" s="62"/>
      <c r="B23" s="53" t="s">
        <v>195</v>
      </c>
      <c r="C23" s="54" t="s">
        <v>232</v>
      </c>
      <c r="D23" s="54"/>
      <c r="E23" s="54"/>
      <c r="F23" s="55" t="s">
        <v>233</v>
      </c>
      <c r="G23" s="18"/>
      <c r="H23" s="40"/>
      <c r="I23" s="83"/>
      <c r="J23" s="78"/>
      <c r="K23" s="78"/>
      <c r="L23" s="78"/>
      <c r="M23" s="78"/>
      <c r="N23" s="78"/>
      <c r="O23" s="78"/>
      <c r="P23" s="78"/>
      <c r="Q23" s="83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93"/>
      <c r="AN23" s="94"/>
      <c r="AO23" s="94"/>
      <c r="AP23" s="94"/>
      <c r="AQ23" s="93"/>
      <c r="AR23" s="94"/>
      <c r="AS23" s="94"/>
      <c r="AT23" s="94"/>
      <c r="AU23" s="94"/>
      <c r="AV23" s="94"/>
      <c r="AW23" s="94"/>
      <c r="AX23" s="94"/>
      <c r="AY23" s="94"/>
      <c r="AZ23" s="94"/>
      <c r="BA23" s="93"/>
      <c r="BB23" s="94"/>
      <c r="BC23" s="94"/>
      <c r="BD23" s="93"/>
      <c r="BE23" s="93"/>
      <c r="BF23" s="37"/>
      <c r="BG23" s="68">
        <f t="shared" si="4"/>
        <v>0</v>
      </c>
      <c r="BH23" s="68">
        <f t="shared" si="2"/>
        <v>0</v>
      </c>
      <c r="BJ23" s="69"/>
    </row>
    <row r="24" spans="1:62" ht="13.5" customHeight="1" x14ac:dyDescent="0.25">
      <c r="A24" s="62"/>
      <c r="B24" s="53" t="s">
        <v>195</v>
      </c>
      <c r="C24" s="54" t="s">
        <v>234</v>
      </c>
      <c r="D24" s="54"/>
      <c r="E24" s="54"/>
      <c r="F24" s="55" t="s">
        <v>235</v>
      </c>
      <c r="G24" s="18"/>
      <c r="H24" s="40"/>
      <c r="I24" s="83"/>
      <c r="J24" s="78"/>
      <c r="K24" s="78"/>
      <c r="L24" s="78"/>
      <c r="M24" s="78"/>
      <c r="N24" s="78"/>
      <c r="O24" s="78"/>
      <c r="P24" s="78"/>
      <c r="Q24" s="83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94">
        <v>70</v>
      </c>
      <c r="AF24" s="94">
        <v>5</v>
      </c>
      <c r="AG24" s="78"/>
      <c r="AH24" s="78"/>
      <c r="AI24" s="78"/>
      <c r="AJ24" s="78"/>
      <c r="AK24" s="78"/>
      <c r="AL24" s="78"/>
      <c r="AM24" s="93">
        <f>AN24</f>
        <v>20</v>
      </c>
      <c r="AN24" s="94">
        <v>20</v>
      </c>
      <c r="AO24" s="94"/>
      <c r="AP24" s="94"/>
      <c r="AQ24" s="93"/>
      <c r="AR24" s="94"/>
      <c r="AS24" s="94"/>
      <c r="AT24" s="94"/>
      <c r="AU24" s="94"/>
      <c r="AV24" s="94"/>
      <c r="AW24" s="94"/>
      <c r="AX24" s="94"/>
      <c r="AY24" s="94"/>
      <c r="AZ24" s="94"/>
      <c r="BA24" s="93"/>
      <c r="BB24" s="94"/>
      <c r="BC24" s="94"/>
      <c r="BD24" s="93"/>
      <c r="BE24" s="93">
        <v>50</v>
      </c>
      <c r="BF24" s="37"/>
      <c r="BG24" s="68">
        <f t="shared" si="4"/>
        <v>6.9082200000000009</v>
      </c>
      <c r="BH24" s="68">
        <f t="shared" si="2"/>
        <v>4.8148200000000001</v>
      </c>
      <c r="BJ24" s="69"/>
    </row>
    <row r="25" spans="1:62" ht="13.5" customHeight="1" x14ac:dyDescent="0.25">
      <c r="A25" s="62"/>
      <c r="B25" s="53" t="s">
        <v>195</v>
      </c>
      <c r="C25" s="54" t="s">
        <v>236</v>
      </c>
      <c r="D25" s="54"/>
      <c r="E25" s="54"/>
      <c r="F25" s="55" t="s">
        <v>237</v>
      </c>
      <c r="G25" s="18"/>
      <c r="H25" s="40"/>
      <c r="I25" s="83"/>
      <c r="J25" s="78"/>
      <c r="K25" s="78"/>
      <c r="L25" s="78"/>
      <c r="M25" s="78"/>
      <c r="N25" s="78"/>
      <c r="O25" s="78"/>
      <c r="P25" s="78"/>
      <c r="Q25" s="83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93">
        <f>AN25</f>
        <v>10</v>
      </c>
      <c r="AN25" s="94">
        <v>10</v>
      </c>
      <c r="AO25" s="94"/>
      <c r="AP25" s="94"/>
      <c r="AQ25" s="93"/>
      <c r="AR25" s="94"/>
      <c r="AS25" s="94"/>
      <c r="AT25" s="94"/>
      <c r="AU25" s="94"/>
      <c r="AV25" s="94"/>
      <c r="AW25" s="94"/>
      <c r="AX25" s="94"/>
      <c r="AY25" s="94"/>
      <c r="AZ25" s="94"/>
      <c r="BA25" s="93"/>
      <c r="BB25" s="94"/>
      <c r="BC25" s="94"/>
      <c r="BD25" s="93"/>
      <c r="BE25" s="93">
        <v>10</v>
      </c>
      <c r="BF25" s="37"/>
      <c r="BG25" s="68">
        <f t="shared" si="4"/>
        <v>1.25604</v>
      </c>
      <c r="BH25" s="68">
        <f t="shared" si="2"/>
        <v>0.8373600000000001</v>
      </c>
      <c r="BJ25" s="69"/>
    </row>
    <row r="26" spans="1:62" ht="13.5" customHeight="1" x14ac:dyDescent="0.25">
      <c r="A26" s="62"/>
      <c r="B26" s="53" t="s">
        <v>195</v>
      </c>
      <c r="C26" s="54" t="s">
        <v>238</v>
      </c>
      <c r="D26" s="54"/>
      <c r="E26" s="54"/>
      <c r="F26" s="55" t="s">
        <v>239</v>
      </c>
      <c r="G26" s="18"/>
      <c r="H26" s="40"/>
      <c r="I26" s="83"/>
      <c r="J26" s="78"/>
      <c r="K26" s="78"/>
      <c r="L26" s="78"/>
      <c r="M26" s="78"/>
      <c r="N26" s="78"/>
      <c r="O26" s="78"/>
      <c r="P26" s="78"/>
      <c r="Q26" s="83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94">
        <v>10</v>
      </c>
      <c r="AF26" s="94"/>
      <c r="AG26" s="78"/>
      <c r="AH26" s="78"/>
      <c r="AI26" s="78"/>
      <c r="AJ26" s="78"/>
      <c r="AK26" s="78"/>
      <c r="AL26" s="78"/>
      <c r="AM26" s="93">
        <f>AN26</f>
        <v>10</v>
      </c>
      <c r="AN26" s="94">
        <v>10</v>
      </c>
      <c r="AO26" s="94"/>
      <c r="AP26" s="94"/>
      <c r="AQ26" s="93"/>
      <c r="AR26" s="94"/>
      <c r="AS26" s="94"/>
      <c r="AT26" s="94"/>
      <c r="AU26" s="94"/>
      <c r="AV26" s="94"/>
      <c r="AW26" s="94"/>
      <c r="AX26" s="94"/>
      <c r="AY26" s="94"/>
      <c r="AZ26" s="94"/>
      <c r="BA26" s="93"/>
      <c r="BB26" s="94"/>
      <c r="BC26" s="94"/>
      <c r="BD26" s="93"/>
      <c r="BE26" s="93">
        <v>30</v>
      </c>
      <c r="BF26" s="37"/>
      <c r="BG26" s="68">
        <f t="shared" si="4"/>
        <v>2.5120800000000001</v>
      </c>
      <c r="BH26" s="68">
        <f t="shared" si="2"/>
        <v>1.25604</v>
      </c>
      <c r="BJ26" s="69"/>
    </row>
    <row r="27" spans="1:62" ht="13.5" customHeight="1" x14ac:dyDescent="0.25">
      <c r="A27" s="53" t="s">
        <v>195</v>
      </c>
      <c r="B27" s="54" t="s">
        <v>240</v>
      </c>
      <c r="C27" s="54"/>
      <c r="D27" s="54"/>
      <c r="E27" s="54"/>
      <c r="F27" s="55" t="s">
        <v>241</v>
      </c>
      <c r="G27" s="18"/>
      <c r="H27" s="40"/>
      <c r="I27" s="75"/>
      <c r="J27" s="76"/>
      <c r="K27" s="86"/>
      <c r="L27" s="76"/>
      <c r="M27" s="86"/>
      <c r="N27" s="76"/>
      <c r="O27" s="76"/>
      <c r="P27" s="76"/>
      <c r="Q27" s="75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5"/>
      <c r="AN27" s="76"/>
      <c r="AO27" s="76"/>
      <c r="AP27" s="76"/>
      <c r="AQ27" s="75"/>
      <c r="AR27" s="76"/>
      <c r="AS27" s="76"/>
      <c r="AT27" s="76"/>
      <c r="AU27" s="76"/>
      <c r="AV27" s="76"/>
      <c r="AW27" s="76"/>
      <c r="AX27" s="76"/>
      <c r="AY27" s="76"/>
      <c r="AZ27" s="76"/>
      <c r="BA27" s="75"/>
      <c r="BB27" s="76"/>
      <c r="BC27" s="76"/>
      <c r="BD27" s="75"/>
      <c r="BE27" s="75"/>
      <c r="BF27" s="37"/>
    </row>
    <row r="28" spans="1:62" ht="13.5" customHeight="1" x14ac:dyDescent="0.25">
      <c r="A28" s="62"/>
      <c r="B28" s="53" t="s">
        <v>195</v>
      </c>
      <c r="C28" s="54" t="s">
        <v>242</v>
      </c>
      <c r="D28" s="54"/>
      <c r="E28" s="54"/>
      <c r="F28" s="55" t="s">
        <v>243</v>
      </c>
      <c r="G28" s="18"/>
      <c r="H28" s="40"/>
      <c r="I28" s="75"/>
      <c r="J28" s="76"/>
      <c r="K28" s="76"/>
      <c r="L28" s="76"/>
      <c r="M28" s="76"/>
      <c r="N28" s="76"/>
      <c r="O28" s="76"/>
      <c r="P28" s="76"/>
      <c r="Q28" s="75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5"/>
      <c r="AN28" s="76"/>
      <c r="AO28" s="76"/>
      <c r="AP28" s="76"/>
      <c r="AQ28" s="75"/>
      <c r="AR28" s="76"/>
      <c r="AS28" s="76"/>
      <c r="AT28" s="76"/>
      <c r="AU28" s="76"/>
      <c r="AV28" s="76"/>
      <c r="AW28" s="76"/>
      <c r="AX28" s="76"/>
      <c r="AY28" s="76"/>
      <c r="AZ28" s="76"/>
      <c r="BA28" s="75"/>
      <c r="BB28" s="76"/>
      <c r="BC28" s="76"/>
      <c r="BD28" s="75"/>
      <c r="BE28" s="75"/>
      <c r="BF28" s="37"/>
    </row>
    <row r="29" spans="1:62" ht="13.5" customHeight="1" x14ac:dyDescent="0.25">
      <c r="A29" s="62"/>
      <c r="B29" s="53" t="s">
        <v>195</v>
      </c>
      <c r="C29" s="54" t="s">
        <v>244</v>
      </c>
      <c r="D29" s="54"/>
      <c r="E29" s="54"/>
      <c r="F29" s="55" t="s">
        <v>245</v>
      </c>
      <c r="G29" s="18"/>
      <c r="H29" s="40"/>
      <c r="I29" s="75"/>
      <c r="J29" s="76"/>
      <c r="K29" s="76"/>
      <c r="L29" s="76"/>
      <c r="M29" s="76"/>
      <c r="N29" s="76"/>
      <c r="O29" s="76"/>
      <c r="P29" s="76"/>
      <c r="Q29" s="75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5"/>
      <c r="AN29" s="76"/>
      <c r="AO29" s="76"/>
      <c r="AP29" s="76"/>
      <c r="AQ29" s="75"/>
      <c r="AR29" s="76"/>
      <c r="AS29" s="76"/>
      <c r="AT29" s="76"/>
      <c r="AU29" s="76"/>
      <c r="AV29" s="76"/>
      <c r="AW29" s="76"/>
      <c r="AX29" s="76"/>
      <c r="AY29" s="76"/>
      <c r="AZ29" s="76"/>
      <c r="BA29" s="75"/>
      <c r="BB29" s="76"/>
      <c r="BC29" s="76"/>
      <c r="BD29" s="75"/>
      <c r="BE29" s="75"/>
      <c r="BF29" s="37"/>
    </row>
    <row r="30" spans="1:62" ht="13.5" customHeight="1" x14ac:dyDescent="0.25">
      <c r="A30" s="62"/>
      <c r="B30" s="53" t="s">
        <v>195</v>
      </c>
      <c r="C30" s="54" t="s">
        <v>246</v>
      </c>
      <c r="D30" s="54"/>
      <c r="E30" s="54"/>
      <c r="F30" s="55" t="s">
        <v>247</v>
      </c>
      <c r="G30" s="18"/>
      <c r="H30" s="40"/>
      <c r="I30" s="75"/>
      <c r="J30" s="76"/>
      <c r="K30" s="76"/>
      <c r="L30" s="76"/>
      <c r="M30" s="76"/>
      <c r="N30" s="76"/>
      <c r="O30" s="76"/>
      <c r="P30" s="76"/>
      <c r="Q30" s="75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5"/>
      <c r="AN30" s="76"/>
      <c r="AO30" s="76"/>
      <c r="AP30" s="76"/>
      <c r="AQ30" s="75"/>
      <c r="AR30" s="76"/>
      <c r="AS30" s="76"/>
      <c r="AT30" s="76"/>
      <c r="AU30" s="76"/>
      <c r="AV30" s="76"/>
      <c r="AW30" s="76"/>
      <c r="AX30" s="76"/>
      <c r="AY30" s="76"/>
      <c r="AZ30" s="76"/>
      <c r="BA30" s="75"/>
      <c r="BB30" s="76"/>
      <c r="BC30" s="76"/>
      <c r="BD30" s="75"/>
      <c r="BE30" s="75"/>
      <c r="BF30" s="37"/>
    </row>
    <row r="31" spans="1:62" ht="13.5" customHeight="1" x14ac:dyDescent="0.25">
      <c r="A31" s="62"/>
      <c r="B31" s="53" t="s">
        <v>195</v>
      </c>
      <c r="C31" s="54" t="s">
        <v>248</v>
      </c>
      <c r="D31" s="54"/>
      <c r="E31" s="54"/>
      <c r="F31" s="55" t="s">
        <v>249</v>
      </c>
      <c r="G31" s="18"/>
      <c r="H31" s="40"/>
      <c r="I31" s="75"/>
      <c r="J31" s="76"/>
      <c r="K31" s="76"/>
      <c r="L31" s="76"/>
      <c r="M31" s="76"/>
      <c r="N31" s="76"/>
      <c r="O31" s="76"/>
      <c r="P31" s="76"/>
      <c r="Q31" s="75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5"/>
      <c r="AN31" s="76"/>
      <c r="AO31" s="76"/>
      <c r="AP31" s="76"/>
      <c r="AQ31" s="75"/>
      <c r="AR31" s="76"/>
      <c r="AS31" s="76"/>
      <c r="AT31" s="76"/>
      <c r="AU31" s="76"/>
      <c r="AV31" s="76"/>
      <c r="AW31" s="76"/>
      <c r="AX31" s="76"/>
      <c r="AY31" s="76"/>
      <c r="AZ31" s="76"/>
      <c r="BA31" s="75"/>
      <c r="BB31" s="76"/>
      <c r="BC31" s="76"/>
      <c r="BD31" s="75"/>
      <c r="BE31" s="75"/>
      <c r="BF31" s="37"/>
    </row>
    <row r="32" spans="1:62" ht="13.5" customHeight="1" x14ac:dyDescent="0.25">
      <c r="A32" s="62"/>
      <c r="B32" s="53" t="s">
        <v>195</v>
      </c>
      <c r="C32" s="54" t="s">
        <v>250</v>
      </c>
      <c r="D32" s="54"/>
      <c r="E32" s="54"/>
      <c r="F32" s="55" t="s">
        <v>251</v>
      </c>
      <c r="G32" s="18"/>
      <c r="H32" s="40"/>
      <c r="I32" s="75"/>
      <c r="J32" s="76"/>
      <c r="K32" s="76"/>
      <c r="L32" s="76"/>
      <c r="M32" s="76"/>
      <c r="N32" s="76"/>
      <c r="O32" s="76"/>
      <c r="P32" s="76"/>
      <c r="Q32" s="75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5"/>
      <c r="AN32" s="76"/>
      <c r="AO32" s="76"/>
      <c r="AP32" s="76"/>
      <c r="AQ32" s="75"/>
      <c r="AR32" s="76"/>
      <c r="AS32" s="76"/>
      <c r="AT32" s="76"/>
      <c r="AU32" s="76"/>
      <c r="AV32" s="76"/>
      <c r="AW32" s="76"/>
      <c r="AX32" s="76"/>
      <c r="AY32" s="76"/>
      <c r="AZ32" s="76"/>
      <c r="BA32" s="75"/>
      <c r="BB32" s="76"/>
      <c r="BC32" s="76"/>
      <c r="BD32" s="75"/>
      <c r="BE32" s="75"/>
      <c r="BF32" s="37"/>
    </row>
    <row r="33" spans="1:58" ht="13.5" customHeight="1" x14ac:dyDescent="0.25">
      <c r="A33" s="62"/>
      <c r="B33" s="53" t="s">
        <v>195</v>
      </c>
      <c r="C33" s="54" t="s">
        <v>252</v>
      </c>
      <c r="D33" s="54"/>
      <c r="E33" s="54"/>
      <c r="F33" s="55" t="s">
        <v>253</v>
      </c>
      <c r="G33" s="18"/>
      <c r="H33" s="40"/>
      <c r="I33" s="75"/>
      <c r="J33" s="76"/>
      <c r="K33" s="76"/>
      <c r="L33" s="76"/>
      <c r="M33" s="76"/>
      <c r="N33" s="76"/>
      <c r="O33" s="76"/>
      <c r="P33" s="76"/>
      <c r="Q33" s="75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5"/>
      <c r="AN33" s="76"/>
      <c r="AO33" s="76"/>
      <c r="AP33" s="76"/>
      <c r="AQ33" s="75"/>
      <c r="AR33" s="76"/>
      <c r="AS33" s="76"/>
      <c r="AT33" s="76"/>
      <c r="AU33" s="76"/>
      <c r="AV33" s="76"/>
      <c r="AW33" s="76"/>
      <c r="AX33" s="76"/>
      <c r="AY33" s="76"/>
      <c r="AZ33" s="76"/>
      <c r="BA33" s="75"/>
      <c r="BB33" s="76"/>
      <c r="BC33" s="76"/>
      <c r="BD33" s="75"/>
      <c r="BE33" s="75"/>
      <c r="BF33" s="37"/>
    </row>
    <row r="34" spans="1:58" ht="13.5" customHeight="1" x14ac:dyDescent="0.25">
      <c r="A34" s="62"/>
      <c r="B34" s="53" t="s">
        <v>195</v>
      </c>
      <c r="C34" s="54" t="s">
        <v>254</v>
      </c>
      <c r="D34" s="54"/>
      <c r="E34" s="54"/>
      <c r="F34" s="55" t="s">
        <v>255</v>
      </c>
      <c r="G34" s="18"/>
      <c r="H34" s="40"/>
      <c r="I34" s="75"/>
      <c r="J34" s="76"/>
      <c r="K34" s="76"/>
      <c r="L34" s="76"/>
      <c r="M34" s="76"/>
      <c r="N34" s="76"/>
      <c r="O34" s="76"/>
      <c r="P34" s="76"/>
      <c r="Q34" s="75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5"/>
      <c r="AN34" s="76"/>
      <c r="AO34" s="76"/>
      <c r="AP34" s="76"/>
      <c r="AQ34" s="75"/>
      <c r="AR34" s="76"/>
      <c r="AS34" s="76"/>
      <c r="AT34" s="76"/>
      <c r="AU34" s="76"/>
      <c r="AV34" s="76"/>
      <c r="AW34" s="76"/>
      <c r="AX34" s="76"/>
      <c r="AY34" s="76"/>
      <c r="AZ34" s="76"/>
      <c r="BA34" s="75"/>
      <c r="BB34" s="76"/>
      <c r="BC34" s="76"/>
      <c r="BD34" s="75"/>
      <c r="BE34" s="75"/>
      <c r="BF34" s="37"/>
    </row>
    <row r="35" spans="1:58" ht="13.5" customHeight="1" x14ac:dyDescent="0.25">
      <c r="A35" s="53" t="s">
        <v>195</v>
      </c>
      <c r="B35" s="54" t="s">
        <v>256</v>
      </c>
      <c r="C35" s="54"/>
      <c r="D35" s="54"/>
      <c r="E35" s="54"/>
      <c r="F35" s="55" t="s">
        <v>257</v>
      </c>
      <c r="G35" s="18"/>
      <c r="H35" s="40"/>
      <c r="I35" s="75"/>
      <c r="J35" s="76"/>
      <c r="K35" s="76"/>
      <c r="L35" s="76"/>
      <c r="M35" s="76"/>
      <c r="N35" s="76"/>
      <c r="O35" s="76"/>
      <c r="P35" s="76"/>
      <c r="Q35" s="75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5"/>
      <c r="AN35" s="76"/>
      <c r="AO35" s="76"/>
      <c r="AP35" s="76"/>
      <c r="AQ35" s="75"/>
      <c r="AR35" s="76"/>
      <c r="AS35" s="76"/>
      <c r="AT35" s="76"/>
      <c r="AU35" s="76"/>
      <c r="AV35" s="76"/>
      <c r="AW35" s="76"/>
      <c r="AX35" s="76"/>
      <c r="AY35" s="76"/>
      <c r="AZ35" s="76"/>
      <c r="BA35" s="75"/>
      <c r="BB35" s="76"/>
      <c r="BC35" s="76"/>
      <c r="BD35" s="75"/>
      <c r="BE35" s="75"/>
      <c r="BF35" s="37"/>
    </row>
    <row r="36" spans="1:58" x14ac:dyDescent="0.25">
      <c r="A36" s="62"/>
      <c r="B36" s="53" t="s">
        <v>195</v>
      </c>
      <c r="C36" s="54" t="s">
        <v>258</v>
      </c>
      <c r="D36" s="54"/>
      <c r="E36" s="54"/>
      <c r="F36" s="55" t="s">
        <v>259</v>
      </c>
      <c r="G36" s="18"/>
      <c r="H36" s="40"/>
      <c r="I36" s="75"/>
      <c r="J36" s="76"/>
      <c r="K36" s="76"/>
      <c r="L36" s="76"/>
      <c r="M36" s="76"/>
      <c r="N36" s="76"/>
      <c r="O36" s="76"/>
      <c r="P36" s="76"/>
      <c r="Q36" s="75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5"/>
      <c r="AN36" s="76"/>
      <c r="AO36" s="76"/>
      <c r="AP36" s="76"/>
      <c r="AQ36" s="75"/>
      <c r="AR36" s="76"/>
      <c r="AS36" s="76"/>
      <c r="AT36" s="76"/>
      <c r="AU36" s="76"/>
      <c r="AV36" s="76"/>
      <c r="AW36" s="76"/>
      <c r="AX36" s="76"/>
      <c r="AY36" s="76"/>
      <c r="AZ36" s="76"/>
      <c r="BA36" s="75"/>
      <c r="BB36" s="76"/>
      <c r="BC36" s="76"/>
      <c r="BD36" s="75"/>
      <c r="BE36" s="75"/>
      <c r="BF36" s="37"/>
    </row>
    <row r="37" spans="1:58" x14ac:dyDescent="0.25">
      <c r="A37" s="62"/>
      <c r="B37" s="53" t="s">
        <v>195</v>
      </c>
      <c r="C37" s="54" t="s">
        <v>260</v>
      </c>
      <c r="D37" s="54"/>
      <c r="E37" s="54"/>
      <c r="F37" s="55" t="s">
        <v>261</v>
      </c>
      <c r="G37" s="18"/>
      <c r="H37" s="40"/>
      <c r="I37" s="75"/>
      <c r="J37" s="76"/>
      <c r="K37" s="76"/>
      <c r="L37" s="76"/>
      <c r="M37" s="76"/>
      <c r="N37" s="76"/>
      <c r="O37" s="76"/>
      <c r="P37" s="76"/>
      <c r="Q37" s="75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5"/>
      <c r="AN37" s="76"/>
      <c r="AO37" s="76"/>
      <c r="AP37" s="76"/>
      <c r="AQ37" s="75"/>
      <c r="AR37" s="76"/>
      <c r="AS37" s="76"/>
      <c r="AT37" s="76"/>
      <c r="AU37" s="76"/>
      <c r="AV37" s="76"/>
      <c r="AW37" s="76"/>
      <c r="AX37" s="76"/>
      <c r="AY37" s="76"/>
      <c r="AZ37" s="76"/>
      <c r="BA37" s="75"/>
      <c r="BB37" s="76"/>
      <c r="BC37" s="76"/>
      <c r="BD37" s="75"/>
      <c r="BE37" s="75"/>
      <c r="BF37" s="37"/>
    </row>
    <row r="38" spans="1:58" x14ac:dyDescent="0.25">
      <c r="A38" s="62"/>
      <c r="B38" s="53" t="s">
        <v>195</v>
      </c>
      <c r="C38" s="54" t="s">
        <v>262</v>
      </c>
      <c r="D38" s="54"/>
      <c r="E38" s="54"/>
      <c r="F38" s="55" t="s">
        <v>263</v>
      </c>
      <c r="G38" s="18"/>
      <c r="H38" s="40"/>
      <c r="I38" s="75"/>
      <c r="J38" s="76"/>
      <c r="K38" s="76"/>
      <c r="L38" s="76"/>
      <c r="M38" s="76"/>
      <c r="N38" s="76"/>
      <c r="O38" s="76"/>
      <c r="P38" s="76"/>
      <c r="Q38" s="75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5"/>
      <c r="AN38" s="76"/>
      <c r="AO38" s="76"/>
      <c r="AP38" s="76"/>
      <c r="AQ38" s="75"/>
      <c r="AR38" s="76"/>
      <c r="AS38" s="76"/>
      <c r="AT38" s="76"/>
      <c r="AU38" s="76"/>
      <c r="AV38" s="76"/>
      <c r="AW38" s="76"/>
      <c r="AX38" s="76"/>
      <c r="AY38" s="76"/>
      <c r="AZ38" s="76"/>
      <c r="BA38" s="75"/>
      <c r="BB38" s="76"/>
      <c r="BC38" s="76"/>
      <c r="BD38" s="75"/>
      <c r="BE38" s="75"/>
      <c r="BF38" s="37"/>
    </row>
    <row r="39" spans="1:58" x14ac:dyDescent="0.25">
      <c r="A39" s="62"/>
      <c r="B39" s="53" t="s">
        <v>195</v>
      </c>
      <c r="C39" s="54" t="s">
        <v>264</v>
      </c>
      <c r="D39" s="54"/>
      <c r="E39" s="54"/>
      <c r="F39" s="55" t="s">
        <v>265</v>
      </c>
      <c r="G39" s="18"/>
      <c r="H39" s="30"/>
      <c r="I39" s="87"/>
      <c r="J39" s="88"/>
      <c r="K39" s="88"/>
      <c r="L39" s="88"/>
      <c r="M39" s="88"/>
      <c r="N39" s="88"/>
      <c r="O39" s="88"/>
      <c r="P39" s="88"/>
      <c r="Q39" s="87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  <c r="AI39" s="88"/>
      <c r="AJ39" s="88"/>
      <c r="AK39" s="88"/>
      <c r="AL39" s="88"/>
      <c r="AM39" s="87"/>
      <c r="AN39" s="88"/>
      <c r="AO39" s="88"/>
      <c r="AP39" s="88"/>
      <c r="AQ39" s="87"/>
      <c r="AR39" s="88"/>
      <c r="AS39" s="88"/>
      <c r="AT39" s="88"/>
      <c r="AU39" s="88"/>
      <c r="AV39" s="88"/>
      <c r="AW39" s="88"/>
      <c r="AX39" s="88"/>
      <c r="AY39" s="88"/>
      <c r="AZ39" s="88"/>
      <c r="BA39" s="87"/>
      <c r="BB39" s="88"/>
      <c r="BC39" s="88"/>
      <c r="BD39" s="87"/>
      <c r="BE39" s="87"/>
    </row>
    <row r="40" spans="1:58" x14ac:dyDescent="0.25">
      <c r="A40" s="63"/>
      <c r="B40" s="64" t="s">
        <v>195</v>
      </c>
      <c r="C40" s="65" t="s">
        <v>266</v>
      </c>
      <c r="D40" s="65"/>
      <c r="E40" s="65"/>
      <c r="F40" s="66" t="s">
        <v>267</v>
      </c>
      <c r="G40" s="21"/>
      <c r="H40" s="31"/>
      <c r="I40" s="89"/>
      <c r="J40" s="90"/>
      <c r="K40" s="90"/>
      <c r="L40" s="90"/>
      <c r="M40" s="90"/>
      <c r="N40" s="90"/>
      <c r="O40" s="90"/>
      <c r="P40" s="90"/>
      <c r="Q40" s="89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0"/>
      <c r="AM40" s="89"/>
      <c r="AN40" s="90"/>
      <c r="AO40" s="90"/>
      <c r="AP40" s="90"/>
      <c r="AQ40" s="89"/>
      <c r="AR40" s="90"/>
      <c r="AS40" s="90"/>
      <c r="AT40" s="90"/>
      <c r="AU40" s="90"/>
      <c r="AV40" s="90"/>
      <c r="AW40" s="90"/>
      <c r="AX40" s="90"/>
      <c r="AY40" s="90"/>
      <c r="AZ40" s="90"/>
      <c r="BA40" s="89"/>
      <c r="BB40" s="90"/>
      <c r="BC40" s="90"/>
      <c r="BD40" s="89"/>
      <c r="BE40" s="89"/>
    </row>
    <row r="41" spans="1:58" x14ac:dyDescent="0.25">
      <c r="A41" s="48" t="s">
        <v>268</v>
      </c>
      <c r="B41" s="48"/>
      <c r="C41" s="48"/>
      <c r="D41" s="48"/>
      <c r="E41" s="48"/>
      <c r="F41" s="49" t="s">
        <v>269</v>
      </c>
      <c r="G41" s="16"/>
      <c r="H41" s="27"/>
      <c r="I41" s="28"/>
      <c r="J41" s="29"/>
      <c r="K41" s="29"/>
      <c r="L41" s="29"/>
      <c r="M41" s="29"/>
      <c r="N41" s="29"/>
      <c r="O41" s="29"/>
      <c r="P41" s="29"/>
      <c r="Q41" s="28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8"/>
      <c r="AN41" s="29"/>
      <c r="AO41" s="29"/>
      <c r="AP41" s="29"/>
      <c r="AQ41" s="28"/>
      <c r="AR41" s="29"/>
      <c r="AS41" s="29"/>
      <c r="AT41" s="29"/>
      <c r="AU41" s="29"/>
      <c r="AV41" s="29"/>
      <c r="AW41" s="29"/>
      <c r="AX41" s="29"/>
      <c r="AY41" s="29"/>
      <c r="AZ41" s="29"/>
      <c r="BA41" s="28"/>
      <c r="BB41" s="29"/>
      <c r="BC41" s="29"/>
      <c r="BD41" s="28"/>
      <c r="BE41" s="28"/>
    </row>
    <row r="42" spans="1:58" x14ac:dyDescent="0.25"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25"/>
  <sheetViews>
    <sheetView topLeftCell="C1" zoomScale="70" zoomScaleNormal="70" workbookViewId="0">
      <selection activeCell="C1" sqref="A1:XFD1048576"/>
    </sheetView>
  </sheetViews>
  <sheetFormatPr defaultColWidth="13.44140625" defaultRowHeight="13.8" x14ac:dyDescent="0.25"/>
  <cols>
    <col min="1" max="1" width="5" style="99" bestFit="1" customWidth="1"/>
    <col min="2" max="2" width="72.5546875" style="99" bestFit="1" customWidth="1"/>
    <col min="3" max="4" width="18" style="99" customWidth="1"/>
    <col min="5" max="6" width="17.44140625" style="99" customWidth="1"/>
    <col min="7" max="20" width="18" style="99" customWidth="1"/>
    <col min="21" max="21" width="13.44140625" style="99" customWidth="1"/>
    <col min="22" max="22" width="15.33203125" style="99" bestFit="1" customWidth="1"/>
    <col min="23" max="24" width="17.5546875" style="99" customWidth="1"/>
    <col min="25" max="26" width="16.6640625" style="99" customWidth="1"/>
    <col min="27" max="27" width="16.44140625" style="99" customWidth="1"/>
    <col min="28" max="16384" width="13.44140625" style="99"/>
  </cols>
  <sheetData>
    <row r="1" spans="1:37" s="296" customFormat="1" x14ac:dyDescent="0.25">
      <c r="A1" s="108"/>
      <c r="B1" s="108" t="s">
        <v>351</v>
      </c>
      <c r="D1" s="99"/>
    </row>
    <row r="2" spans="1:37" s="296" customFormat="1" x14ac:dyDescent="0.25">
      <c r="A2" s="108"/>
      <c r="B2" s="108"/>
      <c r="C2" s="99"/>
      <c r="D2" s="99"/>
    </row>
    <row r="3" spans="1:37" s="296" customFormat="1" ht="19.5" customHeight="1" x14ac:dyDescent="0.25">
      <c r="A3" s="108"/>
      <c r="B3" s="108"/>
      <c r="C3" s="297"/>
      <c r="D3" s="297"/>
      <c r="E3" s="297"/>
      <c r="F3" s="297"/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7"/>
      <c r="R3" s="297"/>
      <c r="S3" s="297"/>
      <c r="T3" s="297"/>
    </row>
    <row r="4" spans="1:37" s="301" customFormat="1" ht="31.5" customHeight="1" thickBot="1" x14ac:dyDescent="0.3">
      <c r="A4" s="108"/>
      <c r="B4" s="435" t="s">
        <v>270</v>
      </c>
      <c r="C4" s="135" t="s">
        <v>625</v>
      </c>
      <c r="D4" s="135" t="s">
        <v>626</v>
      </c>
      <c r="E4" s="135" t="s">
        <v>155</v>
      </c>
      <c r="F4" s="135" t="s">
        <v>57</v>
      </c>
      <c r="G4" s="135" t="s">
        <v>156</v>
      </c>
      <c r="H4" s="135" t="s">
        <v>163</v>
      </c>
      <c r="I4" s="135" t="s">
        <v>164</v>
      </c>
      <c r="J4" s="135" t="s">
        <v>168</v>
      </c>
      <c r="K4" s="135" t="s">
        <v>169</v>
      </c>
      <c r="L4" s="135" t="s">
        <v>77</v>
      </c>
      <c r="M4" s="135" t="s">
        <v>172</v>
      </c>
      <c r="N4" s="135" t="s">
        <v>174</v>
      </c>
      <c r="O4" s="135" t="s">
        <v>176</v>
      </c>
      <c r="P4" s="135" t="s">
        <v>182</v>
      </c>
      <c r="Q4" s="135" t="s">
        <v>94</v>
      </c>
      <c r="R4" s="135" t="s">
        <v>183</v>
      </c>
      <c r="S4" s="135" t="s">
        <v>189</v>
      </c>
      <c r="T4" s="135" t="s">
        <v>190</v>
      </c>
      <c r="U4" s="120"/>
      <c r="V4" s="296"/>
      <c r="W4" s="296"/>
      <c r="X4" s="296"/>
      <c r="Y4" s="296"/>
      <c r="Z4" s="296"/>
      <c r="AA4" s="296"/>
      <c r="AB4" s="296"/>
      <c r="AC4" s="296"/>
      <c r="AD4" s="296"/>
      <c r="AE4" s="296"/>
      <c r="AF4" s="296"/>
      <c r="AG4" s="296"/>
      <c r="AH4" s="296"/>
      <c r="AI4" s="296"/>
      <c r="AJ4" s="296"/>
      <c r="AK4" s="296"/>
    </row>
    <row r="5" spans="1:37" s="296" customFormat="1" x14ac:dyDescent="0.25">
      <c r="A5" s="99"/>
      <c r="B5" s="436" t="s">
        <v>214</v>
      </c>
      <c r="C5" s="304">
        <f>'En.Bal-Final_Energy'!K14/1000*41.868</f>
        <v>0</v>
      </c>
      <c r="D5" s="304"/>
      <c r="E5" s="304">
        <f>'En.Bal-Final_Energy'!M14/1000*41.868</f>
        <v>0</v>
      </c>
      <c r="F5" s="304">
        <f>'En.Bal-Final_Energy'!N14/1000*41.868</f>
        <v>2.5120800000000001</v>
      </c>
      <c r="G5" s="304"/>
      <c r="H5" s="304">
        <f>'En.Bal-Final_Energy'!X14/1000*41.868</f>
        <v>0</v>
      </c>
      <c r="I5" s="304">
        <f>'En.Bal-Final_Energy'!Y14/1000*41.868</f>
        <v>0</v>
      </c>
      <c r="J5" s="304">
        <f>'En.Bal-Final_Energy'!AE14/1000*41.868</f>
        <v>0</v>
      </c>
      <c r="K5" s="304">
        <f>'En.Bal-Final_Energy'!AF14/1000*41.868</f>
        <v>0</v>
      </c>
      <c r="L5" s="304"/>
      <c r="M5" s="304"/>
      <c r="N5" s="304">
        <f>'En.Bal-Final_Energy'!AN14/1000*41.868</f>
        <v>1.25604</v>
      </c>
      <c r="O5" s="304">
        <f>'En.Bal-Final_Energy'!AP14/1000*41.868</f>
        <v>0</v>
      </c>
      <c r="P5" s="304"/>
      <c r="Q5" s="304"/>
      <c r="R5" s="304"/>
      <c r="S5" s="304">
        <f>'En.Bal-Final_Energy'!BD14/1000*41.868</f>
        <v>0</v>
      </c>
      <c r="T5" s="304">
        <f>'En.Bal-Final_Energy'!BE14/1000*41.868</f>
        <v>1.25604</v>
      </c>
      <c r="V5" s="437">
        <f>SUM(C5:T5)</f>
        <v>5.0241600000000002</v>
      </c>
      <c r="W5" s="437">
        <f>'En.Bal-Final_Energy'!BG14</f>
        <v>6.2801999999999998</v>
      </c>
      <c r="X5" s="437"/>
    </row>
    <row r="6" spans="1:37" ht="14.4" thickBot="1" x14ac:dyDescent="0.3">
      <c r="C6" s="308" t="str">
        <f>Commodities!D46</f>
        <v>INDCOABIC</v>
      </c>
      <c r="D6" s="308" t="str">
        <f>Commodities!D47</f>
        <v>INDCOASUB</v>
      </c>
      <c r="E6" s="308" t="str">
        <f>Commodities!D48</f>
        <v>INDCOABCO</v>
      </c>
      <c r="F6" s="308" t="str">
        <f>Commodities!D49</f>
        <v>INDCOACOC</v>
      </c>
      <c r="G6" s="308" t="str">
        <f>Commodities!D51</f>
        <v>INDCOABKB</v>
      </c>
      <c r="H6" s="308" t="str">
        <f>Commodities!D54</f>
        <v>INDOILLPG</v>
      </c>
      <c r="I6" s="308" t="str">
        <f>Commodities!D53</f>
        <v>INDOILGSL</v>
      </c>
      <c r="J6" s="308" t="str">
        <f>Commodities!D52</f>
        <v>INDOILDSL</v>
      </c>
      <c r="K6" s="308" t="str">
        <f>Commodities!D56</f>
        <v>INDOILHFO</v>
      </c>
      <c r="L6" s="308" t="str">
        <f>Commodities!D59</f>
        <v>INDOILPCK</v>
      </c>
      <c r="M6" s="308" t="str">
        <f>Commodities!D60</f>
        <v>INDOILOTH</v>
      </c>
      <c r="N6" s="308" t="str">
        <f>Commodities!D61</f>
        <v>INDGASNAT</v>
      </c>
      <c r="O6" s="308" t="str">
        <f>Commodities!D62</f>
        <v>INDGASBFG</v>
      </c>
      <c r="P6" s="308" t="str">
        <f>Commodities!D63</f>
        <v>INDBIOLOG</v>
      </c>
      <c r="Q6" s="308" t="str">
        <f>Commodities!D71</f>
        <v>INDBIOCHR</v>
      </c>
      <c r="R6" s="308" t="str">
        <f>Commodities!D69</f>
        <v>INDBIOBGS</v>
      </c>
      <c r="S6" s="308" t="str">
        <f>Commodities!D78</f>
        <v>INDHTH</v>
      </c>
      <c r="T6" s="308" t="str">
        <f>Commodities!D77</f>
        <v>INDELC</v>
      </c>
      <c r="V6" s="296"/>
      <c r="W6" s="296"/>
      <c r="X6" s="296"/>
      <c r="Y6" s="296"/>
      <c r="Z6" s="296"/>
      <c r="AA6" s="296"/>
      <c r="AB6" s="296"/>
      <c r="AC6" s="296"/>
      <c r="AD6" s="296"/>
      <c r="AE6" s="296"/>
      <c r="AF6" s="296"/>
      <c r="AG6" s="296"/>
      <c r="AH6" s="296"/>
      <c r="AI6" s="296"/>
      <c r="AJ6" s="296"/>
      <c r="AK6" s="296"/>
    </row>
    <row r="7" spans="1:37" x14ac:dyDescent="0.25">
      <c r="V7" s="296"/>
      <c r="W7" s="296"/>
      <c r="X7" s="296"/>
      <c r="Y7" s="296"/>
      <c r="Z7" s="296"/>
      <c r="AA7" s="296"/>
      <c r="AB7" s="296"/>
      <c r="AC7" s="296"/>
      <c r="AD7" s="296"/>
      <c r="AE7" s="296"/>
      <c r="AF7" s="296"/>
      <c r="AG7" s="296"/>
      <c r="AH7" s="296"/>
      <c r="AI7" s="296"/>
      <c r="AJ7" s="296"/>
      <c r="AK7" s="296"/>
    </row>
    <row r="8" spans="1:37" x14ac:dyDescent="0.25">
      <c r="B8" s="438" t="s">
        <v>272</v>
      </c>
      <c r="C8" s="439" t="str">
        <f>C6</f>
        <v>INDCOABIC</v>
      </c>
      <c r="D8" s="439" t="str">
        <f t="shared" ref="D8:T8" si="0">D6</f>
        <v>INDCOASUB</v>
      </c>
      <c r="E8" s="439" t="str">
        <f t="shared" si="0"/>
        <v>INDCOABCO</v>
      </c>
      <c r="F8" s="439" t="str">
        <f t="shared" si="0"/>
        <v>INDCOACOC</v>
      </c>
      <c r="G8" s="439" t="str">
        <f t="shared" si="0"/>
        <v>INDCOABKB</v>
      </c>
      <c r="H8" s="439" t="str">
        <f t="shared" si="0"/>
        <v>INDOILLPG</v>
      </c>
      <c r="I8" s="439" t="str">
        <f t="shared" si="0"/>
        <v>INDOILGSL</v>
      </c>
      <c r="J8" s="439" t="str">
        <f t="shared" si="0"/>
        <v>INDOILDSL</v>
      </c>
      <c r="K8" s="439" t="str">
        <f t="shared" si="0"/>
        <v>INDOILHFO</v>
      </c>
      <c r="L8" s="439" t="str">
        <f t="shared" si="0"/>
        <v>INDOILPCK</v>
      </c>
      <c r="M8" s="439" t="str">
        <f t="shared" si="0"/>
        <v>INDOILOTH</v>
      </c>
      <c r="N8" s="439" t="str">
        <f t="shared" si="0"/>
        <v>INDGASNAT</v>
      </c>
      <c r="O8" s="439" t="str">
        <f t="shared" si="0"/>
        <v>INDGASBFG</v>
      </c>
      <c r="P8" s="439" t="str">
        <f t="shared" si="0"/>
        <v>INDBIOLOG</v>
      </c>
      <c r="Q8" s="439" t="str">
        <f t="shared" si="0"/>
        <v>INDBIOCHR</v>
      </c>
      <c r="R8" s="439" t="str">
        <f t="shared" si="0"/>
        <v>INDBIOBGS</v>
      </c>
      <c r="S8" s="439" t="str">
        <f t="shared" si="0"/>
        <v>INDHTH</v>
      </c>
      <c r="T8" s="439" t="str">
        <f t="shared" si="0"/>
        <v>INDELC</v>
      </c>
    </row>
    <row r="9" spans="1:37" x14ac:dyDescent="0.25">
      <c r="B9" s="99" t="str">
        <f>IST_Techs!D22</f>
        <v>Iron&amp;Steel Sintering</v>
      </c>
      <c r="C9" s="440"/>
      <c r="D9" s="440"/>
      <c r="E9" s="440"/>
      <c r="F9" s="440">
        <v>0.15</v>
      </c>
      <c r="G9" s="440"/>
      <c r="H9" s="440"/>
      <c r="I9" s="440"/>
      <c r="J9" s="440"/>
      <c r="K9" s="440"/>
      <c r="L9" s="440"/>
      <c r="M9" s="440"/>
      <c r="N9" s="440">
        <v>0.25</v>
      </c>
      <c r="O9" s="440">
        <v>0</v>
      </c>
      <c r="P9" s="440"/>
      <c r="Q9" s="440"/>
      <c r="R9" s="440"/>
      <c r="S9" s="440"/>
      <c r="T9" s="440">
        <v>0.04</v>
      </c>
    </row>
    <row r="10" spans="1:37" x14ac:dyDescent="0.25">
      <c r="B10" s="99" t="str">
        <f>IST_Techs!D31</f>
        <v>Pig Iron Production (and ferrochrome smelting)</v>
      </c>
      <c r="C10" s="441">
        <v>0.9</v>
      </c>
      <c r="D10" s="441"/>
      <c r="E10" s="441"/>
      <c r="F10" s="441">
        <v>0.7</v>
      </c>
      <c r="G10" s="441"/>
      <c r="H10" s="441"/>
      <c r="I10" s="441"/>
      <c r="J10" s="441"/>
      <c r="K10" s="441"/>
      <c r="L10" s="441"/>
      <c r="M10" s="441"/>
      <c r="N10" s="441">
        <v>0.4</v>
      </c>
      <c r="O10" s="441">
        <v>1</v>
      </c>
      <c r="P10" s="441"/>
      <c r="Q10" s="441"/>
      <c r="R10" s="441"/>
      <c r="S10" s="441"/>
      <c r="T10" s="441">
        <v>0.4</v>
      </c>
    </row>
    <row r="11" spans="1:37" x14ac:dyDescent="0.25">
      <c r="B11" s="99" t="str">
        <f>IST_Techs!D40</f>
        <v>Crude Steel Production</v>
      </c>
      <c r="C11" s="441"/>
      <c r="D11" s="441"/>
      <c r="E11" s="441"/>
      <c r="F11" s="441">
        <v>0</v>
      </c>
      <c r="G11" s="441"/>
      <c r="H11" s="441">
        <v>1</v>
      </c>
      <c r="I11" s="441">
        <v>1</v>
      </c>
      <c r="J11" s="441">
        <v>1</v>
      </c>
      <c r="K11" s="441"/>
      <c r="L11" s="441"/>
      <c r="M11" s="441"/>
      <c r="N11" s="441">
        <v>0.2</v>
      </c>
      <c r="O11" s="441">
        <v>0</v>
      </c>
      <c r="P11" s="441"/>
      <c r="Q11" s="441"/>
      <c r="R11" s="441"/>
      <c r="S11" s="441">
        <v>0.1</v>
      </c>
      <c r="T11" s="441">
        <v>0.15</v>
      </c>
    </row>
    <row r="12" spans="1:37" x14ac:dyDescent="0.25">
      <c r="B12" s="99" t="str">
        <f>IST_Techs!D49</f>
        <v>Finishing Steel</v>
      </c>
      <c r="C12" s="441">
        <v>0.1</v>
      </c>
      <c r="D12" s="441"/>
      <c r="E12" s="441"/>
      <c r="F12" s="441">
        <v>0</v>
      </c>
      <c r="G12" s="441"/>
      <c r="H12" s="441"/>
      <c r="I12" s="441"/>
      <c r="J12" s="441"/>
      <c r="K12" s="441"/>
      <c r="L12" s="441"/>
      <c r="M12" s="441"/>
      <c r="N12" s="441">
        <f>1-N11-N10-N9</f>
        <v>0.15000000000000002</v>
      </c>
      <c r="O12" s="441">
        <v>0</v>
      </c>
      <c r="P12" s="441"/>
      <c r="Q12" s="441"/>
      <c r="R12" s="441"/>
      <c r="S12" s="441">
        <v>0.9</v>
      </c>
      <c r="T12" s="441">
        <f>1-T11-T10-T9</f>
        <v>0.41</v>
      </c>
    </row>
    <row r="13" spans="1:37" x14ac:dyDescent="0.25">
      <c r="C13" s="441"/>
      <c r="D13" s="441"/>
      <c r="E13" s="441"/>
      <c r="F13" s="441"/>
      <c r="G13" s="441"/>
      <c r="H13" s="441"/>
      <c r="I13" s="441"/>
      <c r="J13" s="441"/>
      <c r="K13" s="441"/>
      <c r="L13" s="441"/>
      <c r="M13" s="441"/>
      <c r="N13" s="441"/>
      <c r="O13" s="441"/>
      <c r="P13" s="441"/>
      <c r="Q13" s="441"/>
      <c r="R13" s="441"/>
      <c r="S13" s="441"/>
      <c r="T13" s="441"/>
    </row>
    <row r="14" spans="1:37" x14ac:dyDescent="0.25">
      <c r="B14" s="99" t="str">
        <f>IST_Techs!D64</f>
        <v>Boilers Iron&amp;Steel</v>
      </c>
      <c r="C14" s="441"/>
      <c r="D14" s="441"/>
      <c r="E14" s="441"/>
      <c r="F14" s="441"/>
      <c r="G14" s="441"/>
      <c r="H14" s="441"/>
      <c r="I14" s="441"/>
      <c r="J14" s="441"/>
      <c r="K14" s="441"/>
      <c r="L14" s="441"/>
      <c r="M14" s="441"/>
      <c r="N14" s="441"/>
      <c r="O14" s="441"/>
      <c r="P14" s="441"/>
      <c r="Q14" s="441"/>
      <c r="R14" s="441"/>
      <c r="S14" s="441"/>
      <c r="T14" s="441"/>
    </row>
    <row r="15" spans="1:37" x14ac:dyDescent="0.25">
      <c r="B15" s="99" t="str">
        <f>IST_Techs!D77</f>
        <v>On-site CHP Iron&amp;Steel</v>
      </c>
      <c r="C15" s="303"/>
      <c r="D15" s="303"/>
      <c r="E15" s="322"/>
      <c r="F15" s="322"/>
      <c r="G15" s="322"/>
      <c r="H15" s="322"/>
      <c r="I15" s="322"/>
      <c r="J15" s="322"/>
      <c r="K15" s="322"/>
      <c r="L15" s="322"/>
      <c r="M15" s="322"/>
      <c r="N15" s="322"/>
      <c r="O15" s="322"/>
      <c r="P15" s="322"/>
      <c r="Q15" s="322"/>
      <c r="R15" s="322"/>
      <c r="S15" s="322"/>
      <c r="T15" s="322"/>
    </row>
    <row r="16" spans="1:37" x14ac:dyDescent="0.25">
      <c r="B16" s="324" t="s">
        <v>271</v>
      </c>
      <c r="C16" s="325">
        <f>IF(SUM(C9:C15)&lt;&gt;1,"ERR: " &amp;  SUM(C9:C15),SUM(C9:C15))</f>
        <v>1</v>
      </c>
      <c r="D16" s="325" t="str">
        <f>IF(SUM(D9:D15)&lt;&gt;1,"ERR: " &amp;  SUM(D9:D15),SUM(D9:D15))</f>
        <v>ERR: 0</v>
      </c>
      <c r="E16" s="325" t="str">
        <f t="shared" ref="E16:T16" si="1">IF(SUM(E9:E15)&lt;&gt;1,"ERR: " &amp;  SUM(E9:E15),SUM(E9:E15))</f>
        <v>ERR: 0</v>
      </c>
      <c r="F16" s="325" t="str">
        <f t="shared" si="1"/>
        <v>ERR: 0.85</v>
      </c>
      <c r="G16" s="325" t="str">
        <f t="shared" si="1"/>
        <v>ERR: 0</v>
      </c>
      <c r="H16" s="325">
        <f t="shared" si="1"/>
        <v>1</v>
      </c>
      <c r="I16" s="325">
        <f t="shared" si="1"/>
        <v>1</v>
      </c>
      <c r="J16" s="325">
        <f t="shared" si="1"/>
        <v>1</v>
      </c>
      <c r="K16" s="325" t="str">
        <f t="shared" si="1"/>
        <v>ERR: 0</v>
      </c>
      <c r="L16" s="325" t="str">
        <f t="shared" si="1"/>
        <v>ERR: 0</v>
      </c>
      <c r="M16" s="325" t="str">
        <f t="shared" si="1"/>
        <v>ERR: 0</v>
      </c>
      <c r="N16" s="325">
        <f t="shared" si="1"/>
        <v>1</v>
      </c>
      <c r="O16" s="325">
        <f t="shared" si="1"/>
        <v>1</v>
      </c>
      <c r="P16" s="325" t="str">
        <f t="shared" si="1"/>
        <v>ERR: 0</v>
      </c>
      <c r="Q16" s="325" t="str">
        <f t="shared" si="1"/>
        <v>ERR: 0</v>
      </c>
      <c r="R16" s="325" t="str">
        <f t="shared" si="1"/>
        <v>ERR: 0</v>
      </c>
      <c r="S16" s="325">
        <f t="shared" si="1"/>
        <v>1</v>
      </c>
      <c r="T16" s="325">
        <f t="shared" si="1"/>
        <v>1</v>
      </c>
    </row>
    <row r="18" spans="2:24" x14ac:dyDescent="0.25">
      <c r="B18" s="438" t="s">
        <v>274</v>
      </c>
      <c r="C18" s="439" t="str">
        <f>C8</f>
        <v>INDCOABIC</v>
      </c>
      <c r="D18" s="439" t="str">
        <f t="shared" ref="D18:T18" si="2">D8</f>
        <v>INDCOASUB</v>
      </c>
      <c r="E18" s="439" t="str">
        <f t="shared" si="2"/>
        <v>INDCOABCO</v>
      </c>
      <c r="F18" s="439" t="str">
        <f t="shared" si="2"/>
        <v>INDCOACOC</v>
      </c>
      <c r="G18" s="439" t="str">
        <f t="shared" si="2"/>
        <v>INDCOABKB</v>
      </c>
      <c r="H18" s="439" t="str">
        <f t="shared" si="2"/>
        <v>INDOILLPG</v>
      </c>
      <c r="I18" s="439" t="str">
        <f t="shared" si="2"/>
        <v>INDOILGSL</v>
      </c>
      <c r="J18" s="439" t="str">
        <f t="shared" si="2"/>
        <v>INDOILDSL</v>
      </c>
      <c r="K18" s="439" t="str">
        <f t="shared" si="2"/>
        <v>INDOILHFO</v>
      </c>
      <c r="L18" s="439" t="str">
        <f t="shared" si="2"/>
        <v>INDOILPCK</v>
      </c>
      <c r="M18" s="439" t="str">
        <f t="shared" si="2"/>
        <v>INDOILOTH</v>
      </c>
      <c r="N18" s="439" t="str">
        <f t="shared" si="2"/>
        <v>INDGASNAT</v>
      </c>
      <c r="O18" s="439" t="str">
        <f t="shared" si="2"/>
        <v>INDGASBFG</v>
      </c>
      <c r="P18" s="439" t="str">
        <f t="shared" si="2"/>
        <v>INDBIOLOG</v>
      </c>
      <c r="Q18" s="439" t="str">
        <f t="shared" si="2"/>
        <v>INDBIOCHR</v>
      </c>
      <c r="R18" s="439" t="str">
        <f t="shared" si="2"/>
        <v>INDBIOBGS</v>
      </c>
      <c r="S18" s="439" t="str">
        <f>IST_Techs!F70</f>
        <v>INDISTHTH</v>
      </c>
      <c r="T18" s="439" t="str">
        <f t="shared" si="2"/>
        <v>INDELC</v>
      </c>
    </row>
    <row r="19" spans="2:24" x14ac:dyDescent="0.25">
      <c r="B19" s="99" t="str">
        <f>B9</f>
        <v>Iron&amp;Steel Sintering</v>
      </c>
      <c r="C19" s="372">
        <f>C9*$C$5</f>
        <v>0</v>
      </c>
      <c r="D19" s="372">
        <f>D9*$D$5</f>
        <v>0</v>
      </c>
      <c r="E19" s="372">
        <f>E9*$E$5</f>
        <v>0</v>
      </c>
      <c r="F19" s="372">
        <f>F9*$F$5</f>
        <v>0.37681199999999998</v>
      </c>
      <c r="G19" s="372">
        <f>G9*$G$5</f>
        <v>0</v>
      </c>
      <c r="H19" s="372">
        <f>H9*$H$5</f>
        <v>0</v>
      </c>
      <c r="I19" s="372">
        <f>I9*$I$5</f>
        <v>0</v>
      </c>
      <c r="J19" s="372">
        <f>J9*$J$5</f>
        <v>0</v>
      </c>
      <c r="K19" s="372">
        <f>K9*$K$5</f>
        <v>0</v>
      </c>
      <c r="L19" s="372">
        <f>L9*$L$5</f>
        <v>0</v>
      </c>
      <c r="M19" s="372">
        <f>M9*$M$5</f>
        <v>0</v>
      </c>
      <c r="N19" s="372">
        <f>N9*$N$5</f>
        <v>0.31401000000000001</v>
      </c>
      <c r="O19" s="372">
        <f>O9*$O$5</f>
        <v>0</v>
      </c>
      <c r="P19" s="372">
        <f>P9*$P$5</f>
        <v>0</v>
      </c>
      <c r="Q19" s="372">
        <f>Q9*$Q$5</f>
        <v>0</v>
      </c>
      <c r="R19" s="372">
        <f>R9*$R$5</f>
        <v>0</v>
      </c>
      <c r="S19" s="372">
        <f>S9*$S$5</f>
        <v>0</v>
      </c>
      <c r="T19" s="372">
        <f>T9*$T$5</f>
        <v>5.0241600000000004E-2</v>
      </c>
      <c r="V19" s="372">
        <f>SUM(C19:T19)</f>
        <v>0.74106360000000004</v>
      </c>
    </row>
    <row r="20" spans="2:24" x14ac:dyDescent="0.25">
      <c r="B20" s="99" t="str">
        <f t="shared" ref="B20:B25" si="3">B10</f>
        <v>Pig Iron Production (and ferrochrome smelting)</v>
      </c>
      <c r="C20" s="372">
        <f t="shared" ref="C20:C25" si="4">C10*$C$5</f>
        <v>0</v>
      </c>
      <c r="D20" s="372">
        <f t="shared" ref="D20:D25" si="5">D10*$D$5</f>
        <v>0</v>
      </c>
      <c r="E20" s="372">
        <f t="shared" ref="E20:E25" si="6">E10*$E$5</f>
        <v>0</v>
      </c>
      <c r="F20" s="372">
        <f t="shared" ref="F20:F25" si="7">F10*$F$5</f>
        <v>1.758456</v>
      </c>
      <c r="G20" s="372">
        <f t="shared" ref="G20:G25" si="8">G10*$G$5</f>
        <v>0</v>
      </c>
      <c r="H20" s="372">
        <f t="shared" ref="H20:H25" si="9">H10*$H$5</f>
        <v>0</v>
      </c>
      <c r="I20" s="372">
        <f t="shared" ref="I20:I25" si="10">I10*$I$5</f>
        <v>0</v>
      </c>
      <c r="J20" s="372">
        <f t="shared" ref="J20:J25" si="11">J10*$J$5</f>
        <v>0</v>
      </c>
      <c r="K20" s="372">
        <f t="shared" ref="K20:K25" si="12">K10*$K$5</f>
        <v>0</v>
      </c>
      <c r="L20" s="372">
        <f t="shared" ref="L20:L25" si="13">L10*$L$5</f>
        <v>0</v>
      </c>
      <c r="M20" s="372">
        <f t="shared" ref="M20:M25" si="14">M10*$M$5</f>
        <v>0</v>
      </c>
      <c r="N20" s="372">
        <f t="shared" ref="N20:N25" si="15">N10*$N$5</f>
        <v>0.50241600000000008</v>
      </c>
      <c r="O20" s="372">
        <f t="shared" ref="O20:O25" si="16">O10*$O$5</f>
        <v>0</v>
      </c>
      <c r="P20" s="372">
        <f t="shared" ref="P20:P25" si="17">P10*$P$5</f>
        <v>0</v>
      </c>
      <c r="Q20" s="372">
        <f t="shared" ref="Q20:Q25" si="18">Q10*$Q$5</f>
        <v>0</v>
      </c>
      <c r="R20" s="372">
        <f t="shared" ref="R20:R25" si="19">R10*$R$5</f>
        <v>0</v>
      </c>
      <c r="S20" s="372">
        <f t="shared" ref="S20:S25" si="20">S10*$S$5</f>
        <v>0</v>
      </c>
      <c r="T20" s="372">
        <f t="shared" ref="T20:T25" si="21">T10*$T$5</f>
        <v>0.50241600000000008</v>
      </c>
      <c r="V20" s="372">
        <f>SUM(C20:T20)</f>
        <v>2.7632880000000002</v>
      </c>
    </row>
    <row r="21" spans="2:24" x14ac:dyDescent="0.25">
      <c r="B21" s="99" t="str">
        <f t="shared" si="3"/>
        <v>Crude Steel Production</v>
      </c>
      <c r="C21" s="372">
        <f t="shared" si="4"/>
        <v>0</v>
      </c>
      <c r="D21" s="372">
        <f t="shared" si="5"/>
        <v>0</v>
      </c>
      <c r="E21" s="372">
        <f t="shared" si="6"/>
        <v>0</v>
      </c>
      <c r="F21" s="372">
        <f t="shared" si="7"/>
        <v>0</v>
      </c>
      <c r="G21" s="372">
        <f t="shared" si="8"/>
        <v>0</v>
      </c>
      <c r="H21" s="372">
        <f t="shared" si="9"/>
        <v>0</v>
      </c>
      <c r="I21" s="372">
        <f t="shared" si="10"/>
        <v>0</v>
      </c>
      <c r="J21" s="372">
        <f t="shared" si="11"/>
        <v>0</v>
      </c>
      <c r="K21" s="372">
        <f t="shared" si="12"/>
        <v>0</v>
      </c>
      <c r="L21" s="372">
        <f t="shared" si="13"/>
        <v>0</v>
      </c>
      <c r="M21" s="372">
        <f t="shared" si="14"/>
        <v>0</v>
      </c>
      <c r="N21" s="372">
        <f t="shared" si="15"/>
        <v>0.25120800000000004</v>
      </c>
      <c r="O21" s="372">
        <f t="shared" si="16"/>
        <v>0</v>
      </c>
      <c r="P21" s="372">
        <f t="shared" si="17"/>
        <v>0</v>
      </c>
      <c r="Q21" s="372">
        <f t="shared" si="18"/>
        <v>0</v>
      </c>
      <c r="R21" s="372">
        <f t="shared" si="19"/>
        <v>0</v>
      </c>
      <c r="S21" s="372">
        <f t="shared" si="20"/>
        <v>0</v>
      </c>
      <c r="T21" s="372">
        <f t="shared" si="21"/>
        <v>0.18840599999999999</v>
      </c>
      <c r="V21" s="372">
        <f>SUM(C21:T21)</f>
        <v>0.43961400000000006</v>
      </c>
      <c r="X21" s="372"/>
    </row>
    <row r="22" spans="2:24" x14ac:dyDescent="0.25">
      <c r="B22" s="99" t="str">
        <f t="shared" si="3"/>
        <v>Finishing Steel</v>
      </c>
      <c r="C22" s="372">
        <f t="shared" si="4"/>
        <v>0</v>
      </c>
      <c r="D22" s="372">
        <f t="shared" si="5"/>
        <v>0</v>
      </c>
      <c r="E22" s="372">
        <f t="shared" si="6"/>
        <v>0</v>
      </c>
      <c r="F22" s="372">
        <f t="shared" si="7"/>
        <v>0</v>
      </c>
      <c r="G22" s="372">
        <f t="shared" si="8"/>
        <v>0</v>
      </c>
      <c r="H22" s="372">
        <f t="shared" si="9"/>
        <v>0</v>
      </c>
      <c r="I22" s="372">
        <f t="shared" si="10"/>
        <v>0</v>
      </c>
      <c r="J22" s="372">
        <f t="shared" si="11"/>
        <v>0</v>
      </c>
      <c r="K22" s="372">
        <f t="shared" si="12"/>
        <v>0</v>
      </c>
      <c r="L22" s="372">
        <f t="shared" si="13"/>
        <v>0</v>
      </c>
      <c r="M22" s="372">
        <f t="shared" si="14"/>
        <v>0</v>
      </c>
      <c r="N22" s="372">
        <f t="shared" si="15"/>
        <v>0.18840600000000005</v>
      </c>
      <c r="O22" s="372">
        <f t="shared" si="16"/>
        <v>0</v>
      </c>
      <c r="P22" s="372">
        <f t="shared" si="17"/>
        <v>0</v>
      </c>
      <c r="Q22" s="372">
        <f t="shared" si="18"/>
        <v>0</v>
      </c>
      <c r="R22" s="372">
        <f t="shared" si="19"/>
        <v>0</v>
      </c>
      <c r="S22" s="372">
        <f t="shared" si="20"/>
        <v>0</v>
      </c>
      <c r="T22" s="372">
        <f t="shared" si="21"/>
        <v>0.5149764</v>
      </c>
      <c r="V22" s="372">
        <f>SUM(C22:T22)</f>
        <v>0.70338240000000007</v>
      </c>
    </row>
    <row r="23" spans="2:24" x14ac:dyDescent="0.25">
      <c r="C23" s="372"/>
      <c r="D23" s="372"/>
      <c r="E23" s="372"/>
      <c r="F23" s="372"/>
      <c r="G23" s="372"/>
      <c r="H23" s="372"/>
      <c r="I23" s="372"/>
      <c r="J23" s="372"/>
      <c r="K23" s="372"/>
      <c r="L23" s="372"/>
      <c r="M23" s="372"/>
      <c r="N23" s="372"/>
      <c r="O23" s="372"/>
      <c r="P23" s="372"/>
      <c r="Q23" s="372"/>
      <c r="R23" s="372"/>
      <c r="S23" s="372"/>
      <c r="T23" s="372"/>
    </row>
    <row r="24" spans="2:24" x14ac:dyDescent="0.25">
      <c r="B24" s="99" t="str">
        <f t="shared" si="3"/>
        <v>Boilers Iron&amp;Steel</v>
      </c>
      <c r="C24" s="372">
        <f t="shared" si="4"/>
        <v>0</v>
      </c>
      <c r="D24" s="372">
        <f t="shared" si="5"/>
        <v>0</v>
      </c>
      <c r="E24" s="372">
        <f t="shared" si="6"/>
        <v>0</v>
      </c>
      <c r="F24" s="372">
        <f t="shared" si="7"/>
        <v>0</v>
      </c>
      <c r="G24" s="372">
        <f t="shared" si="8"/>
        <v>0</v>
      </c>
      <c r="H24" s="372">
        <f t="shared" si="9"/>
        <v>0</v>
      </c>
      <c r="I24" s="372">
        <f t="shared" si="10"/>
        <v>0</v>
      </c>
      <c r="J24" s="372">
        <f t="shared" si="11"/>
        <v>0</v>
      </c>
      <c r="K24" s="372">
        <f t="shared" si="12"/>
        <v>0</v>
      </c>
      <c r="L24" s="372">
        <f t="shared" si="13"/>
        <v>0</v>
      </c>
      <c r="M24" s="372">
        <f t="shared" si="14"/>
        <v>0</v>
      </c>
      <c r="N24" s="372">
        <f t="shared" si="15"/>
        <v>0</v>
      </c>
      <c r="O24" s="372">
        <f t="shared" si="16"/>
        <v>0</v>
      </c>
      <c r="P24" s="372">
        <f t="shared" si="17"/>
        <v>0</v>
      </c>
      <c r="Q24" s="372">
        <f t="shared" si="18"/>
        <v>0</v>
      </c>
      <c r="R24" s="372">
        <f t="shared" si="19"/>
        <v>0</v>
      </c>
      <c r="S24" s="372">
        <f t="shared" si="20"/>
        <v>0</v>
      </c>
      <c r="T24" s="372">
        <f t="shared" si="21"/>
        <v>0</v>
      </c>
      <c r="V24" s="372"/>
    </row>
    <row r="25" spans="2:24" x14ac:dyDescent="0.25">
      <c r="B25" s="99" t="str">
        <f t="shared" si="3"/>
        <v>On-site CHP Iron&amp;Steel</v>
      </c>
      <c r="C25" s="372">
        <f t="shared" si="4"/>
        <v>0</v>
      </c>
      <c r="D25" s="372">
        <f t="shared" si="5"/>
        <v>0</v>
      </c>
      <c r="E25" s="372">
        <f t="shared" si="6"/>
        <v>0</v>
      </c>
      <c r="F25" s="372">
        <f t="shared" si="7"/>
        <v>0</v>
      </c>
      <c r="G25" s="372">
        <f t="shared" si="8"/>
        <v>0</v>
      </c>
      <c r="H25" s="372">
        <f t="shared" si="9"/>
        <v>0</v>
      </c>
      <c r="I25" s="372">
        <f t="shared" si="10"/>
        <v>0</v>
      </c>
      <c r="J25" s="372">
        <f t="shared" si="11"/>
        <v>0</v>
      </c>
      <c r="K25" s="372">
        <f t="shared" si="12"/>
        <v>0</v>
      </c>
      <c r="L25" s="372">
        <f t="shared" si="13"/>
        <v>0</v>
      </c>
      <c r="M25" s="372">
        <f t="shared" si="14"/>
        <v>0</v>
      </c>
      <c r="N25" s="372">
        <f t="shared" si="15"/>
        <v>0</v>
      </c>
      <c r="O25" s="372">
        <f t="shared" si="16"/>
        <v>0</v>
      </c>
      <c r="P25" s="372">
        <f t="shared" si="17"/>
        <v>0</v>
      </c>
      <c r="Q25" s="372">
        <f t="shared" si="18"/>
        <v>0</v>
      </c>
      <c r="R25" s="372">
        <f t="shared" si="19"/>
        <v>0</v>
      </c>
      <c r="S25" s="372">
        <f t="shared" si="20"/>
        <v>0</v>
      </c>
      <c r="T25" s="372">
        <f t="shared" si="21"/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83"/>
  <sheetViews>
    <sheetView topLeftCell="A2" zoomScale="60" zoomScaleNormal="60" workbookViewId="0">
      <selection activeCell="A2" sqref="A1:XFD1048576"/>
    </sheetView>
  </sheetViews>
  <sheetFormatPr defaultColWidth="9.109375" defaultRowHeight="13.8" x14ac:dyDescent="0.25"/>
  <cols>
    <col min="1" max="1" width="5.88671875" style="99" customWidth="1"/>
    <col min="2" max="2" width="15.5546875" style="99" customWidth="1"/>
    <col min="3" max="3" width="22.6640625" style="99" bestFit="1" customWidth="1"/>
    <col min="4" max="4" width="36.88671875" style="99" customWidth="1"/>
    <col min="5" max="5" width="37.88671875" style="99" customWidth="1"/>
    <col min="6" max="6" width="16.6640625" style="99" customWidth="1"/>
    <col min="7" max="7" width="20.5546875" style="99" bestFit="1" customWidth="1"/>
    <col min="8" max="9" width="27.6640625" style="99" bestFit="1" customWidth="1"/>
    <col min="10" max="10" width="19.88671875" style="99" bestFit="1" customWidth="1"/>
    <col min="11" max="11" width="24" style="99" customWidth="1"/>
    <col min="12" max="12" width="21.33203125" style="99" customWidth="1"/>
    <col min="13" max="13" width="31.33203125" style="99" bestFit="1" customWidth="1"/>
    <col min="14" max="14" width="24.88671875" style="99" bestFit="1" customWidth="1"/>
    <col min="15" max="15" width="21" style="99" customWidth="1"/>
    <col min="16" max="18" width="11.88671875" style="99" customWidth="1"/>
    <col min="19" max="19" width="11.6640625" style="99" customWidth="1"/>
    <col min="20" max="20" width="24.88671875" style="99" customWidth="1"/>
    <col min="21" max="21" width="26.44140625" style="99" customWidth="1"/>
    <col min="22" max="22" width="37.6640625" style="99" customWidth="1"/>
    <col min="23" max="23" width="42.6640625" style="99" customWidth="1"/>
    <col min="24" max="24" width="11.44140625" style="99" bestFit="1" customWidth="1"/>
    <col min="25" max="25" width="12.44140625" style="99" bestFit="1" customWidth="1"/>
    <col min="26" max="26" width="9.6640625" style="99" bestFit="1" customWidth="1"/>
    <col min="27" max="27" width="13" style="99" bestFit="1" customWidth="1"/>
    <col min="28" max="28" width="9.5546875" style="99" bestFit="1" customWidth="1"/>
    <col min="29" max="29" width="24.33203125" style="99" bestFit="1" customWidth="1"/>
    <col min="30" max="30" width="24.44140625" style="99" bestFit="1" customWidth="1"/>
    <col min="31" max="31" width="22" style="99" bestFit="1" customWidth="1"/>
    <col min="32" max="16384" width="9.109375" style="99"/>
  </cols>
  <sheetData>
    <row r="1" spans="1:28" ht="17.399999999999999" x14ac:dyDescent="0.3">
      <c r="A1" s="121"/>
      <c r="B1" s="121" t="s">
        <v>446</v>
      </c>
      <c r="C1" s="121"/>
      <c r="D1" s="121"/>
      <c r="E1" s="121"/>
      <c r="F1" s="121"/>
      <c r="G1" s="121"/>
      <c r="H1" s="121"/>
      <c r="I1" s="121"/>
    </row>
    <row r="4" spans="1:28" x14ac:dyDescent="0.25">
      <c r="B4" s="108" t="s">
        <v>276</v>
      </c>
      <c r="K4" s="99" t="s">
        <v>779</v>
      </c>
      <c r="L4" s="99" t="s">
        <v>791</v>
      </c>
      <c r="M4" s="99" t="s">
        <v>806</v>
      </c>
    </row>
    <row r="5" spans="1:28" x14ac:dyDescent="0.25">
      <c r="E5" s="108" t="s">
        <v>15</v>
      </c>
      <c r="F5" s="108"/>
      <c r="K5" s="108" t="s">
        <v>780</v>
      </c>
    </row>
    <row r="6" spans="1:28" x14ac:dyDescent="0.25">
      <c r="B6" s="130" t="s">
        <v>33</v>
      </c>
      <c r="C6" s="217" t="s">
        <v>278</v>
      </c>
      <c r="D6" s="217" t="s">
        <v>284</v>
      </c>
      <c r="E6" s="217" t="s">
        <v>0</v>
      </c>
      <c r="F6" s="217" t="s">
        <v>279</v>
      </c>
      <c r="G6" s="218" t="str">
        <f>BASE_YEAR</f>
        <v>2017</v>
      </c>
      <c r="K6" s="99" t="s">
        <v>781</v>
      </c>
    </row>
    <row r="7" spans="1:28" ht="15.6" thickBot="1" x14ac:dyDescent="0.3">
      <c r="B7" s="135" t="s">
        <v>150</v>
      </c>
      <c r="C7" s="135" t="s">
        <v>152</v>
      </c>
      <c r="D7" s="135"/>
      <c r="E7" s="135" t="s">
        <v>280</v>
      </c>
      <c r="F7" s="135" t="s">
        <v>281</v>
      </c>
      <c r="G7" s="136" t="s">
        <v>282</v>
      </c>
      <c r="I7" s="420"/>
      <c r="K7" s="421" t="s">
        <v>782</v>
      </c>
    </row>
    <row r="8" spans="1:28" ht="15.6" thickBot="1" x14ac:dyDescent="0.3">
      <c r="B8" s="135" t="s">
        <v>152</v>
      </c>
      <c r="C8" s="135" t="s">
        <v>48</v>
      </c>
      <c r="D8" s="135"/>
      <c r="E8" s="135"/>
      <c r="F8" s="135"/>
      <c r="G8" s="136" t="str">
        <f>General!$B$6</f>
        <v>Mt</v>
      </c>
      <c r="I8" s="420"/>
      <c r="K8" s="421" t="s">
        <v>783</v>
      </c>
    </row>
    <row r="9" spans="1:28" ht="15" x14ac:dyDescent="0.25">
      <c r="C9" s="99" t="s">
        <v>277</v>
      </c>
      <c r="D9" s="99" t="s">
        <v>349</v>
      </c>
      <c r="E9" s="99" t="s">
        <v>348</v>
      </c>
      <c r="F9" s="99" t="str">
        <f>General!$B$6</f>
        <v>Mt</v>
      </c>
      <c r="G9" s="234">
        <f>L15/10^6</f>
        <v>0.18</v>
      </c>
      <c r="I9" s="420"/>
      <c r="K9" s="421" t="s">
        <v>784</v>
      </c>
    </row>
    <row r="10" spans="1:28" x14ac:dyDescent="0.25">
      <c r="K10" s="99" t="s">
        <v>785</v>
      </c>
      <c r="L10" s="99">
        <f>L15</f>
        <v>180000</v>
      </c>
      <c r="M10" s="99" t="s">
        <v>842</v>
      </c>
    </row>
    <row r="11" spans="1:28" ht="17.399999999999999" x14ac:dyDescent="0.3">
      <c r="K11" s="99" t="s">
        <v>786</v>
      </c>
      <c r="T11" s="422"/>
    </row>
    <row r="12" spans="1:28" x14ac:dyDescent="0.25">
      <c r="C12" s="104"/>
      <c r="D12" s="104"/>
      <c r="F12" s="119"/>
      <c r="K12" s="421" t="s">
        <v>787</v>
      </c>
    </row>
    <row r="13" spans="1:28" x14ac:dyDescent="0.25">
      <c r="B13" s="293"/>
      <c r="C13" s="234"/>
      <c r="D13" s="234"/>
      <c r="K13" s="421" t="s">
        <v>788</v>
      </c>
    </row>
    <row r="14" spans="1:28" x14ac:dyDescent="0.25">
      <c r="B14" s="108" t="s">
        <v>341</v>
      </c>
      <c r="K14" s="421" t="s">
        <v>789</v>
      </c>
      <c r="U14" s="109"/>
    </row>
    <row r="15" spans="1:28" x14ac:dyDescent="0.25">
      <c r="K15" s="99" t="s">
        <v>805</v>
      </c>
      <c r="L15" s="99">
        <v>180000</v>
      </c>
      <c r="M15" s="99" t="s">
        <v>813</v>
      </c>
    </row>
    <row r="16" spans="1:28" x14ac:dyDescent="0.25">
      <c r="B16" s="108" t="s">
        <v>342</v>
      </c>
      <c r="C16" s="108" t="s">
        <v>360</v>
      </c>
      <c r="D16" s="108" t="s">
        <v>361</v>
      </c>
      <c r="E16" s="108" t="s">
        <v>362</v>
      </c>
      <c r="F16" s="108" t="s">
        <v>363</v>
      </c>
      <c r="G16" s="108" t="s">
        <v>364</v>
      </c>
      <c r="I16" s="294"/>
      <c r="J16" s="294"/>
      <c r="K16" s="124"/>
      <c r="L16" s="124"/>
      <c r="M16" s="124"/>
      <c r="N16" s="124"/>
      <c r="T16" s="109" t="s">
        <v>149</v>
      </c>
      <c r="AA16" s="111"/>
      <c r="AB16" s="111"/>
    </row>
    <row r="17" spans="2:28" x14ac:dyDescent="0.25">
      <c r="B17" s="108"/>
      <c r="C17" s="123"/>
      <c r="E17" s="122"/>
      <c r="F17" s="122"/>
      <c r="G17" s="122"/>
      <c r="I17" s="294"/>
      <c r="J17" s="294"/>
      <c r="K17" s="124"/>
      <c r="L17" s="124"/>
      <c r="M17" s="124"/>
      <c r="N17" s="124"/>
      <c r="AB17" s="111"/>
    </row>
    <row r="18" spans="2:28" x14ac:dyDescent="0.25">
      <c r="F18" s="126" t="s">
        <v>15</v>
      </c>
      <c r="G18" s="165"/>
      <c r="H18" s="127"/>
      <c r="I18" s="127"/>
      <c r="J18" s="129"/>
      <c r="T18" s="110" t="s">
        <v>18</v>
      </c>
      <c r="U18" s="110"/>
      <c r="V18" s="111"/>
      <c r="W18" s="111"/>
      <c r="X18" s="111"/>
      <c r="Y18" s="111"/>
      <c r="Z18" s="111"/>
      <c r="AA18" s="111"/>
      <c r="AB18" s="111"/>
    </row>
    <row r="19" spans="2:28" ht="21" customHeight="1" x14ac:dyDescent="0.25">
      <c r="B19" s="130" t="s">
        <v>33</v>
      </c>
      <c r="C19" s="130" t="s">
        <v>1</v>
      </c>
      <c r="D19" s="131" t="s">
        <v>41</v>
      </c>
      <c r="E19" s="130" t="s">
        <v>7</v>
      </c>
      <c r="F19" s="132" t="s">
        <v>8</v>
      </c>
      <c r="G19" s="133" t="s">
        <v>302</v>
      </c>
      <c r="H19" s="133" t="s">
        <v>285</v>
      </c>
      <c r="I19" s="133" t="s">
        <v>3</v>
      </c>
      <c r="J19" s="133" t="s">
        <v>6</v>
      </c>
      <c r="K19" s="220" t="s">
        <v>358</v>
      </c>
      <c r="L19" s="220" t="s">
        <v>359</v>
      </c>
      <c r="M19" s="220" t="s">
        <v>835</v>
      </c>
      <c r="S19" s="113" t="s">
        <v>13</v>
      </c>
      <c r="T19" s="113" t="s">
        <v>33</v>
      </c>
      <c r="U19" s="113" t="s">
        <v>1</v>
      </c>
      <c r="V19" s="113" t="s">
        <v>2</v>
      </c>
      <c r="W19" s="113" t="s">
        <v>19</v>
      </c>
      <c r="X19" s="113" t="s">
        <v>20</v>
      </c>
      <c r="Y19" s="113" t="s">
        <v>21</v>
      </c>
      <c r="Z19" s="113" t="s">
        <v>22</v>
      </c>
      <c r="AA19" s="113" t="s">
        <v>23</v>
      </c>
    </row>
    <row r="20" spans="2:28" ht="29.25" customHeight="1" thickBot="1" x14ac:dyDescent="0.3">
      <c r="B20" s="135" t="s">
        <v>150</v>
      </c>
      <c r="C20" s="136" t="s">
        <v>24</v>
      </c>
      <c r="D20" s="136" t="s">
        <v>25</v>
      </c>
      <c r="E20" s="136" t="s">
        <v>35</v>
      </c>
      <c r="F20" s="137" t="s">
        <v>36</v>
      </c>
      <c r="G20" s="136"/>
      <c r="H20" s="136" t="s">
        <v>286</v>
      </c>
      <c r="I20" s="136" t="s">
        <v>40</v>
      </c>
      <c r="J20" s="136" t="s">
        <v>39</v>
      </c>
      <c r="K20" s="136" t="str">
        <f>General!B23</f>
        <v>Unit Consumption</v>
      </c>
      <c r="L20" s="136"/>
      <c r="M20" s="136" t="s">
        <v>286</v>
      </c>
      <c r="S20" s="139" t="s">
        <v>43</v>
      </c>
      <c r="T20" s="139" t="s">
        <v>34</v>
      </c>
      <c r="U20" s="139" t="s">
        <v>24</v>
      </c>
      <c r="V20" s="139" t="s">
        <v>25</v>
      </c>
      <c r="W20" s="139" t="s">
        <v>26</v>
      </c>
      <c r="X20" s="139" t="s">
        <v>27</v>
      </c>
      <c r="Y20" s="139" t="s">
        <v>47</v>
      </c>
      <c r="Z20" s="139" t="s">
        <v>46</v>
      </c>
      <c r="AA20" s="139" t="s">
        <v>28</v>
      </c>
    </row>
    <row r="21" spans="2:28" ht="19.2" customHeight="1" x14ac:dyDescent="0.25">
      <c r="B21" s="423" t="s">
        <v>152</v>
      </c>
      <c r="C21" s="423"/>
      <c r="D21" s="337"/>
      <c r="E21" s="337" t="s">
        <v>48</v>
      </c>
      <c r="F21" s="424"/>
      <c r="G21" s="337"/>
      <c r="H21" s="337" t="str">
        <f>General!$B$6&amp;"/Year"</f>
        <v>Mt/Year</v>
      </c>
      <c r="I21" s="337" t="str">
        <f>General!D26</f>
        <v>M$/Mt/a</v>
      </c>
      <c r="J21" s="337" t="str">
        <f>General!$D$22</f>
        <v>M$/Mt</v>
      </c>
      <c r="K21" s="337" t="str">
        <f>General!D23</f>
        <v>PJ/Mt</v>
      </c>
      <c r="L21" s="337" t="s">
        <v>666</v>
      </c>
      <c r="M21" s="337" t="str">
        <f>General!$B$6&amp;"/Year"</f>
        <v>Mt/Year</v>
      </c>
      <c r="O21" s="99" t="s">
        <v>754</v>
      </c>
      <c r="P21" s="99" t="s">
        <v>763</v>
      </c>
      <c r="S21" s="99" t="s">
        <v>774</v>
      </c>
      <c r="U21" s="99" t="s">
        <v>480</v>
      </c>
      <c r="V21" s="99" t="s">
        <v>485</v>
      </c>
      <c r="W21" s="99" t="str">
        <f>General!$B$6</f>
        <v>Mt</v>
      </c>
      <c r="X21" s="99" t="str">
        <f>General!$B$6&amp;"a"</f>
        <v>Mta</v>
      </c>
      <c r="Y21" s="99" t="s">
        <v>126</v>
      </c>
    </row>
    <row r="22" spans="2:28" x14ac:dyDescent="0.25">
      <c r="C22" s="99" t="str">
        <f>$U$21</f>
        <v>INDISTSNTE_00</v>
      </c>
      <c r="D22" s="99" t="str">
        <f>$V$21</f>
        <v>Iron&amp;Steel Sintering</v>
      </c>
      <c r="E22" s="99" t="str">
        <f>Commodities!D46</f>
        <v>INDCOABIC</v>
      </c>
      <c r="F22" s="147"/>
      <c r="G22" s="219">
        <v>1</v>
      </c>
      <c r="H22" s="292">
        <f>L10/10^6*1.1</f>
        <v>0.19800000000000001</v>
      </c>
      <c r="I22" s="118"/>
      <c r="J22" s="118"/>
      <c r="K22" s="251">
        <f>HLOOKUP(E22,IST_BAL!$C$18:$T$25,2,FALSE)/($H$22/1.1)</f>
        <v>0</v>
      </c>
      <c r="L22" s="118"/>
      <c r="M22" s="219">
        <f>H22</f>
        <v>0.19800000000000001</v>
      </c>
      <c r="O22" s="425">
        <f>SUM(O23:O27)</f>
        <v>2.0350298586203035</v>
      </c>
      <c r="P22" s="426">
        <f>SUM(P23:P27)</f>
        <v>2.2171016587383656</v>
      </c>
      <c r="S22" s="99" t="s">
        <v>774</v>
      </c>
      <c r="U22" s="99" t="s">
        <v>481</v>
      </c>
      <c r="V22" s="99" t="s">
        <v>790</v>
      </c>
      <c r="W22" s="99" t="str">
        <f>W21</f>
        <v>Mt</v>
      </c>
      <c r="X22" s="99" t="str">
        <f>General!$B$6&amp;"a"</f>
        <v>Mta</v>
      </c>
      <c r="Y22" s="99" t="s">
        <v>126</v>
      </c>
    </row>
    <row r="23" spans="2:28" x14ac:dyDescent="0.25">
      <c r="E23" s="99" t="str">
        <f>Commodities!D88</f>
        <v>INDISTHTH</v>
      </c>
      <c r="F23" s="154"/>
      <c r="G23" s="219"/>
      <c r="H23" s="292"/>
      <c r="I23" s="118"/>
      <c r="J23" s="118"/>
      <c r="K23" s="251">
        <f>HLOOKUP(E23,IST_BAL!$C$18:$T$25,2,FALSE)/($H$22/1.1)</f>
        <v>0</v>
      </c>
      <c r="L23" s="118"/>
      <c r="M23" s="118"/>
      <c r="O23" s="427">
        <v>0</v>
      </c>
      <c r="P23" s="428">
        <v>0.62557934406538762</v>
      </c>
      <c r="Q23" s="99" t="s">
        <v>747</v>
      </c>
      <c r="S23" s="99" t="s">
        <v>774</v>
      </c>
      <c r="U23" s="99" t="s">
        <v>482</v>
      </c>
      <c r="V23" s="99" t="s">
        <v>486</v>
      </c>
      <c r="W23" s="99" t="str">
        <f>W22</f>
        <v>Mt</v>
      </c>
      <c r="X23" s="99" t="str">
        <f>General!$B$6&amp;"a"</f>
        <v>Mta</v>
      </c>
      <c r="Y23" s="99" t="s">
        <v>126</v>
      </c>
    </row>
    <row r="24" spans="2:28" x14ac:dyDescent="0.25">
      <c r="D24" s="216"/>
      <c r="E24" s="99" t="str">
        <f>Commodities!D56</f>
        <v>INDOILHFO</v>
      </c>
      <c r="F24" s="154"/>
      <c r="G24" s="219"/>
      <c r="H24" s="292"/>
      <c r="I24" s="118"/>
      <c r="J24" s="118"/>
      <c r="K24" s="251">
        <f>HLOOKUP(E24,IST_BAL!$C$18:$T$25,2,FALSE)/($H$22/1.1)</f>
        <v>0</v>
      </c>
      <c r="L24" s="118"/>
      <c r="M24" s="118"/>
      <c r="O24" s="427">
        <v>0</v>
      </c>
      <c r="P24" s="428">
        <v>0.53434149683755328</v>
      </c>
      <c r="Q24" s="99" t="s">
        <v>748</v>
      </c>
      <c r="S24" s="99" t="s">
        <v>275</v>
      </c>
      <c r="U24" s="99" t="s">
        <v>737</v>
      </c>
      <c r="V24" s="99" t="s">
        <v>487</v>
      </c>
      <c r="W24" s="99" t="str">
        <f>W23</f>
        <v>Mt</v>
      </c>
      <c r="X24" s="99" t="str">
        <f>General!$B$6&amp;"a"</f>
        <v>Mta</v>
      </c>
    </row>
    <row r="25" spans="2:28" x14ac:dyDescent="0.25">
      <c r="D25" s="216"/>
      <c r="E25" s="99" t="str">
        <f>Commodities!D61</f>
        <v>INDGASNAT</v>
      </c>
      <c r="F25" s="154"/>
      <c r="G25" s="219"/>
      <c r="H25" s="292"/>
      <c r="I25" s="118"/>
      <c r="J25" s="118"/>
      <c r="K25" s="251">
        <f>HLOOKUP(E25,IST_BAL!$C$18:$T$25,2,FALSE)/($H$22/1.1)</f>
        <v>1.7445000000000002</v>
      </c>
      <c r="L25" s="118"/>
      <c r="M25" s="118"/>
      <c r="O25" s="427">
        <v>1.3932094921318028</v>
      </c>
      <c r="P25" s="428">
        <v>0.9072812754991797</v>
      </c>
      <c r="Q25" s="99" t="s">
        <v>749</v>
      </c>
      <c r="S25" s="99" t="s">
        <v>289</v>
      </c>
      <c r="U25" s="99" t="s">
        <v>483</v>
      </c>
      <c r="V25" s="99" t="s">
        <v>488</v>
      </c>
      <c r="W25" s="104" t="str">
        <f>General!$B$2</f>
        <v>PJ</v>
      </c>
      <c r="X25" s="104" t="str">
        <f>General!C5</f>
        <v>PJa</v>
      </c>
    </row>
    <row r="26" spans="2:28" x14ac:dyDescent="0.25">
      <c r="D26" s="216"/>
      <c r="E26" s="99" t="str">
        <f>Commodities!D77</f>
        <v>INDELC</v>
      </c>
      <c r="F26" s="154"/>
      <c r="G26" s="219"/>
      <c r="H26" s="292"/>
      <c r="I26" s="118"/>
      <c r="J26" s="118"/>
      <c r="K26" s="251">
        <f>HLOOKUP(E26,IST_BAL!$C$18:$T$25,2,FALSE)/($H$22/1.1)</f>
        <v>0.27912000000000003</v>
      </c>
      <c r="L26" s="118"/>
      <c r="M26" s="118"/>
      <c r="O26" s="427">
        <v>0</v>
      </c>
      <c r="P26" s="428">
        <v>0</v>
      </c>
      <c r="Q26" s="99" t="s">
        <v>750</v>
      </c>
      <c r="S26" s="99" t="s">
        <v>365</v>
      </c>
      <c r="U26" s="99" t="s">
        <v>484</v>
      </c>
      <c r="V26" s="99" t="s">
        <v>489</v>
      </c>
      <c r="W26" s="104" t="str">
        <f>General!$B$2</f>
        <v>PJ</v>
      </c>
      <c r="X26" s="104" t="str">
        <f>General!B5</f>
        <v>GW</v>
      </c>
      <c r="Y26" s="99" t="s">
        <v>126</v>
      </c>
    </row>
    <row r="27" spans="2:28" x14ac:dyDescent="0.25">
      <c r="D27" s="216"/>
      <c r="E27" s="99" t="str">
        <f>Commodities!D62</f>
        <v>INDGASBFG</v>
      </c>
      <c r="F27" s="154"/>
      <c r="G27" s="219"/>
      <c r="H27" s="292"/>
      <c r="I27" s="118"/>
      <c r="J27" s="118"/>
      <c r="K27" s="251">
        <f>HLOOKUP(E27,IST_BAL!$C$18:$T$25,2,FALSE)/($H$22/1.1)</f>
        <v>0</v>
      </c>
      <c r="L27" s="118"/>
      <c r="M27" s="118"/>
      <c r="O27" s="429">
        <v>0.64182036648850072</v>
      </c>
      <c r="P27" s="430">
        <v>0.149899542336245</v>
      </c>
      <c r="Q27" s="99" t="s">
        <v>190</v>
      </c>
    </row>
    <row r="28" spans="2:28" x14ac:dyDescent="0.25">
      <c r="D28" s="216"/>
      <c r="E28" s="99" t="str">
        <f>Commodities!D49</f>
        <v>INDCOACOC</v>
      </c>
      <c r="F28" s="154"/>
      <c r="G28" s="219"/>
      <c r="H28" s="292"/>
      <c r="I28" s="118"/>
      <c r="J28" s="118"/>
      <c r="K28" s="251">
        <f>HLOOKUP(E28,IST_BAL!$C$18:$T$25,2,FALSE)/($H$22/1.1)</f>
        <v>2.0933999999999999</v>
      </c>
      <c r="L28" s="118"/>
      <c r="M28" s="118"/>
    </row>
    <row r="29" spans="2:28" x14ac:dyDescent="0.25">
      <c r="D29" s="216"/>
      <c r="E29" s="99" t="str">
        <f>Commodities!AI11</f>
        <v>MATORE</v>
      </c>
      <c r="F29" s="154"/>
      <c r="G29" s="219"/>
      <c r="H29" s="292"/>
      <c r="I29" s="118"/>
      <c r="J29" s="118"/>
      <c r="K29" s="118">
        <v>1</v>
      </c>
      <c r="L29" s="118"/>
      <c r="M29" s="118"/>
    </row>
    <row r="30" spans="2:28" x14ac:dyDescent="0.25">
      <c r="B30" s="149"/>
      <c r="C30" s="149"/>
      <c r="D30" s="225"/>
      <c r="E30" s="149"/>
      <c r="F30" s="150" t="str">
        <f>Commodities!AI7</f>
        <v>MATRIR</v>
      </c>
      <c r="G30" s="226"/>
      <c r="H30" s="342"/>
      <c r="I30" s="152"/>
      <c r="J30" s="152"/>
      <c r="K30" s="152"/>
      <c r="L30" s="152">
        <v>1</v>
      </c>
      <c r="M30" s="152"/>
    </row>
    <row r="31" spans="2:28" x14ac:dyDescent="0.25">
      <c r="C31" s="99" t="str">
        <f>$U$22</f>
        <v>INDISTPIRE_00</v>
      </c>
      <c r="D31" s="99" t="str">
        <f>$V$22</f>
        <v>Pig Iron Production (and ferrochrome smelting)</v>
      </c>
      <c r="E31" s="99" t="str">
        <f>E22</f>
        <v>INDCOABIC</v>
      </c>
      <c r="F31" s="154"/>
      <c r="G31" s="219">
        <v>1</v>
      </c>
      <c r="H31" s="292">
        <f>(L10+L6)/10^6*1.1</f>
        <v>0.19800000000000001</v>
      </c>
      <c r="I31" s="118"/>
      <c r="J31" s="118"/>
      <c r="K31" s="251">
        <f>HLOOKUP(E31,IST_BAL!$C$18:$T$25,3,FALSE)/($H$31/1.1)</f>
        <v>0</v>
      </c>
      <c r="L31" s="118"/>
      <c r="M31" s="219">
        <f>H31</f>
        <v>0.19800000000000001</v>
      </c>
      <c r="O31" s="425">
        <f>SUM(O32:O36)</f>
        <v>13.333515633680218</v>
      </c>
      <c r="P31" s="426">
        <f>SUM(P32:P36)</f>
        <v>14.526450068053776</v>
      </c>
    </row>
    <row r="32" spans="2:28" x14ac:dyDescent="0.25">
      <c r="E32" s="99" t="str">
        <f t="shared" ref="E32:E37" si="0">E23</f>
        <v>INDISTHTH</v>
      </c>
      <c r="F32" s="154"/>
      <c r="G32" s="219"/>
      <c r="H32" s="292"/>
      <c r="I32" s="118"/>
      <c r="J32" s="118"/>
      <c r="K32" s="251">
        <f>HLOOKUP(E32,IST_BAL!$C$18:$T$25,3,FALSE)/($H$31/1.1)</f>
        <v>0</v>
      </c>
      <c r="L32" s="118"/>
      <c r="M32" s="118"/>
      <c r="O32" s="349">
        <v>2.4490306633671399</v>
      </c>
      <c r="P32" s="350">
        <v>2.553131245525917</v>
      </c>
      <c r="Q32" s="99" t="s">
        <v>747</v>
      </c>
    </row>
    <row r="33" spans="2:17" x14ac:dyDescent="0.25">
      <c r="E33" s="99" t="str">
        <f t="shared" si="0"/>
        <v>INDOILHFO</v>
      </c>
      <c r="F33" s="154"/>
      <c r="G33" s="219"/>
      <c r="H33" s="292"/>
      <c r="I33" s="118"/>
      <c r="J33" s="118"/>
      <c r="K33" s="251">
        <f>HLOOKUP(E33,IST_BAL!$C$18:$T$25,3,FALSE)/($H$31/1.1)</f>
        <v>0</v>
      </c>
      <c r="L33" s="118"/>
      <c r="M33" s="118"/>
      <c r="O33" s="349">
        <v>8.6349799490877359</v>
      </c>
      <c r="P33" s="350">
        <v>10.242150805930018</v>
      </c>
      <c r="Q33" s="99" t="s">
        <v>751</v>
      </c>
    </row>
    <row r="34" spans="2:17" x14ac:dyDescent="0.25">
      <c r="E34" s="99" t="str">
        <f t="shared" si="0"/>
        <v>INDGASNAT</v>
      </c>
      <c r="F34" s="154"/>
      <c r="G34" s="219"/>
      <c r="H34" s="292"/>
      <c r="I34" s="118"/>
      <c r="J34" s="118"/>
      <c r="K34" s="251">
        <f>HLOOKUP(E34,IST_BAL!$C$18:$T$25,3,FALSE)/($H$31/1.1)</f>
        <v>2.7912000000000008</v>
      </c>
      <c r="L34" s="118"/>
      <c r="M34" s="118"/>
      <c r="O34" s="349">
        <v>0.24353638508760272</v>
      </c>
      <c r="P34" s="350">
        <v>0</v>
      </c>
      <c r="Q34" s="99" t="s">
        <v>748</v>
      </c>
    </row>
    <row r="35" spans="2:17" x14ac:dyDescent="0.25">
      <c r="E35" s="99" t="str">
        <f t="shared" si="0"/>
        <v>INDELC</v>
      </c>
      <c r="F35" s="154"/>
      <c r="G35" s="219"/>
      <c r="H35" s="292"/>
      <c r="I35" s="118"/>
      <c r="J35" s="118"/>
      <c r="K35" s="251">
        <f>HLOOKUP(E35,IST_BAL!$C$18:$T$25,3,FALSE)/($H$31/1.1)</f>
        <v>2.7912000000000008</v>
      </c>
      <c r="L35" s="118"/>
      <c r="M35" s="118"/>
      <c r="O35" s="349">
        <v>0.41228856570226169</v>
      </c>
      <c r="P35" s="350">
        <v>0</v>
      </c>
      <c r="Q35" s="99" t="s">
        <v>749</v>
      </c>
    </row>
    <row r="36" spans="2:17" x14ac:dyDescent="0.25">
      <c r="E36" s="99" t="str">
        <f t="shared" si="0"/>
        <v>INDGASBFG</v>
      </c>
      <c r="F36" s="154"/>
      <c r="G36" s="219"/>
      <c r="H36" s="292"/>
      <c r="I36" s="118"/>
      <c r="J36" s="118"/>
      <c r="K36" s="251">
        <f>HLOOKUP(E36,IST_BAL!$C$18:$T$25,3,FALSE)/($H$31/1.1)</f>
        <v>0</v>
      </c>
      <c r="L36" s="118"/>
      <c r="M36" s="118"/>
      <c r="O36" s="357">
        <v>1.5936800704354765</v>
      </c>
      <c r="P36" s="358">
        <v>1.7311680165978418</v>
      </c>
      <c r="Q36" s="99" t="s">
        <v>821</v>
      </c>
    </row>
    <row r="37" spans="2:17" x14ac:dyDescent="0.25">
      <c r="E37" s="99" t="str">
        <f t="shared" si="0"/>
        <v>INDCOACOC</v>
      </c>
      <c r="F37" s="154"/>
      <c r="G37" s="219"/>
      <c r="H37" s="292"/>
      <c r="I37" s="118"/>
      <c r="J37" s="118"/>
      <c r="K37" s="251">
        <f>HLOOKUP(E37,IST_BAL!$C$18:$T$25,3,FALSE)/($H$31/1.1)</f>
        <v>9.7691999999999997</v>
      </c>
      <c r="L37" s="118"/>
      <c r="M37" s="118"/>
    </row>
    <row r="38" spans="2:17" x14ac:dyDescent="0.25">
      <c r="E38" s="99" t="str">
        <f>F30</f>
        <v>MATRIR</v>
      </c>
      <c r="F38" s="154"/>
      <c r="G38" s="219"/>
      <c r="H38" s="292"/>
      <c r="I38" s="118"/>
      <c r="J38" s="118"/>
      <c r="K38" s="251">
        <f>($L$10/($L$10+$L$6))</f>
        <v>1</v>
      </c>
      <c r="L38" s="118"/>
      <c r="M38" s="118"/>
    </row>
    <row r="39" spans="2:17" x14ac:dyDescent="0.25">
      <c r="B39" s="149"/>
      <c r="C39" s="149"/>
      <c r="D39" s="149"/>
      <c r="E39" s="149"/>
      <c r="F39" s="150" t="str">
        <f>Commodities!AI9</f>
        <v>MATPIR</v>
      </c>
      <c r="G39" s="226"/>
      <c r="H39" s="342"/>
      <c r="I39" s="152"/>
      <c r="J39" s="152"/>
      <c r="K39" s="152"/>
      <c r="L39" s="342">
        <v>1</v>
      </c>
      <c r="M39" s="152"/>
    </row>
    <row r="40" spans="2:17" x14ac:dyDescent="0.25">
      <c r="C40" s="99" t="str">
        <f>$U$23</f>
        <v>INDISTCSTE_00</v>
      </c>
      <c r="D40" s="99" t="str">
        <f>$V$23</f>
        <v>Crude Steel Production</v>
      </c>
      <c r="E40" s="104" t="str">
        <f>E31</f>
        <v>INDCOABIC</v>
      </c>
      <c r="F40" s="154"/>
      <c r="G40" s="219">
        <v>1</v>
      </c>
      <c r="H40" s="292">
        <f>L10/10^6*1.1</f>
        <v>0.19800000000000001</v>
      </c>
      <c r="I40" s="146"/>
      <c r="J40" s="146"/>
      <c r="K40" s="251">
        <f>HLOOKUP(E40,IST_BAL!$C$18:$T$25,4,FALSE)/($H$40/1.1)</f>
        <v>0</v>
      </c>
      <c r="L40" s="118"/>
      <c r="M40" s="219">
        <f>H40</f>
        <v>0.19800000000000001</v>
      </c>
      <c r="O40" s="425">
        <f>SUM(O41:O45)</f>
        <v>3.052544787930453</v>
      </c>
      <c r="P40" s="426">
        <f>SUM(P41:P45)</f>
        <v>3.3256524881075489</v>
      </c>
    </row>
    <row r="41" spans="2:17" x14ac:dyDescent="0.25">
      <c r="C41" s="104"/>
      <c r="D41" s="104"/>
      <c r="E41" s="104" t="str">
        <f t="shared" ref="E41:E44" si="1">E32</f>
        <v>INDISTHTH</v>
      </c>
      <c r="F41" s="154"/>
      <c r="G41" s="223"/>
      <c r="H41" s="360"/>
      <c r="I41" s="146"/>
      <c r="J41" s="146"/>
      <c r="K41" s="251">
        <f>HLOOKUP(E41,IST_BAL!$C$18:$T$25,4,FALSE)/($H$40/1.1)</f>
        <v>0</v>
      </c>
      <c r="L41" s="118"/>
      <c r="M41" s="118"/>
      <c r="O41" s="349">
        <v>4.5998557581996655E-2</v>
      </c>
      <c r="P41" s="350">
        <v>4.3133569311164452E-2</v>
      </c>
      <c r="Q41" s="99" t="s">
        <v>163</v>
      </c>
    </row>
    <row r="42" spans="2:17" x14ac:dyDescent="0.25">
      <c r="C42" s="104"/>
      <c r="D42" s="104"/>
      <c r="E42" s="104" t="str">
        <f t="shared" si="1"/>
        <v>INDOILHFO</v>
      </c>
      <c r="F42" s="154"/>
      <c r="G42" s="223"/>
      <c r="H42" s="360"/>
      <c r="I42" s="146"/>
      <c r="J42" s="146"/>
      <c r="K42" s="251">
        <f>HLOOKUP(E42,IST_BAL!$C$18:$T$25,4,FALSE)/($H$40/1.1)</f>
        <v>0</v>
      </c>
      <c r="L42" s="118"/>
      <c r="M42" s="118"/>
      <c r="O42" s="349">
        <v>8.1020746479773531E-3</v>
      </c>
      <c r="P42" s="350">
        <v>3.5226485757545327E-2</v>
      </c>
      <c r="Q42" s="99" t="s">
        <v>752</v>
      </c>
    </row>
    <row r="43" spans="2:17" x14ac:dyDescent="0.25">
      <c r="C43" s="104"/>
      <c r="D43" s="104"/>
      <c r="E43" s="104" t="str">
        <f t="shared" si="1"/>
        <v>INDGASNAT</v>
      </c>
      <c r="F43" s="154"/>
      <c r="G43" s="223"/>
      <c r="H43" s="360"/>
      <c r="I43" s="146"/>
      <c r="J43" s="146"/>
      <c r="K43" s="251">
        <f>HLOOKUP(E43,IST_BAL!$C$18:$T$25,4,FALSE)/($H$40/1.1)</f>
        <v>1.3956000000000004</v>
      </c>
      <c r="L43" s="118"/>
      <c r="M43" s="118"/>
      <c r="O43" s="349">
        <v>0</v>
      </c>
      <c r="P43" s="350">
        <v>0</v>
      </c>
      <c r="Q43" s="99" t="s">
        <v>748</v>
      </c>
    </row>
    <row r="44" spans="2:17" x14ac:dyDescent="0.25">
      <c r="C44" s="104"/>
      <c r="D44" s="104"/>
      <c r="E44" s="104" t="str">
        <f t="shared" si="1"/>
        <v>INDELC</v>
      </c>
      <c r="F44" s="154"/>
      <c r="G44" s="223"/>
      <c r="H44" s="360"/>
      <c r="I44" s="146"/>
      <c r="J44" s="146"/>
      <c r="K44" s="251">
        <f>HLOOKUP(E44,IST_BAL!$C$18:$T$25,4,FALSE)/($H$40/1.1)</f>
        <v>1.0467</v>
      </c>
      <c r="L44" s="118"/>
      <c r="M44" s="118"/>
      <c r="O44" s="349">
        <v>2.0389420258763256</v>
      </c>
      <c r="P44" s="350">
        <v>2.2081588544664106</v>
      </c>
      <c r="Q44" s="99" t="s">
        <v>749</v>
      </c>
    </row>
    <row r="45" spans="2:17" x14ac:dyDescent="0.25">
      <c r="C45" s="104"/>
      <c r="D45" s="104"/>
      <c r="E45" s="104" t="str">
        <f>Commodities!D52</f>
        <v>INDOILDSL</v>
      </c>
      <c r="F45" s="154"/>
      <c r="G45" s="223"/>
      <c r="H45" s="360"/>
      <c r="I45" s="146"/>
      <c r="J45" s="146"/>
      <c r="K45" s="251">
        <f>HLOOKUP(E45,IST_BAL!$C$18:$T$25,4,FALSE)/($H$40/1.1)</f>
        <v>0</v>
      </c>
      <c r="L45" s="118"/>
      <c r="M45" s="118"/>
      <c r="O45" s="357">
        <v>0.95950212982415317</v>
      </c>
      <c r="P45" s="358">
        <v>1.0391335785724289</v>
      </c>
      <c r="Q45" s="99" t="s">
        <v>753</v>
      </c>
    </row>
    <row r="46" spans="2:17" x14ac:dyDescent="0.25">
      <c r="C46" s="104"/>
      <c r="D46" s="104"/>
      <c r="E46" s="104" t="str">
        <f>Commodities!D54</f>
        <v>INDOILLPG</v>
      </c>
      <c r="F46" s="154"/>
      <c r="G46" s="223"/>
      <c r="H46" s="360"/>
      <c r="I46" s="146"/>
      <c r="J46" s="146"/>
      <c r="K46" s="251">
        <f>HLOOKUP(E46,IST_BAL!$C$18:$T$25,4,FALSE)/($H$40/1.1)</f>
        <v>0</v>
      </c>
      <c r="L46" s="118"/>
      <c r="M46" s="118"/>
    </row>
    <row r="47" spans="2:17" x14ac:dyDescent="0.25">
      <c r="C47" s="104"/>
      <c r="D47" s="104"/>
      <c r="E47" s="104" t="str">
        <f>F39</f>
        <v>MATPIR</v>
      </c>
      <c r="F47" s="154"/>
      <c r="G47" s="223"/>
      <c r="H47" s="360"/>
      <c r="I47" s="146"/>
      <c r="J47" s="146"/>
      <c r="K47" s="251">
        <f>($L$10/($L$10+$L$6))^-1</f>
        <v>1</v>
      </c>
      <c r="L47" s="118"/>
      <c r="M47" s="118"/>
    </row>
    <row r="48" spans="2:17" x14ac:dyDescent="0.25">
      <c r="B48" s="149"/>
      <c r="C48" s="149"/>
      <c r="D48" s="149"/>
      <c r="E48" s="149"/>
      <c r="F48" s="150" t="str">
        <f>Commodities!AI10</f>
        <v>MATCST</v>
      </c>
      <c r="G48" s="226"/>
      <c r="H48" s="342"/>
      <c r="I48" s="152"/>
      <c r="J48" s="152"/>
      <c r="K48" s="152"/>
      <c r="L48" s="152">
        <v>1</v>
      </c>
      <c r="M48" s="152"/>
    </row>
    <row r="49" spans="2:17" x14ac:dyDescent="0.25">
      <c r="C49" s="104" t="str">
        <f>$U$24</f>
        <v>INDDEMISTFSTE_00</v>
      </c>
      <c r="D49" s="104" t="str">
        <f>$V$24</f>
        <v>Finishing Steel</v>
      </c>
      <c r="E49" s="104" t="str">
        <f>E40</f>
        <v>INDCOABIC</v>
      </c>
      <c r="F49" s="154"/>
      <c r="G49" s="219">
        <v>1</v>
      </c>
      <c r="H49" s="292">
        <f>G9*1.1</f>
        <v>0.19800000000000001</v>
      </c>
      <c r="I49" s="146"/>
      <c r="J49" s="146"/>
      <c r="K49" s="251">
        <f>HLOOKUP(E49,IST_BAL!$C$18:$T$25,5,FALSE)/($G$9)</f>
        <v>0</v>
      </c>
      <c r="L49" s="146"/>
      <c r="M49" s="219">
        <f>H49</f>
        <v>0.19800000000000001</v>
      </c>
      <c r="O49" s="425">
        <f>SUM(O50:O54)</f>
        <v>1.372183233533558</v>
      </c>
      <c r="P49" s="426">
        <f>SUM(P50:P54)</f>
        <v>1.4982845871792019</v>
      </c>
    </row>
    <row r="50" spans="2:17" x14ac:dyDescent="0.25">
      <c r="C50" s="104"/>
      <c r="D50" s="104"/>
      <c r="E50" s="104" t="str">
        <f t="shared" ref="E50:E55" si="2">E41</f>
        <v>INDISTHTH</v>
      </c>
      <c r="F50" s="154"/>
      <c r="G50" s="223"/>
      <c r="H50" s="223"/>
      <c r="I50" s="146"/>
      <c r="J50" s="146"/>
      <c r="K50" s="251">
        <f>HLOOKUP(E50,IST_BAL!$C$18:$T$25,5,FALSE)/($G$9)</f>
        <v>0</v>
      </c>
      <c r="L50" s="146"/>
      <c r="M50" s="146"/>
      <c r="O50" s="427">
        <v>0.35949850609597972</v>
      </c>
      <c r="P50" s="428">
        <v>0.17145733170764491</v>
      </c>
      <c r="Q50" s="99" t="s">
        <v>747</v>
      </c>
    </row>
    <row r="51" spans="2:17" x14ac:dyDescent="0.25">
      <c r="C51" s="104"/>
      <c r="D51" s="104"/>
      <c r="E51" s="104" t="str">
        <f t="shared" si="2"/>
        <v>INDOILHFO</v>
      </c>
      <c r="F51" s="154"/>
      <c r="G51" s="223"/>
      <c r="H51" s="223"/>
      <c r="I51" s="146"/>
      <c r="J51" s="146"/>
      <c r="K51" s="251">
        <f>HLOOKUP(E51,IST_BAL!$C$18:$T$25,5,FALSE)/($G$9)</f>
        <v>0</v>
      </c>
      <c r="L51" s="146"/>
      <c r="M51" s="146"/>
      <c r="O51" s="427">
        <v>1.1394903049603E-2</v>
      </c>
      <c r="P51" s="428">
        <v>6.0235068796453154E-3</v>
      </c>
      <c r="Q51" s="99" t="s">
        <v>163</v>
      </c>
    </row>
    <row r="52" spans="2:17" x14ac:dyDescent="0.25">
      <c r="C52" s="104"/>
      <c r="D52" s="104"/>
      <c r="E52" s="104" t="str">
        <f t="shared" si="2"/>
        <v>INDGASNAT</v>
      </c>
      <c r="F52" s="154"/>
      <c r="G52" s="223"/>
      <c r="H52" s="223"/>
      <c r="I52" s="146"/>
      <c r="J52" s="146"/>
      <c r="K52" s="251">
        <f>HLOOKUP(E52,IST_BAL!$C$18:$T$25,5,FALSE)/($G$9)</f>
        <v>1.0467000000000002</v>
      </c>
      <c r="L52" s="146"/>
      <c r="M52" s="146"/>
      <c r="O52" s="427">
        <f>0.882643045330475+0.06</f>
        <v>0.94264304533047505</v>
      </c>
      <c r="P52" s="428">
        <f>0.502166946427602+0.09</f>
        <v>0.59216694642760193</v>
      </c>
      <c r="Q52" s="99" t="s">
        <v>749</v>
      </c>
    </row>
    <row r="53" spans="2:17" x14ac:dyDescent="0.25">
      <c r="C53" s="104"/>
      <c r="D53" s="104"/>
      <c r="E53" s="104" t="str">
        <f t="shared" si="2"/>
        <v>INDELC</v>
      </c>
      <c r="F53" s="154"/>
      <c r="G53" s="223"/>
      <c r="H53" s="223"/>
      <c r="I53" s="146"/>
      <c r="J53" s="146"/>
      <c r="K53" s="251">
        <f>HLOOKUP(E53,IST_BAL!$C$18:$T$25,5,FALSE)/($G$9)</f>
        <v>2.8609800000000001</v>
      </c>
      <c r="L53" s="146"/>
      <c r="M53" s="146"/>
      <c r="O53" s="427">
        <v>0</v>
      </c>
      <c r="P53" s="428">
        <v>0.6386315467082444</v>
      </c>
      <c r="Q53" s="99" t="s">
        <v>755</v>
      </c>
    </row>
    <row r="54" spans="2:17" x14ac:dyDescent="0.25">
      <c r="C54" s="104"/>
      <c r="D54" s="104"/>
      <c r="E54" s="104" t="str">
        <f t="shared" si="2"/>
        <v>INDOILDSL</v>
      </c>
      <c r="F54" s="154"/>
      <c r="G54" s="223"/>
      <c r="H54" s="223"/>
      <c r="I54" s="146"/>
      <c r="J54" s="146"/>
      <c r="K54" s="251">
        <f>HLOOKUP(E54,IST_BAL!$C$18:$T$25,5,FALSE)/($G$9)</f>
        <v>0</v>
      </c>
      <c r="L54" s="146"/>
      <c r="M54" s="146"/>
      <c r="O54" s="429">
        <v>5.8646779057500376E-2</v>
      </c>
      <c r="P54" s="430">
        <v>9.0005255456065331E-2</v>
      </c>
      <c r="Q54" s="99" t="s">
        <v>756</v>
      </c>
    </row>
    <row r="55" spans="2:17" x14ac:dyDescent="0.25">
      <c r="C55" s="104"/>
      <c r="D55" s="104"/>
      <c r="E55" s="104" t="str">
        <f t="shared" si="2"/>
        <v>INDOILLPG</v>
      </c>
      <c r="F55" s="154"/>
      <c r="G55" s="223"/>
      <c r="H55" s="223"/>
      <c r="I55" s="146"/>
      <c r="J55" s="146"/>
      <c r="K55" s="251">
        <f>HLOOKUP(E55,IST_BAL!$C$18:$T$25,5,FALSE)/($G$9)</f>
        <v>0</v>
      </c>
      <c r="L55" s="146"/>
      <c r="M55" s="146"/>
      <c r="O55" s="431">
        <v>0.5</v>
      </c>
      <c r="P55" s="144">
        <v>0.5</v>
      </c>
      <c r="Q55" s="99" t="s">
        <v>822</v>
      </c>
    </row>
    <row r="56" spans="2:17" x14ac:dyDescent="0.25">
      <c r="C56" s="104"/>
      <c r="D56" s="104"/>
      <c r="E56" s="104" t="str">
        <f>F48</f>
        <v>MATCST</v>
      </c>
      <c r="F56" s="154"/>
      <c r="G56" s="223"/>
      <c r="H56" s="223"/>
      <c r="I56" s="146"/>
      <c r="J56" s="146"/>
      <c r="K56" s="234">
        <f>($L$15/$L$10)^-1</f>
        <v>1</v>
      </c>
      <c r="L56" s="146"/>
      <c r="M56" s="146"/>
      <c r="O56" s="99" t="s">
        <v>823</v>
      </c>
    </row>
    <row r="57" spans="2:17" x14ac:dyDescent="0.25">
      <c r="B57" s="149"/>
      <c r="C57" s="149"/>
      <c r="D57" s="149"/>
      <c r="E57" s="149"/>
      <c r="F57" s="150" t="str">
        <f>Commodities!Y7</f>
        <v>INDFST</v>
      </c>
      <c r="G57" s="226"/>
      <c r="H57" s="226"/>
      <c r="I57" s="152"/>
      <c r="J57" s="152"/>
      <c r="K57" s="295"/>
      <c r="L57" s="152">
        <v>1</v>
      </c>
      <c r="M57" s="152"/>
    </row>
    <row r="60" spans="2:17" x14ac:dyDescent="0.25">
      <c r="F60" s="126" t="s">
        <v>15</v>
      </c>
      <c r="G60" s="127"/>
      <c r="H60" s="165"/>
      <c r="I60" s="127"/>
      <c r="J60" s="127"/>
      <c r="K60" s="129"/>
    </row>
    <row r="61" spans="2:17" x14ac:dyDescent="0.25">
      <c r="B61" s="130" t="s">
        <v>33</v>
      </c>
      <c r="C61" s="130" t="s">
        <v>1</v>
      </c>
      <c r="D61" s="131" t="s">
        <v>41</v>
      </c>
      <c r="E61" s="130" t="s">
        <v>7</v>
      </c>
      <c r="F61" s="132" t="s">
        <v>8</v>
      </c>
      <c r="G61" s="133" t="s">
        <v>17</v>
      </c>
      <c r="H61" s="133" t="s">
        <v>302</v>
      </c>
      <c r="I61" s="133" t="s">
        <v>285</v>
      </c>
      <c r="J61" s="133" t="s">
        <v>299</v>
      </c>
      <c r="K61" s="133" t="s">
        <v>3</v>
      </c>
      <c r="L61" s="133" t="s">
        <v>6</v>
      </c>
      <c r="M61" s="220" t="s">
        <v>148</v>
      </c>
      <c r="N61" s="133" t="s">
        <v>426</v>
      </c>
    </row>
    <row r="62" spans="2:17" ht="28.2" thickBot="1" x14ac:dyDescent="0.3">
      <c r="B62" s="135" t="s">
        <v>150</v>
      </c>
      <c r="C62" s="136" t="s">
        <v>24</v>
      </c>
      <c r="D62" s="136" t="s">
        <v>25</v>
      </c>
      <c r="E62" s="136" t="s">
        <v>35</v>
      </c>
      <c r="F62" s="137" t="s">
        <v>36</v>
      </c>
      <c r="G62" s="136" t="s">
        <v>37</v>
      </c>
      <c r="H62" s="136"/>
      <c r="I62" s="136" t="s">
        <v>286</v>
      </c>
      <c r="J62" s="136" t="s">
        <v>476</v>
      </c>
      <c r="K62" s="136" t="s">
        <v>40</v>
      </c>
      <c r="L62" s="136" t="s">
        <v>39</v>
      </c>
      <c r="M62" s="136" t="s">
        <v>151</v>
      </c>
      <c r="N62" s="136"/>
    </row>
    <row r="63" spans="2:17" ht="32.4" customHeight="1" x14ac:dyDescent="0.25">
      <c r="B63" s="432" t="s">
        <v>152</v>
      </c>
      <c r="C63" s="432"/>
      <c r="D63" s="432"/>
      <c r="E63" s="432" t="s">
        <v>48</v>
      </c>
      <c r="F63" s="433"/>
      <c r="G63" s="432" t="s">
        <v>330</v>
      </c>
      <c r="H63" s="432"/>
      <c r="I63" s="432" t="str">
        <f>General!$D$21</f>
        <v>PJ/year</v>
      </c>
      <c r="J63" s="432" t="s">
        <v>330</v>
      </c>
      <c r="K63" s="432" t="str">
        <f>General!$D$14</f>
        <v>$/GJ/a</v>
      </c>
      <c r="L63" s="432" t="str">
        <f>General!$D$15</f>
        <v>$/GJ</v>
      </c>
      <c r="M63" s="432" t="s">
        <v>294</v>
      </c>
      <c r="N63" s="432"/>
    </row>
    <row r="64" spans="2:17" x14ac:dyDescent="0.25">
      <c r="C64" s="99" t="str">
        <f>U$25</f>
        <v>INDISTBOIE_00</v>
      </c>
      <c r="D64" s="99" t="str">
        <f>V$25</f>
        <v>Boilers Iron&amp;Steel</v>
      </c>
      <c r="E64" s="99" t="s">
        <v>104</v>
      </c>
      <c r="F64" s="147"/>
      <c r="G64" s="234">
        <v>0.8</v>
      </c>
      <c r="H64" s="234">
        <v>1</v>
      </c>
      <c r="I64" s="376">
        <v>0</v>
      </c>
      <c r="J64" s="234">
        <v>0.7</v>
      </c>
      <c r="K64" s="118"/>
      <c r="L64" s="118"/>
      <c r="M64" s="376">
        <v>20</v>
      </c>
      <c r="N64" s="234">
        <v>1</v>
      </c>
    </row>
    <row r="65" spans="2:17" x14ac:dyDescent="0.25">
      <c r="D65" s="216"/>
      <c r="E65" s="99" t="s">
        <v>100</v>
      </c>
      <c r="F65" s="154"/>
      <c r="G65" s="234"/>
      <c r="H65" s="223"/>
      <c r="I65" s="219"/>
      <c r="J65" s="219"/>
      <c r="K65" s="118"/>
      <c r="L65" s="118"/>
      <c r="M65" s="118"/>
      <c r="N65" s="234">
        <v>1</v>
      </c>
    </row>
    <row r="66" spans="2:17" x14ac:dyDescent="0.25">
      <c r="D66" s="216"/>
      <c r="E66" s="99" t="s">
        <v>112</v>
      </c>
      <c r="F66" s="154"/>
      <c r="G66" s="234"/>
      <c r="H66" s="223"/>
      <c r="I66" s="219"/>
      <c r="J66" s="219"/>
      <c r="K66" s="118"/>
      <c r="L66" s="118"/>
      <c r="M66" s="118"/>
      <c r="N66" s="234">
        <v>1</v>
      </c>
    </row>
    <row r="67" spans="2:17" x14ac:dyDescent="0.25">
      <c r="D67" s="216"/>
      <c r="E67" s="99" t="s">
        <v>129</v>
      </c>
      <c r="F67" s="154"/>
      <c r="G67" s="234"/>
      <c r="H67" s="223"/>
      <c r="I67" s="219"/>
      <c r="J67" s="219"/>
      <c r="K67" s="118"/>
      <c r="L67" s="118"/>
      <c r="M67" s="118"/>
      <c r="N67" s="234">
        <v>1</v>
      </c>
    </row>
    <row r="68" spans="2:17" x14ac:dyDescent="0.25">
      <c r="D68" s="216"/>
      <c r="E68" s="99" t="s">
        <v>113</v>
      </c>
      <c r="F68" s="154"/>
      <c r="G68" s="234"/>
      <c r="H68" s="223"/>
      <c r="I68" s="219"/>
      <c r="J68" s="219"/>
      <c r="K68" s="118"/>
      <c r="L68" s="118"/>
      <c r="M68" s="118"/>
      <c r="N68" s="234">
        <v>1</v>
      </c>
      <c r="P68" s="434"/>
      <c r="Q68" s="434"/>
    </row>
    <row r="69" spans="2:17" x14ac:dyDescent="0.25">
      <c r="D69" s="216"/>
      <c r="E69" s="99" t="s">
        <v>101</v>
      </c>
      <c r="F69" s="154"/>
      <c r="G69" s="234"/>
      <c r="H69" s="223"/>
      <c r="I69" s="219"/>
      <c r="J69" s="219"/>
      <c r="K69" s="118"/>
      <c r="L69" s="118"/>
      <c r="M69" s="118"/>
      <c r="N69" s="234">
        <v>1</v>
      </c>
    </row>
    <row r="70" spans="2:17" x14ac:dyDescent="0.25">
      <c r="B70" s="149"/>
      <c r="C70" s="149"/>
      <c r="D70" s="225"/>
      <c r="E70" s="149"/>
      <c r="F70" s="150" t="str">
        <f>Commodities!$D$88</f>
        <v>INDISTHTH</v>
      </c>
      <c r="G70" s="155"/>
      <c r="H70" s="226"/>
      <c r="I70" s="226"/>
      <c r="J70" s="226"/>
      <c r="K70" s="152"/>
      <c r="L70" s="152"/>
      <c r="M70" s="152"/>
      <c r="N70" s="152"/>
    </row>
    <row r="71" spans="2:17" x14ac:dyDescent="0.25">
      <c r="B71" s="104"/>
      <c r="C71" s="104"/>
      <c r="D71" s="104"/>
      <c r="E71" s="104"/>
      <c r="F71" s="104"/>
      <c r="G71" s="146"/>
      <c r="H71" s="223"/>
      <c r="I71" s="223"/>
      <c r="J71" s="223"/>
      <c r="K71" s="146"/>
      <c r="L71" s="146"/>
      <c r="M71" s="146"/>
      <c r="N71" s="146"/>
    </row>
    <row r="72" spans="2:17" x14ac:dyDescent="0.25">
      <c r="B72" s="104"/>
      <c r="C72" s="104"/>
      <c r="D72" s="104"/>
      <c r="E72" s="104"/>
      <c r="F72" s="104"/>
      <c r="G72" s="146"/>
      <c r="H72" s="223"/>
      <c r="I72" s="223"/>
      <c r="J72" s="223"/>
      <c r="K72" s="146"/>
      <c r="L72" s="146"/>
      <c r="M72" s="146"/>
      <c r="N72" s="146"/>
      <c r="O72" s="146"/>
    </row>
    <row r="73" spans="2:17" x14ac:dyDescent="0.25">
      <c r="F73" s="126" t="s">
        <v>15</v>
      </c>
      <c r="G73" s="127"/>
      <c r="H73" s="165"/>
      <c r="I73" s="127"/>
      <c r="J73" s="127"/>
      <c r="K73" s="127"/>
      <c r="L73" s="129"/>
    </row>
    <row r="74" spans="2:17" x14ac:dyDescent="0.25">
      <c r="B74" s="130" t="s">
        <v>33</v>
      </c>
      <c r="C74" s="130" t="s">
        <v>1</v>
      </c>
      <c r="D74" s="131" t="s">
        <v>41</v>
      </c>
      <c r="E74" s="130" t="s">
        <v>7</v>
      </c>
      <c r="F74" s="132" t="s">
        <v>8</v>
      </c>
      <c r="G74" s="133" t="s">
        <v>17</v>
      </c>
      <c r="H74" s="133" t="s">
        <v>302</v>
      </c>
      <c r="I74" s="133" t="s">
        <v>285</v>
      </c>
      <c r="J74" s="133" t="s">
        <v>299</v>
      </c>
      <c r="K74" s="133" t="s">
        <v>3</v>
      </c>
      <c r="L74" s="133" t="s">
        <v>6</v>
      </c>
      <c r="M74" s="133" t="s">
        <v>148</v>
      </c>
      <c r="N74" s="133" t="s">
        <v>426</v>
      </c>
      <c r="O74" s="220" t="s">
        <v>300</v>
      </c>
    </row>
    <row r="75" spans="2:17" ht="28.2" thickBot="1" x14ac:dyDescent="0.3">
      <c r="B75" s="135" t="s">
        <v>150</v>
      </c>
      <c r="C75" s="136" t="s">
        <v>24</v>
      </c>
      <c r="D75" s="136" t="s">
        <v>25</v>
      </c>
      <c r="E75" s="136" t="s">
        <v>35</v>
      </c>
      <c r="F75" s="137" t="s">
        <v>36</v>
      </c>
      <c r="G75" s="136" t="s">
        <v>37</v>
      </c>
      <c r="H75" s="136"/>
      <c r="I75" s="136" t="s">
        <v>286</v>
      </c>
      <c r="J75" s="136" t="s">
        <v>476</v>
      </c>
      <c r="K75" s="136" t="s">
        <v>40</v>
      </c>
      <c r="L75" s="136" t="s">
        <v>39</v>
      </c>
      <c r="M75" s="136" t="s">
        <v>151</v>
      </c>
      <c r="N75" s="136"/>
      <c r="O75" s="136"/>
    </row>
    <row r="76" spans="2:17" x14ac:dyDescent="0.25">
      <c r="B76" s="140" t="s">
        <v>152</v>
      </c>
      <c r="C76" s="140"/>
      <c r="D76" s="141"/>
      <c r="E76" s="141" t="s">
        <v>48</v>
      </c>
      <c r="F76" s="172"/>
      <c r="G76" s="141" t="s">
        <v>330</v>
      </c>
      <c r="H76" s="141"/>
      <c r="I76" s="141" t="str">
        <f>General!$B$5</f>
        <v>GW</v>
      </c>
      <c r="J76" s="141" t="s">
        <v>330</v>
      </c>
      <c r="K76" s="141" t="str">
        <f>General!$D$24</f>
        <v>M$/GW/Year</v>
      </c>
      <c r="L76" s="141" t="str">
        <f>General!D25</f>
        <v>M$/PJ</v>
      </c>
      <c r="M76" s="141" t="s">
        <v>294</v>
      </c>
      <c r="N76" s="141"/>
      <c r="O76" s="432"/>
    </row>
    <row r="77" spans="2:17" x14ac:dyDescent="0.25">
      <c r="C77" s="99" t="str">
        <f>U$26</f>
        <v>INDISTCHPE_00</v>
      </c>
      <c r="D77" s="99" t="str">
        <f>V$26</f>
        <v>On-site CHP Iron&amp;Steel</v>
      </c>
      <c r="E77" s="99" t="s">
        <v>616</v>
      </c>
      <c r="F77" s="147"/>
      <c r="G77" s="234">
        <v>0.32867643975168703</v>
      </c>
      <c r="H77" s="315">
        <f>31.536</f>
        <v>31.536000000000001</v>
      </c>
      <c r="I77" s="315">
        <v>0</v>
      </c>
      <c r="J77" s="315">
        <v>0.7</v>
      </c>
      <c r="K77" s="118"/>
      <c r="L77" s="118"/>
      <c r="M77" s="376">
        <v>20</v>
      </c>
      <c r="N77" s="251">
        <f>IF(IST_BAL!$D$25=0,0,IST_BAL!$D$25/SUM(IST_BAL!$C$25:$T$25))</f>
        <v>0</v>
      </c>
      <c r="O77" s="234">
        <v>1.5</v>
      </c>
    </row>
    <row r="78" spans="2:17" x14ac:dyDescent="0.25">
      <c r="E78" s="99" t="s">
        <v>100</v>
      </c>
      <c r="F78" s="154"/>
      <c r="G78" s="234"/>
      <c r="H78" s="223"/>
      <c r="I78" s="219"/>
      <c r="J78" s="219"/>
      <c r="K78" s="118"/>
      <c r="L78" s="118"/>
      <c r="M78" s="376"/>
      <c r="N78" s="251">
        <f>IF(IST_BAL!$C$25=0,0,IST_BAL!$C$25/SUM(IST_BAL!$C$25:$T$25))</f>
        <v>0</v>
      </c>
      <c r="O78" s="118"/>
    </row>
    <row r="79" spans="2:17" x14ac:dyDescent="0.25">
      <c r="D79" s="216"/>
      <c r="E79" s="99" t="s">
        <v>112</v>
      </c>
      <c r="F79" s="154"/>
      <c r="G79" s="234"/>
      <c r="H79" s="223"/>
      <c r="I79" s="219"/>
      <c r="J79" s="219"/>
      <c r="K79" s="118"/>
      <c r="L79" s="118"/>
      <c r="M79" s="376"/>
      <c r="N79" s="251">
        <f>IF(IST_BAL!$N$25=0,0,IST_BAL!$N$25/SUM(IST_BAL!$C$25:$T$25))</f>
        <v>0</v>
      </c>
      <c r="O79" s="118"/>
    </row>
    <row r="80" spans="2:17" x14ac:dyDescent="0.25">
      <c r="D80" s="216"/>
      <c r="E80" s="99" t="s">
        <v>113</v>
      </c>
      <c r="F80" s="154"/>
      <c r="G80" s="234"/>
      <c r="H80" s="223"/>
      <c r="I80" s="219"/>
      <c r="J80" s="219"/>
      <c r="K80" s="118"/>
      <c r="L80" s="118"/>
      <c r="M80" s="376"/>
      <c r="N80" s="251">
        <f>IF(IST_BAL!$O$25=0,0,IST_BAL!$O$25/SUM(IST_BAL!$C$25:$T$25))</f>
        <v>0</v>
      </c>
      <c r="O80" s="118"/>
    </row>
    <row r="81" spans="2:15" x14ac:dyDescent="0.25">
      <c r="D81" s="216"/>
      <c r="E81" s="99" t="s">
        <v>101</v>
      </c>
      <c r="F81" s="154"/>
      <c r="G81" s="234"/>
      <c r="H81" s="223"/>
      <c r="I81" s="219"/>
      <c r="J81" s="219"/>
      <c r="K81" s="118"/>
      <c r="L81" s="118"/>
      <c r="M81" s="376"/>
      <c r="N81" s="251">
        <f>IF(IST_BAL!$F$25=0,0,IST_BAL!$F$25/SUM(IST_BAL!$C$25:$T$25))</f>
        <v>0</v>
      </c>
      <c r="O81" s="118"/>
    </row>
    <row r="82" spans="2:15" x14ac:dyDescent="0.25">
      <c r="B82" s="104"/>
      <c r="C82" s="104"/>
      <c r="D82" s="224"/>
      <c r="E82" s="104"/>
      <c r="F82" s="154" t="str">
        <f>Commodities!$D$88</f>
        <v>INDISTHTH</v>
      </c>
      <c r="G82" s="153"/>
      <c r="H82" s="223"/>
      <c r="I82" s="223"/>
      <c r="J82" s="223"/>
      <c r="K82" s="146"/>
      <c r="L82" s="146"/>
      <c r="M82" s="106"/>
      <c r="N82" s="211"/>
      <c r="O82" s="146"/>
    </row>
    <row r="83" spans="2:15" x14ac:dyDescent="0.25">
      <c r="B83" s="149"/>
      <c r="C83" s="149"/>
      <c r="D83" s="225"/>
      <c r="E83" s="149"/>
      <c r="F83" s="150" t="str">
        <f>Commodities!D77</f>
        <v>INDELC</v>
      </c>
      <c r="G83" s="155"/>
      <c r="H83" s="226"/>
      <c r="I83" s="226"/>
      <c r="J83" s="226"/>
      <c r="K83" s="152"/>
      <c r="L83" s="152"/>
      <c r="M83" s="390"/>
      <c r="N83" s="295"/>
      <c r="O83" s="152"/>
    </row>
  </sheetData>
  <phoneticPr fontId="52" type="noConversion"/>
  <pageMargins left="0.7" right="0.7" top="0.75" bottom="0.75" header="0.3" footer="0.3"/>
  <pageSetup orientation="portrait" horizontalDpi="4294967292" r:id="rId1"/>
  <headerFooter alignWithMargins="0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6F59A-B73C-4800-A704-27C5EBAB0E34}">
  <dimension ref="A1:AB41"/>
  <sheetViews>
    <sheetView zoomScale="60" zoomScaleNormal="60" workbookViewId="0">
      <selection sqref="A1:XFD1048576"/>
    </sheetView>
  </sheetViews>
  <sheetFormatPr defaultColWidth="13.44140625" defaultRowHeight="13.8" x14ac:dyDescent="0.25"/>
  <cols>
    <col min="1" max="1" width="5.5546875" style="99" customWidth="1"/>
    <col min="2" max="2" width="72.5546875" style="99" bestFit="1" customWidth="1"/>
    <col min="3" max="3" width="22.109375" style="99" customWidth="1"/>
    <col min="4" max="4" width="22.44140625" style="99" bestFit="1" customWidth="1"/>
    <col min="5" max="5" width="27.88671875" style="99" bestFit="1" customWidth="1"/>
    <col min="6" max="6" width="17.44140625" style="99" customWidth="1"/>
    <col min="7" max="8" width="18" style="99" customWidth="1"/>
    <col min="9" max="9" width="24.33203125" style="99" bestFit="1" customWidth="1"/>
    <col min="10" max="10" width="23.44140625" style="99" bestFit="1" customWidth="1"/>
    <col min="11" max="11" width="14.5546875" style="99" bestFit="1" customWidth="1"/>
    <col min="12" max="20" width="18" style="99" customWidth="1"/>
    <col min="21" max="21" width="16.109375" style="99" customWidth="1"/>
    <col min="22" max="22" width="13.44140625" style="99"/>
    <col min="23" max="24" width="17.5546875" style="99" customWidth="1"/>
    <col min="25" max="26" width="16.6640625" style="99" customWidth="1"/>
    <col min="27" max="27" width="16.44140625" style="99" customWidth="1"/>
    <col min="28" max="16384" width="13.44140625" style="99"/>
  </cols>
  <sheetData>
    <row r="1" spans="1:28" s="275" customFormat="1" x14ac:dyDescent="0.25">
      <c r="A1" s="108"/>
      <c r="B1" s="108" t="s">
        <v>633</v>
      </c>
      <c r="D1" s="108"/>
    </row>
    <row r="2" spans="1:28" s="275" customFormat="1" ht="14.4" thickBot="1" x14ac:dyDescent="0.3">
      <c r="A2" s="108"/>
      <c r="B2" s="108"/>
      <c r="C2" s="229" t="s">
        <v>625</v>
      </c>
      <c r="D2" s="229" t="s">
        <v>626</v>
      </c>
      <c r="E2" s="229" t="s">
        <v>677</v>
      </c>
      <c r="F2" s="229" t="s">
        <v>57</v>
      </c>
      <c r="G2" s="229" t="s">
        <v>156</v>
      </c>
      <c r="H2" s="229" t="s">
        <v>163</v>
      </c>
      <c r="I2" s="229" t="s">
        <v>164</v>
      </c>
      <c r="J2" s="229" t="s">
        <v>168</v>
      </c>
      <c r="K2" s="229" t="s">
        <v>169</v>
      </c>
      <c r="L2" s="229" t="s">
        <v>77</v>
      </c>
      <c r="M2" s="229" t="s">
        <v>172</v>
      </c>
      <c r="N2" s="229" t="s">
        <v>174</v>
      </c>
      <c r="O2" s="229" t="s">
        <v>176</v>
      </c>
      <c r="P2" s="229" t="s">
        <v>182</v>
      </c>
      <c r="Q2" s="229" t="s">
        <v>94</v>
      </c>
      <c r="R2" s="229" t="s">
        <v>183</v>
      </c>
      <c r="S2" s="229" t="s">
        <v>189</v>
      </c>
      <c r="T2" s="229" t="s">
        <v>190</v>
      </c>
    </row>
    <row r="3" spans="1:28" s="275" customFormat="1" ht="19.5" customHeight="1" x14ac:dyDescent="0.25">
      <c r="A3" s="108"/>
      <c r="B3" s="108"/>
      <c r="C3" s="152"/>
      <c r="D3" s="152"/>
      <c r="E3" s="152"/>
      <c r="F3" s="152"/>
      <c r="G3" s="152"/>
      <c r="H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W3" s="276"/>
    </row>
    <row r="4" spans="1:28" s="108" customFormat="1" ht="31.5" customHeight="1" thickBot="1" x14ac:dyDescent="0.3">
      <c r="B4" s="217" t="s">
        <v>270</v>
      </c>
      <c r="C4" s="229" t="s">
        <v>625</v>
      </c>
      <c r="D4" s="229" t="s">
        <v>626</v>
      </c>
      <c r="E4" s="229" t="s">
        <v>677</v>
      </c>
      <c r="F4" s="229" t="s">
        <v>57</v>
      </c>
      <c r="G4" s="229" t="s">
        <v>156</v>
      </c>
      <c r="H4" s="229" t="s">
        <v>163</v>
      </c>
      <c r="I4" s="229" t="s">
        <v>164</v>
      </c>
      <c r="J4" s="229" t="s">
        <v>168</v>
      </c>
      <c r="K4" s="229" t="s">
        <v>169</v>
      </c>
      <c r="L4" s="229" t="s">
        <v>77</v>
      </c>
      <c r="M4" s="229" t="s">
        <v>172</v>
      </c>
      <c r="N4" s="229" t="s">
        <v>174</v>
      </c>
      <c r="O4" s="229" t="s">
        <v>176</v>
      </c>
      <c r="P4" s="229" t="s">
        <v>182</v>
      </c>
      <c r="Q4" s="229" t="s">
        <v>94</v>
      </c>
      <c r="R4" s="229" t="s">
        <v>183</v>
      </c>
      <c r="S4" s="229" t="s">
        <v>189</v>
      </c>
      <c r="T4" s="229" t="s">
        <v>190</v>
      </c>
      <c r="W4" s="238"/>
      <c r="X4" s="236"/>
      <c r="Y4" s="238"/>
      <c r="Z4" s="236"/>
      <c r="AA4" s="238"/>
      <c r="AB4" s="236"/>
    </row>
    <row r="5" spans="1:28" s="275" customFormat="1" x14ac:dyDescent="0.25">
      <c r="A5" s="99"/>
      <c r="B5" s="108" t="s">
        <v>220</v>
      </c>
      <c r="C5" s="304">
        <f>'En.Bal-Final_Energy'!K17/1000*41.868</f>
        <v>2.0934000000000004</v>
      </c>
      <c r="D5" s="304">
        <f>'En.Bal-Final_Energy'!L17/1000*41.868</f>
        <v>0</v>
      </c>
      <c r="E5" s="304">
        <f>'En.Bal-Final_Energy'!M17/1000*41.868</f>
        <v>0</v>
      </c>
      <c r="F5" s="304">
        <f>'En.Bal-Final_Energy'!N17/1000*41.868</f>
        <v>0</v>
      </c>
      <c r="G5" s="304"/>
      <c r="H5" s="304">
        <f>'En.Bal-Final_Energy'!X17/1000*41.868</f>
        <v>0</v>
      </c>
      <c r="I5" s="304">
        <f>'En.Bal-Final_Energy'!Y17/1000*41.868</f>
        <v>0</v>
      </c>
      <c r="J5" s="304">
        <f>'En.Bal-Final_Energy'!AE17/1000*41.868+I5</f>
        <v>0</v>
      </c>
      <c r="K5" s="304">
        <f>'En.Bal-Final_Energy'!AF17/1000*41.868</f>
        <v>0</v>
      </c>
      <c r="L5" s="304"/>
      <c r="M5" s="304"/>
      <c r="N5" s="304">
        <f>'En.Bal-Final_Energy'!AN17/1000*41.868</f>
        <v>10.885680000000001</v>
      </c>
      <c r="O5" s="304">
        <f>'En.Bal-Final_Energy'!AP17/1000*41.868</f>
        <v>0</v>
      </c>
      <c r="P5" s="304"/>
      <c r="Q5" s="304"/>
      <c r="R5" s="304"/>
      <c r="S5" s="304">
        <f>'En.Bal-Final_Energy'!BD17/1000*41.868</f>
        <v>0</v>
      </c>
      <c r="T5" s="304">
        <f>'En.Bal-Final_Energy'!BE17/1000*41.868</f>
        <v>1.25604</v>
      </c>
      <c r="U5" s="330">
        <f>SUM(C5:T5)</f>
        <v>14.235120000000002</v>
      </c>
      <c r="V5" s="279">
        <f>'En.Bal-Final_Energy'!BG17</f>
        <v>25.120799999999999</v>
      </c>
      <c r="W5" s="280"/>
      <c r="X5" s="281"/>
      <c r="Y5" s="280"/>
      <c r="Z5" s="281"/>
      <c r="AA5" s="280"/>
      <c r="AB5" s="281"/>
    </row>
    <row r="6" spans="1:28" ht="14.4" thickBot="1" x14ac:dyDescent="0.3">
      <c r="C6" s="308" t="str">
        <f>Commodities!D46</f>
        <v>INDCOABIC</v>
      </c>
      <c r="D6" s="308" t="str">
        <f>Commodities!D47</f>
        <v>INDCOASUB</v>
      </c>
      <c r="E6" s="308" t="str">
        <f>Commodities!D48</f>
        <v>INDCOABCO</v>
      </c>
      <c r="F6" s="308" t="str">
        <f>Commodities!D49</f>
        <v>INDCOACOC</v>
      </c>
      <c r="G6" s="282" t="s">
        <v>103</v>
      </c>
      <c r="H6" s="282" t="s">
        <v>106</v>
      </c>
      <c r="I6" s="282" t="s">
        <v>105</v>
      </c>
      <c r="J6" s="282" t="s">
        <v>104</v>
      </c>
      <c r="K6" s="282" t="s">
        <v>449</v>
      </c>
      <c r="L6" s="282" t="s">
        <v>110</v>
      </c>
      <c r="M6" s="282" t="s">
        <v>111</v>
      </c>
      <c r="N6" s="282" t="s">
        <v>112</v>
      </c>
      <c r="O6" s="282" t="s">
        <v>113</v>
      </c>
      <c r="P6" s="282" t="s">
        <v>114</v>
      </c>
      <c r="Q6" s="282" t="s">
        <v>121</v>
      </c>
      <c r="R6" s="282" t="s">
        <v>119</v>
      </c>
      <c r="S6" s="282" t="s">
        <v>678</v>
      </c>
      <c r="T6" s="282" t="s">
        <v>129</v>
      </c>
    </row>
    <row r="7" spans="1:28" x14ac:dyDescent="0.25">
      <c r="W7" s="108"/>
      <c r="X7" s="108"/>
      <c r="Y7" s="108"/>
      <c r="Z7" s="275"/>
      <c r="AA7" s="275"/>
    </row>
    <row r="8" spans="1:28" x14ac:dyDescent="0.25">
      <c r="B8" s="217" t="s">
        <v>272</v>
      </c>
      <c r="C8" s="217"/>
      <c r="D8" s="217"/>
      <c r="E8" s="217"/>
      <c r="F8" s="217"/>
      <c r="G8" s="217"/>
      <c r="H8" s="217"/>
      <c r="I8" s="217"/>
      <c r="J8" s="217"/>
      <c r="K8" s="217"/>
      <c r="L8" s="217"/>
      <c r="M8" s="217"/>
      <c r="N8" s="217"/>
      <c r="O8" s="217"/>
      <c r="P8" s="217"/>
      <c r="Q8" s="217"/>
      <c r="R8" s="217"/>
      <c r="S8" s="217"/>
      <c r="T8" s="217"/>
      <c r="W8" s="412"/>
      <c r="X8" s="413"/>
      <c r="Y8" s="414"/>
      <c r="Z8" s="414"/>
      <c r="AA8" s="414"/>
    </row>
    <row r="9" spans="1:28" ht="14.4" thickBot="1" x14ac:dyDescent="0.3">
      <c r="B9" s="229" t="s">
        <v>273</v>
      </c>
      <c r="C9" s="229" t="str">
        <f>C4</f>
        <v>Bituminous coal</v>
      </c>
      <c r="D9" s="229" t="str">
        <f t="shared" ref="D9:T9" si="0">D4</f>
        <v>Sub-bituminous coal</v>
      </c>
      <c r="E9" s="229" t="str">
        <f t="shared" si="0"/>
        <v>Brown Coal / Lignite</v>
      </c>
      <c r="F9" s="229" t="str">
        <f t="shared" si="0"/>
        <v>Coke oven coke</v>
      </c>
      <c r="G9" s="229" t="str">
        <f t="shared" si="0"/>
        <v>BKB</v>
      </c>
      <c r="H9" s="229" t="str">
        <f t="shared" si="0"/>
        <v>LPG</v>
      </c>
      <c r="I9" s="229" t="str">
        <f t="shared" si="0"/>
        <v>Motor Gasoline (w/o bio)</v>
      </c>
      <c r="J9" s="229" t="str">
        <f t="shared" si="0"/>
        <v>Gas/Diesel Oil (w/o bio)</v>
      </c>
      <c r="K9" s="229" t="str">
        <f t="shared" si="0"/>
        <v>Fuel Oil</v>
      </c>
      <c r="L9" s="229" t="str">
        <f t="shared" si="0"/>
        <v>Petroleum Coke</v>
      </c>
      <c r="M9" s="229" t="str">
        <f t="shared" si="0"/>
        <v>Other Products</v>
      </c>
      <c r="N9" s="229" t="str">
        <f t="shared" si="0"/>
        <v>Natural gas</v>
      </c>
      <c r="O9" s="229" t="str">
        <f t="shared" si="0"/>
        <v>Blast furnace gas</v>
      </c>
      <c r="P9" s="229" t="str">
        <f t="shared" si="0"/>
        <v>Solid biomass</v>
      </c>
      <c r="Q9" s="229" t="str">
        <f t="shared" si="0"/>
        <v>Charcoal</v>
      </c>
      <c r="R9" s="229" t="str">
        <f t="shared" si="0"/>
        <v>Biogas (all)</v>
      </c>
      <c r="S9" s="229" t="str">
        <f t="shared" si="0"/>
        <v>Derived heat</v>
      </c>
      <c r="T9" s="229" t="str">
        <f t="shared" si="0"/>
        <v>Electricity</v>
      </c>
    </row>
    <row r="10" spans="1:28" x14ac:dyDescent="0.25">
      <c r="B10" s="415" t="s">
        <v>404</v>
      </c>
      <c r="C10" s="416">
        <v>1</v>
      </c>
      <c r="D10" s="416">
        <v>1</v>
      </c>
      <c r="E10" s="416"/>
      <c r="F10" s="416"/>
      <c r="G10" s="416"/>
      <c r="H10" s="416">
        <v>0</v>
      </c>
      <c r="I10" s="416">
        <v>0</v>
      </c>
      <c r="J10" s="416">
        <v>0.5</v>
      </c>
      <c r="K10" s="416">
        <v>0</v>
      </c>
      <c r="L10" s="416">
        <v>0</v>
      </c>
      <c r="M10" s="416">
        <v>0</v>
      </c>
      <c r="N10" s="416">
        <v>0.5</v>
      </c>
      <c r="O10" s="416">
        <v>0</v>
      </c>
      <c r="P10" s="416">
        <v>0</v>
      </c>
      <c r="Q10" s="416">
        <v>0</v>
      </c>
      <c r="R10" s="416">
        <v>0</v>
      </c>
      <c r="S10" s="416">
        <v>0</v>
      </c>
      <c r="T10" s="416">
        <v>0.7</v>
      </c>
    </row>
    <row r="11" spans="1:28" x14ac:dyDescent="0.25">
      <c r="B11" s="417" t="s">
        <v>634</v>
      </c>
      <c r="C11" s="416">
        <f>1-C10</f>
        <v>0</v>
      </c>
      <c r="D11" s="416">
        <f>1-D10</f>
        <v>0</v>
      </c>
      <c r="E11" s="416"/>
      <c r="F11" s="416"/>
      <c r="G11" s="416"/>
      <c r="H11" s="416">
        <v>1</v>
      </c>
      <c r="I11" s="416">
        <v>1</v>
      </c>
      <c r="J11" s="416">
        <v>0.5</v>
      </c>
      <c r="K11" s="416">
        <v>0.5</v>
      </c>
      <c r="L11" s="416">
        <v>0.5</v>
      </c>
      <c r="M11" s="416">
        <v>0</v>
      </c>
      <c r="N11" s="416">
        <f>1-N10</f>
        <v>0.5</v>
      </c>
      <c r="O11" s="416">
        <v>0</v>
      </c>
      <c r="P11" s="416">
        <v>1</v>
      </c>
      <c r="Q11" s="416">
        <v>0</v>
      </c>
      <c r="R11" s="416">
        <v>0</v>
      </c>
      <c r="S11" s="416">
        <v>1</v>
      </c>
      <c r="T11" s="416">
        <v>0.3</v>
      </c>
    </row>
    <row r="12" spans="1:28" x14ac:dyDescent="0.25">
      <c r="B12" s="418" t="s">
        <v>271</v>
      </c>
      <c r="C12" s="419" t="str">
        <f>IF(AND(C5&lt;&gt;0,SUM(C10:C11)&lt;&gt;1),"ERROR","")</f>
        <v/>
      </c>
      <c r="D12" s="419" t="str">
        <f t="shared" ref="D12:T12" si="1">IF(AND(D5&lt;&gt;0,SUM(D10:D11)&lt;&gt;1),"ERROR","")</f>
        <v/>
      </c>
      <c r="E12" s="419" t="str">
        <f t="shared" si="1"/>
        <v/>
      </c>
      <c r="F12" s="419" t="str">
        <f t="shared" si="1"/>
        <v/>
      </c>
      <c r="G12" s="419" t="str">
        <f t="shared" si="1"/>
        <v/>
      </c>
      <c r="H12" s="419" t="str">
        <f t="shared" si="1"/>
        <v/>
      </c>
      <c r="I12" s="419" t="str">
        <f>IF(AND(I5&lt;&gt;0,SUM(I10:I11)&lt;&gt;1),"ERROR","")</f>
        <v/>
      </c>
      <c r="J12" s="419" t="str">
        <f t="shared" si="1"/>
        <v/>
      </c>
      <c r="K12" s="419" t="str">
        <f t="shared" si="1"/>
        <v/>
      </c>
      <c r="L12" s="419" t="str">
        <f t="shared" si="1"/>
        <v/>
      </c>
      <c r="M12" s="419" t="str">
        <f t="shared" si="1"/>
        <v/>
      </c>
      <c r="N12" s="419" t="str">
        <f t="shared" si="1"/>
        <v/>
      </c>
      <c r="O12" s="419" t="str">
        <f t="shared" si="1"/>
        <v/>
      </c>
      <c r="P12" s="419" t="str">
        <f t="shared" si="1"/>
        <v/>
      </c>
      <c r="Q12" s="419" t="str">
        <f t="shared" si="1"/>
        <v/>
      </c>
      <c r="R12" s="419" t="str">
        <f t="shared" si="1"/>
        <v/>
      </c>
      <c r="S12" s="419" t="str">
        <f t="shared" si="1"/>
        <v/>
      </c>
      <c r="T12" s="419" t="str">
        <f t="shared" si="1"/>
        <v/>
      </c>
    </row>
    <row r="15" spans="1:28" x14ac:dyDescent="0.25">
      <c r="B15" s="217" t="s">
        <v>635</v>
      </c>
      <c r="C15" s="217"/>
      <c r="D15" s="217"/>
      <c r="E15" s="217"/>
      <c r="F15" s="217"/>
      <c r="G15" s="217"/>
      <c r="H15" s="217"/>
      <c r="I15" s="217"/>
      <c r="J15" s="217"/>
      <c r="K15" s="217"/>
      <c r="L15" s="217"/>
      <c r="M15" s="217"/>
      <c r="N15" s="217"/>
      <c r="O15" s="217"/>
      <c r="P15" s="217"/>
      <c r="Q15" s="217"/>
      <c r="R15" s="217"/>
      <c r="S15" s="217"/>
      <c r="T15" s="217"/>
      <c r="U15" s="274"/>
    </row>
    <row r="16" spans="1:28" ht="14.4" thickBot="1" x14ac:dyDescent="0.3">
      <c r="B16" s="283"/>
      <c r="C16" s="283" t="str">
        <f t="shared" ref="C16:T16" si="2">C$6</f>
        <v>INDCOABIC</v>
      </c>
      <c r="D16" s="283" t="str">
        <f t="shared" si="2"/>
        <v>INDCOASUB</v>
      </c>
      <c r="E16" s="283" t="str">
        <f t="shared" si="2"/>
        <v>INDCOABCO</v>
      </c>
      <c r="F16" s="283" t="str">
        <f t="shared" si="2"/>
        <v>INDCOACOC</v>
      </c>
      <c r="G16" s="283" t="str">
        <f t="shared" si="2"/>
        <v>INDCOABKB</v>
      </c>
      <c r="H16" s="283" t="str">
        <f t="shared" si="2"/>
        <v>INDOILLPG</v>
      </c>
      <c r="I16" s="283" t="str">
        <f t="shared" si="2"/>
        <v>INDOILGSL</v>
      </c>
      <c r="J16" s="283" t="str">
        <f t="shared" si="2"/>
        <v>INDOILDSL</v>
      </c>
      <c r="K16" s="283" t="str">
        <f t="shared" si="2"/>
        <v>INDOILHFO</v>
      </c>
      <c r="L16" s="283" t="str">
        <f t="shared" si="2"/>
        <v>INDOILPCK</v>
      </c>
      <c r="M16" s="283" t="str">
        <f t="shared" si="2"/>
        <v>INDOILOTH</v>
      </c>
      <c r="N16" s="283" t="str">
        <f t="shared" si="2"/>
        <v>INDGASNAT</v>
      </c>
      <c r="O16" s="283" t="str">
        <f t="shared" si="2"/>
        <v>INDGASBFG</v>
      </c>
      <c r="P16" s="283" t="str">
        <f t="shared" si="2"/>
        <v>INDBIOLOG</v>
      </c>
      <c r="Q16" s="283" t="str">
        <f t="shared" si="2"/>
        <v>INDBIOCHR</v>
      </c>
      <c r="R16" s="283" t="str">
        <f t="shared" si="2"/>
        <v>INDBIOBGS</v>
      </c>
      <c r="S16" s="283" t="str">
        <f t="shared" si="2"/>
        <v>INDLTH</v>
      </c>
      <c r="T16" s="283" t="str">
        <f t="shared" si="2"/>
        <v>INDELC</v>
      </c>
      <c r="U16" s="285"/>
    </row>
    <row r="17" spans="1:22" x14ac:dyDescent="0.25">
      <c r="B17" s="415" t="s">
        <v>404</v>
      </c>
      <c r="C17" s="278">
        <f>C$5*C10</f>
        <v>2.0934000000000004</v>
      </c>
      <c r="D17" s="278">
        <f t="shared" ref="D17:T18" si="3">D$5*D10</f>
        <v>0</v>
      </c>
      <c r="E17" s="278">
        <f t="shared" si="3"/>
        <v>0</v>
      </c>
      <c r="F17" s="278">
        <f t="shared" si="3"/>
        <v>0</v>
      </c>
      <c r="G17" s="278">
        <f t="shared" si="3"/>
        <v>0</v>
      </c>
      <c r="H17" s="278">
        <f t="shared" si="3"/>
        <v>0</v>
      </c>
      <c r="I17" s="278">
        <f>I$5*I10</f>
        <v>0</v>
      </c>
      <c r="J17" s="278">
        <f t="shared" si="3"/>
        <v>0</v>
      </c>
      <c r="K17" s="278">
        <f t="shared" si="3"/>
        <v>0</v>
      </c>
      <c r="L17" s="278">
        <f t="shared" si="3"/>
        <v>0</v>
      </c>
      <c r="M17" s="278">
        <f t="shared" si="3"/>
        <v>0</v>
      </c>
      <c r="N17" s="278">
        <f t="shared" si="3"/>
        <v>5.4428400000000003</v>
      </c>
      <c r="O17" s="278">
        <f t="shared" si="3"/>
        <v>0</v>
      </c>
      <c r="P17" s="278">
        <f t="shared" si="3"/>
        <v>0</v>
      </c>
      <c r="Q17" s="278">
        <f t="shared" si="3"/>
        <v>0</v>
      </c>
      <c r="R17" s="278">
        <f t="shared" si="3"/>
        <v>0</v>
      </c>
      <c r="S17" s="278">
        <f t="shared" si="3"/>
        <v>0</v>
      </c>
      <c r="T17" s="278">
        <f t="shared" si="3"/>
        <v>0.87922800000000001</v>
      </c>
      <c r="U17" s="330">
        <f t="shared" ref="U17:U18" si="4">SUM(C17:T17)</f>
        <v>8.4154680000000006</v>
      </c>
    </row>
    <row r="18" spans="1:22" x14ac:dyDescent="0.25">
      <c r="B18" s="417" t="s">
        <v>634</v>
      </c>
      <c r="C18" s="278">
        <f>C$5*C11</f>
        <v>0</v>
      </c>
      <c r="D18" s="278">
        <f t="shared" si="3"/>
        <v>0</v>
      </c>
      <c r="E18" s="278">
        <f t="shared" si="3"/>
        <v>0</v>
      </c>
      <c r="F18" s="278">
        <f t="shared" si="3"/>
        <v>0</v>
      </c>
      <c r="G18" s="278">
        <f t="shared" si="3"/>
        <v>0</v>
      </c>
      <c r="H18" s="278">
        <f t="shared" si="3"/>
        <v>0</v>
      </c>
      <c r="I18" s="278">
        <f>I$5*I11</f>
        <v>0</v>
      </c>
      <c r="J18" s="278">
        <f t="shared" si="3"/>
        <v>0</v>
      </c>
      <c r="K18" s="278">
        <f t="shared" si="3"/>
        <v>0</v>
      </c>
      <c r="L18" s="278">
        <f t="shared" si="3"/>
        <v>0</v>
      </c>
      <c r="M18" s="278">
        <f t="shared" si="3"/>
        <v>0</v>
      </c>
      <c r="N18" s="278">
        <f t="shared" si="3"/>
        <v>5.4428400000000003</v>
      </c>
      <c r="O18" s="278">
        <f t="shared" si="3"/>
        <v>0</v>
      </c>
      <c r="P18" s="278">
        <f t="shared" si="3"/>
        <v>0</v>
      </c>
      <c r="Q18" s="278">
        <f t="shared" si="3"/>
        <v>0</v>
      </c>
      <c r="R18" s="278">
        <f t="shared" si="3"/>
        <v>0</v>
      </c>
      <c r="S18" s="278">
        <f t="shared" si="3"/>
        <v>0</v>
      </c>
      <c r="T18" s="278">
        <f t="shared" si="3"/>
        <v>0.37681199999999998</v>
      </c>
      <c r="U18" s="330">
        <f t="shared" si="4"/>
        <v>5.8196520000000005</v>
      </c>
    </row>
    <row r="19" spans="1:22" x14ac:dyDescent="0.25">
      <c r="B19" s="290"/>
      <c r="C19" s="291"/>
      <c r="D19" s="291"/>
      <c r="E19" s="291"/>
      <c r="F19" s="291"/>
      <c r="G19" s="291"/>
      <c r="H19" s="291"/>
      <c r="I19" s="291"/>
      <c r="J19" s="291"/>
      <c r="K19" s="291"/>
      <c r="L19" s="291"/>
      <c r="M19" s="291"/>
      <c r="N19" s="291"/>
      <c r="O19" s="291"/>
      <c r="P19" s="291"/>
      <c r="Q19" s="291"/>
      <c r="R19" s="291"/>
      <c r="S19" s="291"/>
      <c r="T19" s="291"/>
      <c r="U19" s="291"/>
    </row>
    <row r="20" spans="1:22" x14ac:dyDescent="0.25">
      <c r="B20" s="290"/>
      <c r="C20" s="291"/>
      <c r="D20" s="291"/>
      <c r="E20" s="291"/>
      <c r="F20" s="291"/>
      <c r="G20" s="291"/>
      <c r="H20" s="291"/>
      <c r="I20" s="291"/>
      <c r="J20" s="291"/>
      <c r="K20" s="291"/>
      <c r="L20" s="291"/>
      <c r="M20" s="291"/>
      <c r="N20" s="291"/>
      <c r="O20" s="291"/>
      <c r="P20" s="291"/>
      <c r="Q20" s="291"/>
      <c r="R20" s="291"/>
      <c r="S20" s="291"/>
      <c r="T20" s="291"/>
      <c r="U20" s="291"/>
    </row>
    <row r="21" spans="1:22" x14ac:dyDescent="0.25">
      <c r="B21" s="287" t="s">
        <v>636</v>
      </c>
      <c r="C21" s="108" t="str">
        <f>IF(C19-C20&lt;&gt;0,"ERROR","")</f>
        <v/>
      </c>
      <c r="D21" s="108" t="str">
        <f t="shared" ref="D21:S21" si="5">IF(D19-D20&lt;&gt;0,"ERROR","")</f>
        <v/>
      </c>
      <c r="E21" s="108" t="str">
        <f>IF(E19-E20&lt;&gt;0,"ERROR","")</f>
        <v/>
      </c>
      <c r="F21" s="108" t="str">
        <f t="shared" si="5"/>
        <v/>
      </c>
      <c r="G21" s="108" t="str">
        <f t="shared" si="5"/>
        <v/>
      </c>
      <c r="H21" s="108" t="str">
        <f t="shared" si="5"/>
        <v/>
      </c>
      <c r="I21" s="108" t="str">
        <f t="shared" si="5"/>
        <v/>
      </c>
      <c r="J21" s="108" t="str">
        <f t="shared" si="5"/>
        <v/>
      </c>
      <c r="K21" s="108" t="str">
        <f t="shared" si="5"/>
        <v/>
      </c>
      <c r="L21" s="108" t="str">
        <f t="shared" si="5"/>
        <v/>
      </c>
      <c r="M21" s="108" t="str">
        <f t="shared" si="5"/>
        <v/>
      </c>
      <c r="N21" s="108" t="str">
        <f t="shared" si="5"/>
        <v/>
      </c>
      <c r="O21" s="108" t="str">
        <f t="shared" si="5"/>
        <v/>
      </c>
      <c r="P21" s="108" t="str">
        <f t="shared" si="5"/>
        <v/>
      </c>
      <c r="Q21" s="108" t="str">
        <f t="shared" si="5"/>
        <v/>
      </c>
      <c r="R21" s="108" t="str">
        <f t="shared" si="5"/>
        <v/>
      </c>
      <c r="S21" s="108" t="str">
        <f t="shared" si="5"/>
        <v/>
      </c>
      <c r="T21" s="108" t="str">
        <f>IF(T19-T20&lt;&gt;0,"ERROR","")</f>
        <v/>
      </c>
    </row>
    <row r="22" spans="1:22" x14ac:dyDescent="0.25">
      <c r="B22" s="287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</row>
    <row r="23" spans="1:22" x14ac:dyDescent="0.25">
      <c r="B23" s="287"/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</row>
    <row r="24" spans="1:22" x14ac:dyDescent="0.25">
      <c r="B24" s="287"/>
      <c r="C24" s="108"/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8"/>
      <c r="Q24" s="108"/>
      <c r="R24" s="108"/>
      <c r="S24" s="108"/>
      <c r="T24" s="108"/>
    </row>
    <row r="26" spans="1:22" x14ac:dyDescent="0.25">
      <c r="B26" s="217" t="s">
        <v>637</v>
      </c>
      <c r="C26" s="217"/>
      <c r="D26" s="217"/>
      <c r="E26" s="217"/>
      <c r="F26" s="217"/>
      <c r="G26" s="217"/>
      <c r="H26" s="217"/>
      <c r="I26" s="217"/>
      <c r="J26" s="217"/>
      <c r="K26" s="217"/>
      <c r="L26" s="217"/>
      <c r="M26" s="217"/>
      <c r="N26" s="217"/>
      <c r="O26" s="217"/>
      <c r="P26" s="217"/>
      <c r="Q26" s="217"/>
      <c r="R26" s="217"/>
      <c r="S26" s="217"/>
      <c r="T26" s="217"/>
      <c r="U26" s="274"/>
    </row>
    <row r="27" spans="1:22" ht="28.2" thickBot="1" x14ac:dyDescent="0.3">
      <c r="B27" s="283" t="s">
        <v>638</v>
      </c>
      <c r="C27" s="284" t="str">
        <f>C$9</f>
        <v>Bituminous coal</v>
      </c>
      <c r="D27" s="284" t="str">
        <f t="shared" ref="D27:T27" si="6">D$9</f>
        <v>Sub-bituminous coal</v>
      </c>
      <c r="E27" s="284" t="str">
        <f t="shared" si="6"/>
        <v>Brown Coal / Lignite</v>
      </c>
      <c r="F27" s="284" t="str">
        <f t="shared" si="6"/>
        <v>Coke oven coke</v>
      </c>
      <c r="G27" s="284" t="str">
        <f t="shared" si="6"/>
        <v>BKB</v>
      </c>
      <c r="H27" s="284" t="str">
        <f t="shared" si="6"/>
        <v>LPG</v>
      </c>
      <c r="I27" s="284" t="str">
        <f t="shared" si="6"/>
        <v>Motor Gasoline (w/o bio)</v>
      </c>
      <c r="J27" s="284" t="str">
        <f t="shared" si="6"/>
        <v>Gas/Diesel Oil (w/o bio)</v>
      </c>
      <c r="K27" s="284" t="str">
        <f t="shared" si="6"/>
        <v>Fuel Oil</v>
      </c>
      <c r="L27" s="284" t="str">
        <f t="shared" si="6"/>
        <v>Petroleum Coke</v>
      </c>
      <c r="M27" s="284" t="str">
        <f t="shared" si="6"/>
        <v>Other Products</v>
      </c>
      <c r="N27" s="284" t="str">
        <f t="shared" si="6"/>
        <v>Natural gas</v>
      </c>
      <c r="O27" s="284" t="str">
        <f t="shared" si="6"/>
        <v>Blast furnace gas</v>
      </c>
      <c r="P27" s="284" t="str">
        <f t="shared" si="6"/>
        <v>Solid biomass</v>
      </c>
      <c r="Q27" s="284" t="str">
        <f t="shared" si="6"/>
        <v>Charcoal</v>
      </c>
      <c r="R27" s="284" t="str">
        <f t="shared" si="6"/>
        <v>Biogas (all)</v>
      </c>
      <c r="S27" s="284" t="str">
        <f t="shared" si="6"/>
        <v>Derived heat</v>
      </c>
      <c r="T27" s="284" t="str">
        <f t="shared" si="6"/>
        <v>Electricity</v>
      </c>
      <c r="V27" s="285"/>
    </row>
    <row r="28" spans="1:22" ht="15" customHeight="1" x14ac:dyDescent="0.25">
      <c r="A28" s="99" t="s">
        <v>639</v>
      </c>
      <c r="B28" s="99" t="s">
        <v>640</v>
      </c>
      <c r="C28" s="278"/>
      <c r="D28" s="278"/>
      <c r="E28" s="278">
        <v>0</v>
      </c>
      <c r="F28" s="278"/>
      <c r="G28" s="278"/>
      <c r="H28" s="278">
        <v>1</v>
      </c>
      <c r="I28" s="278">
        <v>1</v>
      </c>
      <c r="J28" s="278">
        <v>1</v>
      </c>
      <c r="K28" s="278">
        <v>0</v>
      </c>
      <c r="L28" s="278"/>
      <c r="M28" s="278"/>
      <c r="N28" s="278">
        <v>1</v>
      </c>
      <c r="O28" s="278"/>
      <c r="P28" s="278">
        <v>0</v>
      </c>
      <c r="Q28" s="278"/>
      <c r="R28" s="278"/>
      <c r="S28" s="278">
        <v>1</v>
      </c>
      <c r="T28" s="278">
        <v>0</v>
      </c>
      <c r="V28" s="99" t="s">
        <v>639</v>
      </c>
    </row>
    <row r="29" spans="1:22" ht="15" customHeight="1" x14ac:dyDescent="0.25">
      <c r="A29" s="99" t="s">
        <v>641</v>
      </c>
      <c r="B29" s="99" t="s">
        <v>642</v>
      </c>
      <c r="C29" s="278"/>
      <c r="D29" s="278"/>
      <c r="E29" s="278">
        <v>1</v>
      </c>
      <c r="F29" s="278"/>
      <c r="G29" s="278">
        <v>1</v>
      </c>
      <c r="H29" s="278"/>
      <c r="I29" s="278"/>
      <c r="J29" s="278"/>
      <c r="K29" s="278">
        <v>1</v>
      </c>
      <c r="L29" s="278">
        <v>1</v>
      </c>
      <c r="M29" s="278"/>
      <c r="N29" s="278">
        <v>0</v>
      </c>
      <c r="O29" s="278"/>
      <c r="P29" s="278">
        <v>1</v>
      </c>
      <c r="Q29" s="278"/>
      <c r="R29" s="278"/>
      <c r="S29" s="278">
        <v>0</v>
      </c>
      <c r="T29" s="278">
        <v>0</v>
      </c>
      <c r="V29" s="99" t="s">
        <v>641</v>
      </c>
    </row>
    <row r="30" spans="1:22" ht="15" customHeight="1" x14ac:dyDescent="0.25">
      <c r="A30" s="99" t="s">
        <v>643</v>
      </c>
      <c r="B30" s="99" t="s">
        <v>396</v>
      </c>
      <c r="C30" s="278"/>
      <c r="D30" s="278"/>
      <c r="E30" s="278"/>
      <c r="F30" s="278"/>
      <c r="G30" s="278"/>
      <c r="H30" s="278"/>
      <c r="I30" s="278"/>
      <c r="J30" s="278">
        <v>0</v>
      </c>
      <c r="K30" s="278"/>
      <c r="L30" s="278"/>
      <c r="M30" s="278"/>
      <c r="N30" s="278"/>
      <c r="O30" s="278"/>
      <c r="P30" s="278"/>
      <c r="Q30" s="278"/>
      <c r="R30" s="278"/>
      <c r="S30" s="278"/>
      <c r="T30" s="278">
        <v>0.8</v>
      </c>
      <c r="V30" s="99" t="s">
        <v>643</v>
      </c>
    </row>
    <row r="31" spans="1:22" ht="15" customHeight="1" x14ac:dyDescent="0.25">
      <c r="A31" s="99" t="s">
        <v>644</v>
      </c>
      <c r="B31" s="149" t="s">
        <v>400</v>
      </c>
      <c r="C31" s="286"/>
      <c r="D31" s="286"/>
      <c r="E31" s="286"/>
      <c r="F31" s="286"/>
      <c r="G31" s="286"/>
      <c r="H31" s="286"/>
      <c r="I31" s="286"/>
      <c r="J31" s="286"/>
      <c r="K31" s="286"/>
      <c r="L31" s="286"/>
      <c r="M31" s="286"/>
      <c r="N31" s="286"/>
      <c r="O31" s="286"/>
      <c r="P31" s="286"/>
      <c r="Q31" s="286"/>
      <c r="R31" s="286"/>
      <c r="S31" s="286"/>
      <c r="T31" s="286">
        <v>0.2</v>
      </c>
      <c r="V31" s="99" t="s">
        <v>644</v>
      </c>
    </row>
    <row r="32" spans="1:22" ht="15" customHeight="1" x14ac:dyDescent="0.25">
      <c r="B32" s="287" t="s">
        <v>645</v>
      </c>
      <c r="C32" s="288" t="str">
        <f>IF(AND(C18&lt;&gt;0,SUM(C28:C31)&lt;&gt;1),"ERROR","")</f>
        <v/>
      </c>
      <c r="D32" s="288" t="str">
        <f t="shared" ref="D32:T32" si="7">IF(AND(D18&lt;&gt;0,SUM(D28:D31)&lt;&gt;1),"ERROR","")</f>
        <v/>
      </c>
      <c r="E32" s="288" t="str">
        <f t="shared" si="7"/>
        <v/>
      </c>
      <c r="F32" s="288" t="str">
        <f t="shared" si="7"/>
        <v/>
      </c>
      <c r="G32" s="288" t="str">
        <f t="shared" si="7"/>
        <v/>
      </c>
      <c r="H32" s="288" t="str">
        <f t="shared" si="7"/>
        <v/>
      </c>
      <c r="I32" s="288" t="str">
        <f t="shared" si="7"/>
        <v/>
      </c>
      <c r="J32" s="288" t="str">
        <f t="shared" si="7"/>
        <v/>
      </c>
      <c r="K32" s="288" t="str">
        <f t="shared" si="7"/>
        <v/>
      </c>
      <c r="L32" s="288" t="str">
        <f t="shared" si="7"/>
        <v/>
      </c>
      <c r="M32" s="288" t="str">
        <f t="shared" si="7"/>
        <v/>
      </c>
      <c r="N32" s="288" t="str">
        <f t="shared" si="7"/>
        <v/>
      </c>
      <c r="O32" s="288" t="str">
        <f t="shared" si="7"/>
        <v/>
      </c>
      <c r="P32" s="288" t="str">
        <f t="shared" si="7"/>
        <v/>
      </c>
      <c r="Q32" s="288" t="str">
        <f t="shared" si="7"/>
        <v/>
      </c>
      <c r="R32" s="288" t="str">
        <f t="shared" si="7"/>
        <v/>
      </c>
      <c r="S32" s="288" t="str">
        <f t="shared" si="7"/>
        <v/>
      </c>
      <c r="T32" s="288" t="str">
        <f t="shared" si="7"/>
        <v/>
      </c>
    </row>
    <row r="33" spans="1:22" x14ac:dyDescent="0.25">
      <c r="B33" s="217" t="s">
        <v>646</v>
      </c>
      <c r="C33" s="217"/>
      <c r="D33" s="217"/>
      <c r="E33" s="217"/>
      <c r="F33" s="217"/>
      <c r="G33" s="217"/>
      <c r="H33" s="217"/>
      <c r="I33" s="217"/>
      <c r="J33" s="217"/>
      <c r="K33" s="217"/>
      <c r="L33" s="217"/>
      <c r="M33" s="217"/>
      <c r="N33" s="217"/>
      <c r="O33" s="217"/>
      <c r="P33" s="217"/>
      <c r="Q33" s="217"/>
      <c r="R33" s="217"/>
      <c r="S33" s="217"/>
      <c r="T33" s="217"/>
      <c r="V33" s="274"/>
    </row>
    <row r="34" spans="1:22" ht="28.2" thickBot="1" x14ac:dyDescent="0.3">
      <c r="B34" s="283" t="s">
        <v>638</v>
      </c>
      <c r="C34" s="284" t="str">
        <f>C$9</f>
        <v>Bituminous coal</v>
      </c>
      <c r="D34" s="284" t="str">
        <f t="shared" ref="D34:T34" si="8">D$9</f>
        <v>Sub-bituminous coal</v>
      </c>
      <c r="E34" s="284" t="str">
        <f t="shared" si="8"/>
        <v>Brown Coal / Lignite</v>
      </c>
      <c r="F34" s="284" t="str">
        <f t="shared" si="8"/>
        <v>Coke oven coke</v>
      </c>
      <c r="G34" s="284" t="str">
        <f t="shared" si="8"/>
        <v>BKB</v>
      </c>
      <c r="H34" s="284" t="str">
        <f t="shared" si="8"/>
        <v>LPG</v>
      </c>
      <c r="I34" s="284" t="str">
        <f t="shared" si="8"/>
        <v>Motor Gasoline (w/o bio)</v>
      </c>
      <c r="J34" s="284" t="str">
        <f t="shared" si="8"/>
        <v>Gas/Diesel Oil (w/o bio)</v>
      </c>
      <c r="K34" s="284" t="str">
        <f t="shared" si="8"/>
        <v>Fuel Oil</v>
      </c>
      <c r="L34" s="284" t="str">
        <f t="shared" si="8"/>
        <v>Petroleum Coke</v>
      </c>
      <c r="M34" s="284" t="str">
        <f t="shared" si="8"/>
        <v>Other Products</v>
      </c>
      <c r="N34" s="284" t="str">
        <f t="shared" si="8"/>
        <v>Natural gas</v>
      </c>
      <c r="O34" s="284" t="str">
        <f t="shared" si="8"/>
        <v>Blast furnace gas</v>
      </c>
      <c r="P34" s="284" t="str">
        <f t="shared" si="8"/>
        <v>Solid biomass</v>
      </c>
      <c r="Q34" s="284" t="str">
        <f t="shared" si="8"/>
        <v>Charcoal</v>
      </c>
      <c r="R34" s="284" t="str">
        <f t="shared" si="8"/>
        <v>Biogas (all)</v>
      </c>
      <c r="S34" s="284" t="str">
        <f t="shared" si="8"/>
        <v>Derived heat</v>
      </c>
      <c r="T34" s="284" t="str">
        <f t="shared" si="8"/>
        <v>Electricity</v>
      </c>
      <c r="V34" s="285"/>
    </row>
    <row r="35" spans="1:22" ht="15" customHeight="1" x14ac:dyDescent="0.25">
      <c r="A35" s="99" t="s">
        <v>639</v>
      </c>
      <c r="B35" s="99" t="s">
        <v>640</v>
      </c>
      <c r="C35" s="278">
        <f>C$18*C28</f>
        <v>0</v>
      </c>
      <c r="D35" s="278">
        <f t="shared" ref="D35:T38" si="9">D$18*D28</f>
        <v>0</v>
      </c>
      <c r="E35" s="278">
        <f t="shared" si="9"/>
        <v>0</v>
      </c>
      <c r="F35" s="278">
        <f t="shared" si="9"/>
        <v>0</v>
      </c>
      <c r="G35" s="278">
        <f t="shared" si="9"/>
        <v>0</v>
      </c>
      <c r="H35" s="278">
        <f t="shared" si="9"/>
        <v>0</v>
      </c>
      <c r="I35" s="278">
        <f t="shared" si="9"/>
        <v>0</v>
      </c>
      <c r="J35" s="278">
        <f t="shared" si="9"/>
        <v>0</v>
      </c>
      <c r="K35" s="278">
        <f t="shared" si="9"/>
        <v>0</v>
      </c>
      <c r="L35" s="278">
        <f t="shared" si="9"/>
        <v>0</v>
      </c>
      <c r="M35" s="278">
        <f t="shared" si="9"/>
        <v>0</v>
      </c>
      <c r="N35" s="278">
        <f t="shared" si="9"/>
        <v>5.4428400000000003</v>
      </c>
      <c r="O35" s="278">
        <f t="shared" si="9"/>
        <v>0</v>
      </c>
      <c r="P35" s="278">
        <f t="shared" si="9"/>
        <v>0</v>
      </c>
      <c r="Q35" s="278">
        <f t="shared" si="9"/>
        <v>0</v>
      </c>
      <c r="R35" s="278">
        <f t="shared" si="9"/>
        <v>0</v>
      </c>
      <c r="S35" s="278">
        <f t="shared" si="9"/>
        <v>0</v>
      </c>
      <c r="T35" s="278">
        <f t="shared" si="9"/>
        <v>0</v>
      </c>
      <c r="U35" s="289">
        <f>SUM(C35:T35)</f>
        <v>5.4428400000000003</v>
      </c>
      <c r="V35" s="99" t="s">
        <v>639</v>
      </c>
    </row>
    <row r="36" spans="1:22" ht="15" customHeight="1" x14ac:dyDescent="0.25">
      <c r="A36" s="99" t="s">
        <v>641</v>
      </c>
      <c r="B36" s="99" t="s">
        <v>642</v>
      </c>
      <c r="C36" s="278">
        <f t="shared" ref="C36:R38" si="10">C$18*C29</f>
        <v>0</v>
      </c>
      <c r="D36" s="278">
        <f t="shared" si="10"/>
        <v>0</v>
      </c>
      <c r="E36" s="278">
        <f t="shared" si="10"/>
        <v>0</v>
      </c>
      <c r="F36" s="278">
        <f t="shared" si="10"/>
        <v>0</v>
      </c>
      <c r="G36" s="278">
        <f t="shared" si="10"/>
        <v>0</v>
      </c>
      <c r="H36" s="278">
        <f t="shared" si="10"/>
        <v>0</v>
      </c>
      <c r="I36" s="278">
        <f t="shared" si="10"/>
        <v>0</v>
      </c>
      <c r="J36" s="278">
        <f t="shared" si="10"/>
        <v>0</v>
      </c>
      <c r="K36" s="278">
        <f t="shared" si="10"/>
        <v>0</v>
      </c>
      <c r="L36" s="278">
        <f t="shared" si="10"/>
        <v>0</v>
      </c>
      <c r="M36" s="278">
        <f t="shared" si="10"/>
        <v>0</v>
      </c>
      <c r="N36" s="278">
        <f t="shared" si="10"/>
        <v>0</v>
      </c>
      <c r="O36" s="278">
        <f t="shared" si="10"/>
        <v>0</v>
      </c>
      <c r="P36" s="278">
        <f t="shared" si="10"/>
        <v>0</v>
      </c>
      <c r="Q36" s="278">
        <f t="shared" si="10"/>
        <v>0</v>
      </c>
      <c r="R36" s="278">
        <f t="shared" si="10"/>
        <v>0</v>
      </c>
      <c r="S36" s="278">
        <f t="shared" ref="S36" si="11">S$18*S29</f>
        <v>0</v>
      </c>
      <c r="T36" s="278">
        <f t="shared" si="9"/>
        <v>0</v>
      </c>
      <c r="U36" s="289">
        <f t="shared" ref="U36:U38" si="12">SUM(C36:T36)</f>
        <v>0</v>
      </c>
      <c r="V36" s="99" t="s">
        <v>641</v>
      </c>
    </row>
    <row r="37" spans="1:22" ht="15" customHeight="1" x14ac:dyDescent="0.25">
      <c r="A37" s="99" t="s">
        <v>643</v>
      </c>
      <c r="B37" s="99" t="s">
        <v>396</v>
      </c>
      <c r="C37" s="278">
        <f t="shared" si="10"/>
        <v>0</v>
      </c>
      <c r="D37" s="278">
        <f t="shared" si="10"/>
        <v>0</v>
      </c>
      <c r="E37" s="278">
        <f t="shared" si="10"/>
        <v>0</v>
      </c>
      <c r="F37" s="278">
        <f t="shared" si="10"/>
        <v>0</v>
      </c>
      <c r="G37" s="278">
        <f t="shared" si="10"/>
        <v>0</v>
      </c>
      <c r="H37" s="278">
        <f t="shared" si="10"/>
        <v>0</v>
      </c>
      <c r="I37" s="278">
        <f t="shared" si="10"/>
        <v>0</v>
      </c>
      <c r="J37" s="278">
        <f t="shared" si="10"/>
        <v>0</v>
      </c>
      <c r="K37" s="278">
        <f t="shared" si="10"/>
        <v>0</v>
      </c>
      <c r="L37" s="278">
        <f t="shared" si="10"/>
        <v>0</v>
      </c>
      <c r="M37" s="278">
        <f t="shared" si="10"/>
        <v>0</v>
      </c>
      <c r="N37" s="278">
        <f t="shared" si="10"/>
        <v>0</v>
      </c>
      <c r="O37" s="278">
        <f t="shared" si="10"/>
        <v>0</v>
      </c>
      <c r="P37" s="278">
        <f t="shared" si="10"/>
        <v>0</v>
      </c>
      <c r="Q37" s="278">
        <f t="shared" si="10"/>
        <v>0</v>
      </c>
      <c r="R37" s="278">
        <f t="shared" si="10"/>
        <v>0</v>
      </c>
      <c r="S37" s="278">
        <f t="shared" ref="S37" si="13">S$18*S30</f>
        <v>0</v>
      </c>
      <c r="T37" s="278">
        <f t="shared" si="9"/>
        <v>0.30144959999999998</v>
      </c>
      <c r="U37" s="289">
        <f t="shared" si="12"/>
        <v>0.30144959999999998</v>
      </c>
      <c r="V37" s="99" t="s">
        <v>643</v>
      </c>
    </row>
    <row r="38" spans="1:22" ht="15" customHeight="1" x14ac:dyDescent="0.25">
      <c r="A38" s="99" t="s">
        <v>644</v>
      </c>
      <c r="B38" s="149" t="s">
        <v>400</v>
      </c>
      <c r="C38" s="286">
        <f t="shared" si="10"/>
        <v>0</v>
      </c>
      <c r="D38" s="286">
        <f t="shared" si="10"/>
        <v>0</v>
      </c>
      <c r="E38" s="286">
        <f t="shared" si="10"/>
        <v>0</v>
      </c>
      <c r="F38" s="286">
        <f t="shared" si="10"/>
        <v>0</v>
      </c>
      <c r="G38" s="286">
        <f t="shared" si="10"/>
        <v>0</v>
      </c>
      <c r="H38" s="286">
        <f t="shared" si="10"/>
        <v>0</v>
      </c>
      <c r="I38" s="286">
        <f t="shared" si="10"/>
        <v>0</v>
      </c>
      <c r="J38" s="286">
        <f t="shared" si="10"/>
        <v>0</v>
      </c>
      <c r="K38" s="286">
        <f t="shared" si="10"/>
        <v>0</v>
      </c>
      <c r="L38" s="286">
        <f t="shared" si="10"/>
        <v>0</v>
      </c>
      <c r="M38" s="286">
        <f t="shared" si="10"/>
        <v>0</v>
      </c>
      <c r="N38" s="286">
        <f t="shared" si="10"/>
        <v>0</v>
      </c>
      <c r="O38" s="286">
        <f t="shared" si="10"/>
        <v>0</v>
      </c>
      <c r="P38" s="286">
        <f t="shared" si="10"/>
        <v>0</v>
      </c>
      <c r="Q38" s="286">
        <f t="shared" si="10"/>
        <v>0</v>
      </c>
      <c r="R38" s="286">
        <f t="shared" si="10"/>
        <v>0</v>
      </c>
      <c r="S38" s="286">
        <f t="shared" ref="S38" si="14">S$18*S31</f>
        <v>0</v>
      </c>
      <c r="T38" s="286">
        <f t="shared" si="9"/>
        <v>7.5362399999999996E-2</v>
      </c>
      <c r="U38" s="289">
        <f t="shared" si="12"/>
        <v>7.5362399999999996E-2</v>
      </c>
      <c r="V38" s="99" t="s">
        <v>644</v>
      </c>
    </row>
    <row r="39" spans="1:22" x14ac:dyDescent="0.25">
      <c r="B39" s="290"/>
      <c r="C39" s="291"/>
      <c r="D39" s="291"/>
      <c r="E39" s="291"/>
      <c r="F39" s="291"/>
      <c r="G39" s="291"/>
      <c r="H39" s="291"/>
      <c r="I39" s="291"/>
      <c r="J39" s="291"/>
      <c r="K39" s="291"/>
      <c r="L39" s="291"/>
      <c r="M39" s="291"/>
      <c r="N39" s="291"/>
      <c r="O39" s="291"/>
      <c r="P39" s="291"/>
      <c r="Q39" s="291"/>
      <c r="R39" s="291"/>
      <c r="S39" s="291"/>
      <c r="T39" s="291"/>
      <c r="U39" s="291"/>
    </row>
    <row r="40" spans="1:22" x14ac:dyDescent="0.25">
      <c r="B40" s="290"/>
      <c r="C40" s="291"/>
      <c r="D40" s="291"/>
      <c r="E40" s="291"/>
      <c r="F40" s="291"/>
      <c r="G40" s="291"/>
      <c r="H40" s="291"/>
      <c r="I40" s="291"/>
      <c r="J40" s="291"/>
      <c r="K40" s="291"/>
      <c r="L40" s="291"/>
      <c r="M40" s="291"/>
      <c r="N40" s="291"/>
      <c r="O40" s="291"/>
      <c r="P40" s="291"/>
      <c r="Q40" s="291"/>
      <c r="R40" s="291"/>
      <c r="S40" s="291"/>
      <c r="T40" s="291"/>
      <c r="U40" s="291"/>
    </row>
    <row r="41" spans="1:22" x14ac:dyDescent="0.25">
      <c r="B41" s="287"/>
      <c r="C41" s="108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FC67F-E5B6-4428-9E64-CB3588F3D51B}">
  <dimension ref="A1:Y557"/>
  <sheetViews>
    <sheetView zoomScale="60" zoomScaleNormal="60" workbookViewId="0">
      <selection sqref="A1:XFD1048576"/>
    </sheetView>
  </sheetViews>
  <sheetFormatPr defaultColWidth="9.109375" defaultRowHeight="13.8" x14ac:dyDescent="0.25"/>
  <cols>
    <col min="1" max="1" width="5.88671875" style="99" customWidth="1"/>
    <col min="2" max="2" width="30.109375" style="99" customWidth="1"/>
    <col min="3" max="3" width="49.109375" style="99" customWidth="1"/>
    <col min="4" max="4" width="17.109375" style="99" customWidth="1"/>
    <col min="5" max="5" width="16.6640625" style="99" customWidth="1"/>
    <col min="6" max="6" width="21.33203125" style="99" bestFit="1" customWidth="1"/>
    <col min="7" max="7" width="15.33203125" style="99" customWidth="1"/>
    <col min="8" max="8" width="19.88671875" style="99" bestFit="1" customWidth="1"/>
    <col min="9" max="9" width="20.5546875" style="99" bestFit="1" customWidth="1"/>
    <col min="10" max="10" width="12.5546875" style="99" customWidth="1"/>
    <col min="11" max="11" width="9.33203125" style="99" customWidth="1"/>
    <col min="12" max="12" width="7.44140625" style="99" customWidth="1"/>
    <col min="13" max="13" width="16.6640625" style="99" customWidth="1"/>
    <col min="14" max="14" width="16.5546875" style="99" bestFit="1" customWidth="1"/>
    <col min="15" max="15" width="31" style="99" customWidth="1"/>
    <col min="16" max="16" width="9.109375" style="99"/>
    <col min="17" max="17" width="34.5546875" style="99" customWidth="1"/>
    <col min="18" max="18" width="36" style="99" customWidth="1"/>
    <col min="19" max="19" width="56" style="99" bestFit="1" customWidth="1"/>
    <col min="20" max="20" width="13.44140625" style="99" bestFit="1" customWidth="1"/>
    <col min="21" max="21" width="14.6640625" style="99" bestFit="1" customWidth="1"/>
    <col min="22" max="22" width="35" style="99" bestFit="1" customWidth="1"/>
    <col min="23" max="23" width="27.6640625" style="99" bestFit="1" customWidth="1"/>
    <col min="24" max="24" width="17.88671875" style="99" bestFit="1" customWidth="1"/>
    <col min="25" max="16384" width="9.109375" style="99"/>
  </cols>
  <sheetData>
    <row r="1" spans="1:24" ht="17.399999999999999" x14ac:dyDescent="0.3">
      <c r="A1" s="121"/>
      <c r="B1" s="121" t="s">
        <v>447</v>
      </c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</row>
    <row r="2" spans="1:24" x14ac:dyDescent="0.25">
      <c r="Q2" s="111"/>
      <c r="R2" s="111" t="s">
        <v>283</v>
      </c>
      <c r="S2" s="111"/>
      <c r="T2" s="111"/>
      <c r="U2" s="111"/>
      <c r="V2" s="111"/>
      <c r="W2" s="111"/>
      <c r="X2" s="111"/>
    </row>
    <row r="3" spans="1:24" x14ac:dyDescent="0.25">
      <c r="Q3" s="110" t="s">
        <v>18</v>
      </c>
      <c r="R3" s="111"/>
      <c r="S3" s="111"/>
      <c r="T3" s="111"/>
      <c r="U3" s="111"/>
      <c r="V3" s="111"/>
      <c r="W3" s="111"/>
      <c r="X3" s="111"/>
    </row>
    <row r="4" spans="1:24" x14ac:dyDescent="0.25">
      <c r="F4" s="219"/>
      <c r="G4" s="219"/>
      <c r="H4" s="118"/>
      <c r="I4" s="219"/>
      <c r="J4" s="118"/>
      <c r="K4" s="219"/>
      <c r="L4" s="219"/>
      <c r="Q4" s="113" t="s">
        <v>13</v>
      </c>
      <c r="R4" s="113" t="s">
        <v>1</v>
      </c>
      <c r="S4" s="113" t="s">
        <v>2</v>
      </c>
      <c r="T4" s="113" t="s">
        <v>19</v>
      </c>
      <c r="U4" s="113" t="s">
        <v>20</v>
      </c>
      <c r="V4" s="113" t="s">
        <v>21</v>
      </c>
      <c r="W4" s="113" t="s">
        <v>22</v>
      </c>
      <c r="X4" s="113" t="s">
        <v>23</v>
      </c>
    </row>
    <row r="5" spans="1:24" ht="14.4" thickBot="1" x14ac:dyDescent="0.3">
      <c r="D5" s="108" t="s">
        <v>15</v>
      </c>
      <c r="G5" s="219"/>
      <c r="H5" s="118"/>
      <c r="I5" s="219"/>
      <c r="J5" s="118"/>
      <c r="K5" s="219"/>
      <c r="L5" s="219"/>
      <c r="Q5" s="237" t="s">
        <v>43</v>
      </c>
      <c r="R5" s="237" t="s">
        <v>24</v>
      </c>
      <c r="S5" s="237" t="s">
        <v>25</v>
      </c>
      <c r="T5" s="237" t="s">
        <v>26</v>
      </c>
      <c r="U5" s="237" t="s">
        <v>27</v>
      </c>
      <c r="V5" s="237" t="s">
        <v>47</v>
      </c>
      <c r="W5" s="237" t="s">
        <v>46</v>
      </c>
      <c r="X5" s="237" t="s">
        <v>28</v>
      </c>
    </row>
    <row r="6" spans="1:24" x14ac:dyDescent="0.25">
      <c r="B6" s="217" t="s">
        <v>278</v>
      </c>
      <c r="C6" s="217" t="s">
        <v>284</v>
      </c>
      <c r="D6" s="217" t="s">
        <v>0</v>
      </c>
      <c r="E6" s="217" t="s">
        <v>279</v>
      </c>
      <c r="F6" s="218" t="str">
        <f>BASE_YEAR</f>
        <v>2017</v>
      </c>
      <c r="G6" s="219"/>
      <c r="H6" s="118"/>
      <c r="I6" s="219"/>
      <c r="J6" s="118"/>
      <c r="K6" s="219"/>
      <c r="L6" s="219"/>
      <c r="Q6" s="99" t="s">
        <v>289</v>
      </c>
      <c r="R6" s="99" t="str">
        <f>"INDONMSTM"&amp;RIGHT(D34,6)&amp;"_00"</f>
        <v>INDONMSTMCOASUB_00</v>
      </c>
      <c r="S6" s="99" t="str">
        <f>"Steam Boiler Other NMM Sub-bituminous"&amp;"_"&amp;$R$2&amp;"00"</f>
        <v>Steam Boiler Other NMM Sub-bituminous_E00</v>
      </c>
      <c r="T6" s="99" t="s">
        <v>327</v>
      </c>
      <c r="U6" s="99" t="s">
        <v>328</v>
      </c>
    </row>
    <row r="7" spans="1:24" ht="18" customHeight="1" thickBot="1" x14ac:dyDescent="0.3">
      <c r="B7" s="229" t="s">
        <v>152</v>
      </c>
      <c r="C7" s="229"/>
      <c r="D7" s="229" t="s">
        <v>280</v>
      </c>
      <c r="E7" s="229" t="s">
        <v>281</v>
      </c>
      <c r="F7" s="230" t="s">
        <v>282</v>
      </c>
      <c r="G7" s="219"/>
      <c r="H7" s="118"/>
      <c r="I7" s="219"/>
      <c r="J7" s="118"/>
      <c r="K7" s="219"/>
      <c r="L7" s="219"/>
      <c r="R7" s="99" t="str">
        <f t="shared" ref="R7:R15" si="0">"INDONMSTM"&amp;RIGHT(D35,6)&amp;"_00"</f>
        <v>INDONMSTMCOABIC_00</v>
      </c>
      <c r="S7" s="99" t="str">
        <f>"Steam Boiler Other NMM Bituminous"&amp;"_"&amp;$R$2&amp;"00"</f>
        <v>Steam Boiler Other NMM Bituminous_E00</v>
      </c>
      <c r="T7" s="99" t="s">
        <v>327</v>
      </c>
      <c r="U7" s="99" t="s">
        <v>328</v>
      </c>
    </row>
    <row r="8" spans="1:24" ht="16.5" customHeight="1" thickBot="1" x14ac:dyDescent="0.3">
      <c r="B8" s="229" t="s">
        <v>48</v>
      </c>
      <c r="C8" s="229"/>
      <c r="D8" s="229"/>
      <c r="E8" s="229"/>
      <c r="F8" s="230" t="s">
        <v>327</v>
      </c>
      <c r="G8" s="219"/>
      <c r="H8" s="118"/>
      <c r="I8" s="219"/>
      <c r="J8" s="118"/>
      <c r="K8" s="219"/>
      <c r="L8" s="219"/>
      <c r="R8" s="99" t="str">
        <f t="shared" si="0"/>
        <v>INDONMSTMCOABCO_00</v>
      </c>
      <c r="S8" s="99" t="str">
        <f>"Steam Boiler Other NMM BrownCoal"&amp;"_"&amp;$R$2&amp;"00"</f>
        <v>Steam Boiler Other NMM BrownCoal_E00</v>
      </c>
      <c r="T8" s="99" t="s">
        <v>327</v>
      </c>
      <c r="U8" s="99" t="s">
        <v>328</v>
      </c>
    </row>
    <row r="9" spans="1:24" x14ac:dyDescent="0.25">
      <c r="B9" s="367" t="s">
        <v>277</v>
      </c>
      <c r="C9" s="118" t="s">
        <v>407</v>
      </c>
      <c r="D9" s="118" t="s">
        <v>406</v>
      </c>
      <c r="E9" s="118" t="s">
        <v>327</v>
      </c>
      <c r="F9" s="234">
        <f>M26</f>
        <v>4.68586656</v>
      </c>
      <c r="G9" s="219"/>
      <c r="H9" s="118"/>
      <c r="I9" s="219"/>
      <c r="J9" s="118"/>
      <c r="K9" s="219"/>
      <c r="L9" s="219"/>
      <c r="R9" s="99" t="str">
        <f t="shared" si="0"/>
        <v>INDONMSTMOILDSL_00</v>
      </c>
      <c r="S9" s="99" t="str">
        <f>"Steam Boiler Other NMM Diesel"&amp;"_"&amp;$R$2&amp;"00"</f>
        <v>Steam Boiler Other NMM Diesel_E00</v>
      </c>
      <c r="T9" s="99" t="s">
        <v>327</v>
      </c>
      <c r="U9" s="99" t="s">
        <v>328</v>
      </c>
    </row>
    <row r="10" spans="1:24" x14ac:dyDescent="0.25">
      <c r="F10" s="368"/>
      <c r="G10" s="219"/>
      <c r="H10" s="118"/>
      <c r="I10" s="219"/>
      <c r="J10" s="118"/>
      <c r="K10" s="219"/>
      <c r="L10" s="219"/>
      <c r="R10" s="99" t="str">
        <f t="shared" si="0"/>
        <v>INDONMSTMOILHFO_00</v>
      </c>
      <c r="S10" s="99" t="str">
        <f>"Steam Boiler Other NMM HFO"&amp;"_"&amp;$R$2&amp;"00"</f>
        <v>Steam Boiler Other NMM HFO_E00</v>
      </c>
      <c r="T10" s="99" t="s">
        <v>327</v>
      </c>
      <c r="U10" s="99" t="s">
        <v>328</v>
      </c>
    </row>
    <row r="11" spans="1:24" x14ac:dyDescent="0.25">
      <c r="F11" s="219"/>
      <c r="G11" s="219"/>
      <c r="H11" s="118"/>
      <c r="I11" s="219"/>
      <c r="J11" s="118"/>
      <c r="K11" s="219"/>
      <c r="L11" s="219"/>
      <c r="R11" s="99" t="str">
        <f t="shared" si="0"/>
        <v>INDONMSTMOILPCK_00</v>
      </c>
      <c r="S11" s="99" t="str">
        <f>"Steam Boiler Other NMM PetCoke"&amp;"_"&amp;$R$2&amp;"00"</f>
        <v>Steam Boiler Other NMM PetCoke_E00</v>
      </c>
      <c r="T11" s="99" t="s">
        <v>327</v>
      </c>
      <c r="U11" s="99" t="s">
        <v>328</v>
      </c>
    </row>
    <row r="12" spans="1:24" x14ac:dyDescent="0.25">
      <c r="F12" s="219"/>
      <c r="G12" s="219"/>
      <c r="H12" s="118"/>
      <c r="I12" s="219"/>
      <c r="J12" s="118"/>
      <c r="K12" s="219"/>
      <c r="L12" s="219"/>
      <c r="R12" s="99" t="str">
        <f t="shared" si="0"/>
        <v>INDONMSTMOILOTH_00</v>
      </c>
      <c r="S12" s="99" t="str">
        <f>"Steam Boiler Other NMM Other Oil Products"&amp;"_"&amp;$R$2&amp;"00"</f>
        <v>Steam Boiler Other NMM Other Oil Products_E00</v>
      </c>
      <c r="T12" s="99" t="s">
        <v>327</v>
      </c>
      <c r="U12" s="99" t="s">
        <v>328</v>
      </c>
    </row>
    <row r="13" spans="1:24" x14ac:dyDescent="0.25">
      <c r="F13" s="219"/>
      <c r="G13" s="219"/>
      <c r="H13" s="118"/>
      <c r="I13" s="219"/>
      <c r="J13" s="118"/>
      <c r="K13" s="219"/>
      <c r="L13" s="219"/>
      <c r="R13" s="99" t="str">
        <f t="shared" si="0"/>
        <v>INDONMSTMGASNAT_00</v>
      </c>
      <c r="S13" s="99" t="str">
        <f>"Steam Boiler Other NMM N. Gas"&amp;"_"&amp;$R$2&amp;"00"</f>
        <v>Steam Boiler Other NMM N. Gas_E00</v>
      </c>
      <c r="T13" s="99" t="s">
        <v>327</v>
      </c>
      <c r="U13" s="99" t="s">
        <v>328</v>
      </c>
    </row>
    <row r="14" spans="1:24" x14ac:dyDescent="0.25">
      <c r="F14" s="219"/>
      <c r="G14" s="219"/>
      <c r="H14" s="118"/>
      <c r="I14" s="219"/>
      <c r="J14" s="118"/>
      <c r="K14" s="219"/>
      <c r="L14" s="219"/>
      <c r="R14" s="99" t="str">
        <f t="shared" si="0"/>
        <v>INDONMSTMBIOLOG_00</v>
      </c>
      <c r="S14" s="99" t="str">
        <f>"Steam Boiler Other NMM Biomass"&amp;"_"&amp;$R$2&amp;"00"</f>
        <v>Steam Boiler Other NMM Biomass_E00</v>
      </c>
      <c r="T14" s="99" t="s">
        <v>327</v>
      </c>
      <c r="U14" s="99" t="s">
        <v>328</v>
      </c>
    </row>
    <row r="15" spans="1:24" x14ac:dyDescent="0.25">
      <c r="B15" s="108" t="s">
        <v>647</v>
      </c>
      <c r="Q15" s="149"/>
      <c r="R15" s="149" t="str">
        <f t="shared" si="0"/>
        <v>INDONMSTMNMMHTH_00</v>
      </c>
      <c r="S15" s="149" t="str">
        <f>"Steam Boiler Other NMM Heat"&amp;"_"&amp;$R$2&amp;"00"</f>
        <v>Steam Boiler Other NMM Heat_E00</v>
      </c>
      <c r="T15" s="149" t="s">
        <v>327</v>
      </c>
      <c r="U15" s="149" t="s">
        <v>328</v>
      </c>
      <c r="V15" s="149"/>
      <c r="W15" s="149"/>
      <c r="X15" s="149"/>
    </row>
    <row r="16" spans="1:24" x14ac:dyDescent="0.25">
      <c r="B16" s="108" t="s">
        <v>648</v>
      </c>
      <c r="C16" s="108"/>
      <c r="D16" s="108"/>
      <c r="E16" s="108"/>
      <c r="F16" s="108"/>
      <c r="G16" s="108"/>
      <c r="H16" s="119"/>
      <c r="I16" s="124"/>
      <c r="J16" s="124"/>
      <c r="K16" s="124"/>
      <c r="L16" s="124"/>
      <c r="M16" s="124"/>
      <c r="N16" s="124"/>
      <c r="O16" s="124"/>
      <c r="R16" s="99" t="str">
        <f t="shared" ref="R16:R26" si="1">"INDONMHPR"&amp;RIGHT(D53,6)&amp;"_00"</f>
        <v>INDONMHPRCOASUB_00</v>
      </c>
      <c r="S16" s="99" t="str">
        <f>"Process Heat Other NMM Sub-bituminous"&amp;"_"&amp;$R$2&amp;"00"</f>
        <v>Process Heat Other NMM Sub-bituminous_E00</v>
      </c>
      <c r="T16" s="99" t="s">
        <v>327</v>
      </c>
      <c r="U16" s="99" t="s">
        <v>649</v>
      </c>
    </row>
    <row r="17" spans="1:24" x14ac:dyDescent="0.25">
      <c r="B17" s="238"/>
      <c r="D17" s="108"/>
      <c r="E17" s="108"/>
      <c r="F17" s="108"/>
      <c r="G17" s="119"/>
      <c r="H17" s="119"/>
      <c r="I17" s="124"/>
      <c r="J17" s="124"/>
      <c r="K17" s="124"/>
      <c r="L17" s="124"/>
      <c r="M17" s="124"/>
      <c r="N17" s="124"/>
      <c r="O17" s="124"/>
      <c r="R17" s="99" t="str">
        <f t="shared" si="1"/>
        <v>INDONMHPRCOABIC_00</v>
      </c>
      <c r="S17" s="99" t="str">
        <f>"Process Heat Other NMM Bituminous"&amp;"_"&amp;$R$2&amp;"00"</f>
        <v>Process Heat Other NMM Bituminous_E00</v>
      </c>
      <c r="T17" s="99" t="s">
        <v>327</v>
      </c>
      <c r="U17" s="99" t="s">
        <v>649</v>
      </c>
    </row>
    <row r="18" spans="1:24" x14ac:dyDescent="0.25">
      <c r="A18" s="108"/>
      <c r="C18" s="108"/>
      <c r="D18" s="108"/>
      <c r="E18" s="369" t="s">
        <v>15</v>
      </c>
      <c r="R18" s="99" t="str">
        <f>"INDONMHPR"&amp;RIGHT(D55,6)&amp;"_00"</f>
        <v>INDONMHPRCOABKB_00</v>
      </c>
      <c r="S18" s="99" t="str">
        <f>"Process Heat Other NMM BKB"&amp;"_"&amp;$R$2&amp;"00"</f>
        <v>Process Heat Other NMM BKB_E00</v>
      </c>
      <c r="T18" s="99" t="s">
        <v>327</v>
      </c>
      <c r="U18" s="99" t="s">
        <v>649</v>
      </c>
    </row>
    <row r="19" spans="1:24" x14ac:dyDescent="0.25">
      <c r="B19" s="217" t="s">
        <v>1</v>
      </c>
      <c r="C19" s="217" t="s">
        <v>41</v>
      </c>
      <c r="D19" s="217" t="s">
        <v>7</v>
      </c>
      <c r="E19" s="241" t="s">
        <v>8</v>
      </c>
      <c r="F19" s="241" t="s">
        <v>358</v>
      </c>
      <c r="G19" s="241" t="s">
        <v>359</v>
      </c>
      <c r="H19" s="241" t="s">
        <v>650</v>
      </c>
      <c r="J19" s="242"/>
      <c r="K19" s="235"/>
      <c r="L19" s="235"/>
      <c r="M19" s="241" t="s">
        <v>771</v>
      </c>
      <c r="N19" s="235"/>
      <c r="O19" s="235"/>
      <c r="R19" s="99" t="str">
        <f t="shared" si="1"/>
        <v>INDONMHPROILDSL_00</v>
      </c>
      <c r="S19" s="99" t="str">
        <f>"Process Heat Other NMM Diesel"&amp;"_"&amp;$R$2&amp;"00"</f>
        <v>Process Heat Other NMM Diesel_E00</v>
      </c>
      <c r="T19" s="99" t="s">
        <v>327</v>
      </c>
      <c r="U19" s="99" t="s">
        <v>649</v>
      </c>
    </row>
    <row r="20" spans="1:24" ht="18.75" customHeight="1" thickBot="1" x14ac:dyDescent="0.3">
      <c r="B20" s="230" t="s">
        <v>651</v>
      </c>
      <c r="C20" s="230" t="s">
        <v>25</v>
      </c>
      <c r="D20" s="230" t="s">
        <v>35</v>
      </c>
      <c r="E20" s="243" t="s">
        <v>36</v>
      </c>
      <c r="F20" s="243"/>
      <c r="G20" s="243"/>
      <c r="H20" s="243"/>
      <c r="J20" s="236"/>
      <c r="K20" s="236"/>
      <c r="L20" s="236"/>
      <c r="M20" s="243" t="s">
        <v>652</v>
      </c>
      <c r="N20" s="236"/>
      <c r="O20" s="236"/>
      <c r="R20" s="99" t="str">
        <f t="shared" si="1"/>
        <v>INDONMHPROILHFO_00</v>
      </c>
      <c r="S20" s="99" t="str">
        <f>"Process Heat Other NMM HFO"&amp;"_"&amp;$R$2&amp;"00"</f>
        <v>Process Heat Other NMM HFO_E00</v>
      </c>
      <c r="T20" s="99" t="s">
        <v>327</v>
      </c>
      <c r="U20" s="99" t="s">
        <v>649</v>
      </c>
    </row>
    <row r="21" spans="1:24" x14ac:dyDescent="0.25">
      <c r="B21" s="370" t="str">
        <f>R31</f>
        <v>INDDEMONME_00</v>
      </c>
      <c r="C21" s="370" t="str">
        <f>S31</f>
        <v>Other Non Metallic Minerals Industry Demand Technology</v>
      </c>
      <c r="D21" s="99" t="str">
        <f>E34</f>
        <v>INDONMSTM</v>
      </c>
      <c r="E21" s="371"/>
      <c r="F21" s="234">
        <f>IF($M$26=0,0,M21/$M$26)</f>
        <v>0.92923516797712646</v>
      </c>
      <c r="G21" s="372"/>
      <c r="H21" s="373">
        <f>F21</f>
        <v>0.92923516797712646</v>
      </c>
      <c r="J21" s="236"/>
      <c r="K21" s="236"/>
      <c r="L21" s="236"/>
      <c r="M21" s="219">
        <f>N44</f>
        <v>4.3542719999999999</v>
      </c>
      <c r="N21" s="236"/>
      <c r="O21" s="236"/>
      <c r="R21" s="99" t="str">
        <f t="shared" si="1"/>
        <v>INDONMHPROILPCK_00</v>
      </c>
      <c r="S21" s="99" t="str">
        <f>"Process Heat Other NMM PetCoke"&amp;"_"&amp;$R$2&amp;"00"</f>
        <v>Process Heat Other NMM PetCoke_E00</v>
      </c>
      <c r="T21" s="99" t="s">
        <v>327</v>
      </c>
      <c r="U21" s="99" t="s">
        <v>649</v>
      </c>
    </row>
    <row r="22" spans="1:24" x14ac:dyDescent="0.25">
      <c r="C22" s="374"/>
      <c r="D22" s="99" t="str">
        <f>E53</f>
        <v>INDONMHPR</v>
      </c>
      <c r="E22" s="371"/>
      <c r="F22" s="234">
        <f>IF($M$26=0,0,M22/$M$26)</f>
        <v>0</v>
      </c>
      <c r="G22" s="372"/>
      <c r="H22" s="373">
        <f t="shared" ref="H22:H24" si="2">F22</f>
        <v>0</v>
      </c>
      <c r="J22" s="251"/>
      <c r="K22" s="239"/>
      <c r="L22" s="239"/>
      <c r="M22" s="219">
        <f>N64</f>
        <v>0</v>
      </c>
      <c r="N22" s="239"/>
      <c r="O22" s="239"/>
      <c r="R22" s="99" t="str">
        <f t="shared" si="1"/>
        <v>INDONMHPROILOTH_00</v>
      </c>
      <c r="S22" s="99" t="str">
        <f>"Process Heat Other NMM Other Oil Products"&amp;"_"&amp;$R$2&amp;"00"</f>
        <v>Process Heat Other NMM Other Oil Products_E00</v>
      </c>
      <c r="T22" s="99" t="s">
        <v>327</v>
      </c>
      <c r="U22" s="99" t="s">
        <v>649</v>
      </c>
    </row>
    <row r="23" spans="1:24" x14ac:dyDescent="0.25">
      <c r="C23" s="374"/>
      <c r="D23" s="99" t="str">
        <f>E74</f>
        <v>INDONMMCD</v>
      </c>
      <c r="E23" s="371"/>
      <c r="F23" s="234">
        <f t="shared" ref="F23:F24" si="3">IF($M$26=0,0,M23/$M$26)</f>
        <v>5.7898498927805575E-2</v>
      </c>
      <c r="G23" s="372"/>
      <c r="H23" s="373">
        <f t="shared" si="2"/>
        <v>5.7898498927805575E-2</v>
      </c>
      <c r="J23" s="118"/>
      <c r="K23" s="239"/>
      <c r="L23" s="239"/>
      <c r="M23" s="219">
        <f>N77</f>
        <v>0.27130463999999999</v>
      </c>
      <c r="N23" s="239"/>
      <c r="O23" s="239"/>
      <c r="R23" s="99" t="str">
        <f t="shared" si="1"/>
        <v>INDONMHPRGASNAT_00</v>
      </c>
      <c r="S23" s="99" t="str">
        <f>"Process Heat Other NMM N. Gas"&amp;"_"&amp;$R$2&amp;"00"</f>
        <v>Process Heat Other NMM N. Gas_E00</v>
      </c>
      <c r="T23" s="99" t="s">
        <v>327</v>
      </c>
      <c r="U23" s="99" t="s">
        <v>649</v>
      </c>
    </row>
    <row r="24" spans="1:24" x14ac:dyDescent="0.25">
      <c r="C24" s="374"/>
      <c r="D24" s="99" t="str">
        <f>E86</f>
        <v>INDONMOEN</v>
      </c>
      <c r="E24" s="371"/>
      <c r="F24" s="234">
        <f t="shared" si="3"/>
        <v>1.2866333095067906E-2</v>
      </c>
      <c r="G24" s="372"/>
      <c r="H24" s="373">
        <f t="shared" si="2"/>
        <v>1.2866333095067906E-2</v>
      </c>
      <c r="J24" s="118"/>
      <c r="K24" s="239"/>
      <c r="L24" s="239"/>
      <c r="M24" s="219">
        <f>N87</f>
        <v>6.0289919999999997E-2</v>
      </c>
      <c r="N24" s="239"/>
      <c r="O24" s="239"/>
      <c r="R24" s="99" t="str">
        <f t="shared" si="1"/>
        <v>INDONMHPRBIOLOG_00</v>
      </c>
      <c r="S24" s="99" t="str">
        <f>"Process Heat Other NMM Biomass"&amp;"_"&amp;$R$2&amp;"00"</f>
        <v>Process Heat Other NMM Biomass_E00</v>
      </c>
      <c r="T24" s="99" t="s">
        <v>327</v>
      </c>
      <c r="U24" s="99" t="s">
        <v>649</v>
      </c>
    </row>
    <row r="25" spans="1:24" x14ac:dyDescent="0.25">
      <c r="C25" s="374"/>
      <c r="D25" s="374"/>
      <c r="E25" s="375" t="str">
        <f>D9</f>
        <v>INDONM</v>
      </c>
      <c r="F25" s="373"/>
      <c r="G25" s="376">
        <v>1</v>
      </c>
      <c r="H25" s="373"/>
      <c r="J25" s="118"/>
      <c r="K25" s="239"/>
      <c r="L25" s="239"/>
      <c r="M25" s="234"/>
      <c r="N25" s="239"/>
      <c r="O25" s="239"/>
      <c r="R25" s="99" t="str">
        <f t="shared" si="1"/>
        <v>INDONMHPRNMMHTH_00</v>
      </c>
      <c r="S25" s="99" t="str">
        <f>"Process Heat Other NMM Heat"&amp;"_"&amp;$R$2&amp;"00"</f>
        <v>Process Heat Other NMM Heat_E00</v>
      </c>
      <c r="T25" s="99" t="s">
        <v>327</v>
      </c>
      <c r="U25" s="99" t="s">
        <v>649</v>
      </c>
    </row>
    <row r="26" spans="1:24" ht="14.4" thickBot="1" x14ac:dyDescent="0.3">
      <c r="B26" s="377" t="s">
        <v>653</v>
      </c>
      <c r="C26" s="377"/>
      <c r="D26" s="377"/>
      <c r="E26" s="377"/>
      <c r="F26" s="378"/>
      <c r="G26" s="377"/>
      <c r="H26" s="377"/>
      <c r="J26" s="118"/>
      <c r="K26" s="239"/>
      <c r="L26" s="239"/>
      <c r="M26" s="379">
        <f>SUM(M21:M24)</f>
        <v>4.68586656</v>
      </c>
      <c r="N26" s="239"/>
      <c r="O26" s="239"/>
      <c r="Q26" s="149"/>
      <c r="R26" s="149" t="str">
        <f t="shared" si="1"/>
        <v>INDONMHPRINDELC_00</v>
      </c>
      <c r="S26" s="149" t="str">
        <f>"Process Heat Other NMM Electricity"&amp;"_"&amp;$R$2&amp;"00"</f>
        <v>Process Heat Other NMM Electricity_E00</v>
      </c>
      <c r="T26" s="149" t="s">
        <v>327</v>
      </c>
      <c r="U26" s="149" t="s">
        <v>649</v>
      </c>
      <c r="V26" s="149"/>
      <c r="W26" s="149"/>
      <c r="X26" s="149"/>
    </row>
    <row r="27" spans="1:24" x14ac:dyDescent="0.25">
      <c r="F27" s="234"/>
      <c r="G27" s="219"/>
      <c r="H27" s="118"/>
      <c r="I27" s="118"/>
      <c r="J27" s="118"/>
      <c r="K27" s="239"/>
      <c r="L27" s="239"/>
      <c r="M27" s="239"/>
      <c r="N27" s="239"/>
      <c r="O27" s="239"/>
      <c r="R27" s="99" t="str">
        <f>"INDONMMCD"&amp;RIGHT(D74,6)&amp;"_00"</f>
        <v>INDONMMCDOILDSL_00</v>
      </c>
      <c r="S27" s="99" t="str">
        <f>"Machine Drive Other NMM Diesel"&amp;"_"&amp;$R$2&amp;"00"</f>
        <v>Machine Drive Other NMM Diesel_E00</v>
      </c>
      <c r="T27" s="99" t="s">
        <v>327</v>
      </c>
      <c r="U27" s="99" t="s">
        <v>649</v>
      </c>
    </row>
    <row r="28" spans="1:24" x14ac:dyDescent="0.25">
      <c r="F28" s="234"/>
      <c r="G28" s="219"/>
      <c r="H28" s="118"/>
      <c r="I28" s="118"/>
      <c r="J28" s="118"/>
      <c r="K28" s="239"/>
      <c r="L28" s="239"/>
      <c r="M28" s="239"/>
      <c r="N28" s="239"/>
      <c r="O28" s="239"/>
      <c r="R28" s="99" t="str">
        <f>"INDONMMCD"&amp;RIGHT(D75,6)&amp;"_00"</f>
        <v>INDONMMCDGASNAT_00</v>
      </c>
      <c r="S28" s="99" t="str">
        <f>"Machine Drive Other NMM N. Gas"&amp;"_"&amp;$R$2&amp;"00"</f>
        <v>Machine Drive Other NMM N. Gas_E00</v>
      </c>
      <c r="T28" s="99" t="s">
        <v>327</v>
      </c>
      <c r="U28" s="99" t="s">
        <v>649</v>
      </c>
    </row>
    <row r="29" spans="1:24" x14ac:dyDescent="0.25">
      <c r="B29" s="108" t="s">
        <v>654</v>
      </c>
      <c r="F29" s="234"/>
      <c r="G29" s="219"/>
      <c r="H29" s="118"/>
      <c r="I29" s="118"/>
      <c r="J29" s="118"/>
      <c r="K29" s="239"/>
      <c r="L29" s="239"/>
      <c r="M29" s="239"/>
      <c r="N29" s="239"/>
      <c r="O29" s="239"/>
      <c r="R29" s="99" t="str">
        <f>"INDONMMCD"&amp;RIGHT(D76,6)&amp;"_00"</f>
        <v>INDONMMCDINDELC_00</v>
      </c>
      <c r="S29" s="99" t="str">
        <f>"Machine Drive Other NMM Electricity"&amp;"_"&amp;$R$2&amp;"00"</f>
        <v>Machine Drive Other NMM Electricity_E00</v>
      </c>
      <c r="T29" s="99" t="s">
        <v>327</v>
      </c>
      <c r="U29" s="99" t="s">
        <v>649</v>
      </c>
    </row>
    <row r="30" spans="1:24" x14ac:dyDescent="0.25">
      <c r="F30" s="234"/>
      <c r="G30" s="219"/>
      <c r="H30" s="118"/>
      <c r="I30" s="118"/>
      <c r="J30" s="118"/>
      <c r="K30" s="239"/>
      <c r="L30" s="239"/>
      <c r="M30" s="239"/>
      <c r="N30" s="239"/>
      <c r="O30" s="239"/>
      <c r="Q30" s="149"/>
      <c r="R30" s="149" t="str">
        <f>"INDONMOEN"&amp;RIGHT(D86,6)&amp;"_00"</f>
        <v>INDONMOENINDELC_00</v>
      </c>
      <c r="S30" s="149" t="str">
        <f>"Other Energy Other NMM Electricity"&amp;"_"&amp;$R$2&amp;"00"</f>
        <v>Other Energy Other NMM Electricity_E00</v>
      </c>
      <c r="T30" s="149" t="s">
        <v>327</v>
      </c>
      <c r="U30" s="149" t="s">
        <v>649</v>
      </c>
      <c r="V30" s="149"/>
      <c r="W30" s="149"/>
      <c r="X30" s="149"/>
    </row>
    <row r="31" spans="1:24" x14ac:dyDescent="0.25">
      <c r="E31" s="380" t="s">
        <v>15</v>
      </c>
      <c r="F31" s="242" t="s">
        <v>464</v>
      </c>
      <c r="G31" s="242" t="s">
        <v>464</v>
      </c>
      <c r="H31" s="242" t="s">
        <v>464</v>
      </c>
      <c r="I31" s="242" t="s">
        <v>464</v>
      </c>
      <c r="Q31" s="149" t="s">
        <v>275</v>
      </c>
      <c r="R31" s="149" t="s">
        <v>655</v>
      </c>
      <c r="S31" s="149" t="s">
        <v>656</v>
      </c>
      <c r="T31" s="149" t="s">
        <v>327</v>
      </c>
      <c r="U31" s="149" t="s">
        <v>649</v>
      </c>
      <c r="V31" s="149"/>
      <c r="W31" s="149"/>
      <c r="X31" s="149"/>
    </row>
    <row r="32" spans="1:24" x14ac:dyDescent="0.25">
      <c r="B32" s="217" t="s">
        <v>1</v>
      </c>
      <c r="C32" s="217" t="s">
        <v>41</v>
      </c>
      <c r="D32" s="217" t="s">
        <v>7</v>
      </c>
      <c r="E32" s="241" t="s">
        <v>8</v>
      </c>
      <c r="F32" s="259" t="s">
        <v>358</v>
      </c>
      <c r="G32" s="259" t="s">
        <v>359</v>
      </c>
      <c r="H32" s="241" t="s">
        <v>657</v>
      </c>
      <c r="I32" s="241" t="s">
        <v>658</v>
      </c>
      <c r="J32" s="241" t="s">
        <v>659</v>
      </c>
      <c r="K32" s="241" t="s">
        <v>660</v>
      </c>
      <c r="L32" s="118"/>
      <c r="M32" s="241" t="s">
        <v>771</v>
      </c>
      <c r="N32" s="241" t="s">
        <v>771</v>
      </c>
      <c r="O32" s="118"/>
    </row>
    <row r="33" spans="2:15" ht="28.2" thickBot="1" x14ac:dyDescent="0.3">
      <c r="B33" s="230" t="s">
        <v>651</v>
      </c>
      <c r="C33" s="230" t="s">
        <v>25</v>
      </c>
      <c r="D33" s="230" t="s">
        <v>35</v>
      </c>
      <c r="E33" s="243" t="s">
        <v>36</v>
      </c>
      <c r="F33" s="243"/>
      <c r="G33" s="243"/>
      <c r="H33" s="243"/>
      <c r="I33" s="243"/>
      <c r="J33" s="243"/>
      <c r="K33" s="243"/>
      <c r="L33" s="118"/>
      <c r="M33" s="243" t="s">
        <v>661</v>
      </c>
      <c r="N33" s="243" t="s">
        <v>359</v>
      </c>
      <c r="O33" s="118"/>
    </row>
    <row r="34" spans="2:15" x14ac:dyDescent="0.25">
      <c r="B34" s="99" t="str">
        <f>R6</f>
        <v>INDONMSTMCOASUB_00</v>
      </c>
      <c r="C34" s="99" t="str">
        <f>S6</f>
        <v>Steam Boiler Other NMM Sub-bituminous_E00</v>
      </c>
      <c r="D34" s="99" t="s">
        <v>616</v>
      </c>
      <c r="E34" s="154" t="s">
        <v>692</v>
      </c>
      <c r="F34" s="251">
        <f>1/0.7</f>
        <v>1.4285714285714286</v>
      </c>
      <c r="G34" s="376">
        <v>1</v>
      </c>
      <c r="H34" s="251">
        <f>N34/K34/J34</f>
        <v>0</v>
      </c>
      <c r="I34" s="118">
        <v>30</v>
      </c>
      <c r="J34" s="99">
        <v>31.536000000000001</v>
      </c>
      <c r="K34" s="99">
        <v>0.8</v>
      </c>
      <c r="L34" s="118"/>
      <c r="M34" s="219">
        <f>NMM_BAL!D35</f>
        <v>0</v>
      </c>
      <c r="N34" s="219">
        <f>M34/F34</f>
        <v>0</v>
      </c>
      <c r="O34" s="118"/>
    </row>
    <row r="35" spans="2:15" x14ac:dyDescent="0.25">
      <c r="B35" s="99" t="str">
        <f t="shared" ref="B35:C43" si="4">R7</f>
        <v>INDONMSTMCOABIC_00</v>
      </c>
      <c r="C35" s="99" t="str">
        <f t="shared" si="4"/>
        <v>Steam Boiler Other NMM Bituminous_E00</v>
      </c>
      <c r="D35" s="99" t="s">
        <v>100</v>
      </c>
      <c r="E35" s="154" t="str">
        <f>E34</f>
        <v>INDONMSTM</v>
      </c>
      <c r="F35" s="251">
        <f t="shared" ref="F35:F36" si="5">1/0.7</f>
        <v>1.4285714285714286</v>
      </c>
      <c r="G35" s="376">
        <v>1</v>
      </c>
      <c r="H35" s="251">
        <f t="shared" ref="H35:H42" si="6">N35/K35/J35</f>
        <v>0</v>
      </c>
      <c r="I35" s="118">
        <v>30</v>
      </c>
      <c r="J35" s="99">
        <v>31.536000000000001</v>
      </c>
      <c r="K35" s="99">
        <v>0.8</v>
      </c>
      <c r="L35" s="118"/>
      <c r="M35" s="219">
        <f>NMM_BAL!C35</f>
        <v>0</v>
      </c>
      <c r="N35" s="219">
        <f t="shared" ref="N35:N41" si="7">M35/F35</f>
        <v>0</v>
      </c>
      <c r="O35" s="118"/>
    </row>
    <row r="36" spans="2:15" x14ac:dyDescent="0.25">
      <c r="B36" s="99" t="str">
        <f t="shared" si="4"/>
        <v>INDONMSTMCOABCO_00</v>
      </c>
      <c r="C36" s="99" t="str">
        <f t="shared" si="4"/>
        <v>Steam Boiler Other NMM BrownCoal_E00</v>
      </c>
      <c r="D36" s="99" t="s">
        <v>612</v>
      </c>
      <c r="E36" s="154" t="str">
        <f t="shared" ref="E36:E43" si="8">E35</f>
        <v>INDONMSTM</v>
      </c>
      <c r="F36" s="251">
        <f t="shared" si="5"/>
        <v>1.4285714285714286</v>
      </c>
      <c r="G36" s="376">
        <v>1</v>
      </c>
      <c r="H36" s="251">
        <f t="shared" si="6"/>
        <v>0</v>
      </c>
      <c r="I36" s="118">
        <v>30</v>
      </c>
      <c r="J36" s="99">
        <v>31.536000000000001</v>
      </c>
      <c r="K36" s="99">
        <v>0.8</v>
      </c>
      <c r="L36" s="118"/>
      <c r="M36" s="219">
        <f>NMM_BAL!E35</f>
        <v>0</v>
      </c>
      <c r="N36" s="219">
        <f t="shared" si="7"/>
        <v>0</v>
      </c>
      <c r="O36" s="118"/>
    </row>
    <row r="37" spans="2:15" x14ac:dyDescent="0.25">
      <c r="B37" s="99" t="str">
        <f t="shared" si="4"/>
        <v>INDONMSTMOILDSL_00</v>
      </c>
      <c r="C37" s="99" t="str">
        <f t="shared" si="4"/>
        <v>Steam Boiler Other NMM Diesel_E00</v>
      </c>
      <c r="D37" s="99" t="s">
        <v>104</v>
      </c>
      <c r="E37" s="154" t="str">
        <f t="shared" si="8"/>
        <v>INDONMSTM</v>
      </c>
      <c r="F37" s="251">
        <f>1/0.78</f>
        <v>1.2820512820512819</v>
      </c>
      <c r="G37" s="376">
        <v>1</v>
      </c>
      <c r="H37" s="251">
        <f t="shared" si="6"/>
        <v>0</v>
      </c>
      <c r="I37" s="118">
        <v>30</v>
      </c>
      <c r="J37" s="99">
        <v>31.536000000000001</v>
      </c>
      <c r="K37" s="99">
        <v>0.8</v>
      </c>
      <c r="L37" s="118"/>
      <c r="M37" s="219">
        <f>NMM_BAL!J35</f>
        <v>0</v>
      </c>
      <c r="N37" s="219">
        <f t="shared" si="7"/>
        <v>0</v>
      </c>
      <c r="O37" s="118"/>
    </row>
    <row r="38" spans="2:15" x14ac:dyDescent="0.25">
      <c r="B38" s="99" t="str">
        <f t="shared" si="4"/>
        <v>INDONMSTMOILHFO_00</v>
      </c>
      <c r="C38" s="99" t="str">
        <f t="shared" si="4"/>
        <v>Steam Boiler Other NMM HFO_E00</v>
      </c>
      <c r="D38" s="99" t="s">
        <v>449</v>
      </c>
      <c r="E38" s="154" t="str">
        <f t="shared" si="8"/>
        <v>INDONMSTM</v>
      </c>
      <c r="F38" s="251">
        <f>1/0.78</f>
        <v>1.2820512820512819</v>
      </c>
      <c r="G38" s="376">
        <v>1</v>
      </c>
      <c r="H38" s="251">
        <f t="shared" si="6"/>
        <v>0</v>
      </c>
      <c r="I38" s="118">
        <v>30</v>
      </c>
      <c r="J38" s="99">
        <v>31.536000000000001</v>
      </c>
      <c r="K38" s="99">
        <v>0.8</v>
      </c>
      <c r="L38" s="118"/>
      <c r="M38" s="219">
        <f>NMM_BAL!K35</f>
        <v>0</v>
      </c>
      <c r="N38" s="219">
        <f t="shared" si="7"/>
        <v>0</v>
      </c>
      <c r="O38" s="118"/>
    </row>
    <row r="39" spans="2:15" x14ac:dyDescent="0.25">
      <c r="B39" s="99" t="str">
        <f t="shared" si="4"/>
        <v>INDONMSTMOILPCK_00</v>
      </c>
      <c r="C39" s="99" t="str">
        <f t="shared" si="4"/>
        <v>Steam Boiler Other NMM PetCoke_E00</v>
      </c>
      <c r="D39" s="99" t="s">
        <v>110</v>
      </c>
      <c r="E39" s="154" t="str">
        <f t="shared" si="8"/>
        <v>INDONMSTM</v>
      </c>
      <c r="F39" s="251">
        <f>1/0.7</f>
        <v>1.4285714285714286</v>
      </c>
      <c r="G39" s="376">
        <v>1</v>
      </c>
      <c r="H39" s="251">
        <f t="shared" si="6"/>
        <v>0</v>
      </c>
      <c r="I39" s="118">
        <v>30</v>
      </c>
      <c r="J39" s="99">
        <v>31.536000000000001</v>
      </c>
      <c r="K39" s="99">
        <v>0.8</v>
      </c>
      <c r="L39" s="118"/>
      <c r="M39" s="219">
        <f>NMM_BAL!L35</f>
        <v>0</v>
      </c>
      <c r="N39" s="219">
        <f t="shared" si="7"/>
        <v>0</v>
      </c>
      <c r="O39" s="118"/>
    </row>
    <row r="40" spans="2:15" x14ac:dyDescent="0.25">
      <c r="B40" s="99" t="str">
        <f t="shared" si="4"/>
        <v>INDONMSTMOILOTH_00</v>
      </c>
      <c r="C40" s="99" t="str">
        <f t="shared" si="4"/>
        <v>Steam Boiler Other NMM Other Oil Products_E00</v>
      </c>
      <c r="D40" s="99" t="s">
        <v>111</v>
      </c>
      <c r="E40" s="154" t="str">
        <f t="shared" si="8"/>
        <v>INDONMSTM</v>
      </c>
      <c r="F40" s="251">
        <f>1/0.7</f>
        <v>1.4285714285714286</v>
      </c>
      <c r="G40" s="376">
        <v>1</v>
      </c>
      <c r="H40" s="251">
        <f t="shared" si="6"/>
        <v>0</v>
      </c>
      <c r="I40" s="118">
        <v>30</v>
      </c>
      <c r="J40" s="99">
        <v>31.536000000000001</v>
      </c>
      <c r="K40" s="99">
        <v>0.8</v>
      </c>
      <c r="L40" s="118"/>
      <c r="M40" s="219">
        <f>NMM_BAL!M35</f>
        <v>0</v>
      </c>
      <c r="N40" s="219">
        <f t="shared" si="7"/>
        <v>0</v>
      </c>
      <c r="O40" s="118"/>
    </row>
    <row r="41" spans="2:15" x14ac:dyDescent="0.25">
      <c r="B41" s="99" t="str">
        <f t="shared" si="4"/>
        <v>INDONMSTMGASNAT_00</v>
      </c>
      <c r="C41" s="99" t="str">
        <f t="shared" si="4"/>
        <v>Steam Boiler Other NMM N. Gas_E00</v>
      </c>
      <c r="D41" s="99" t="s">
        <v>112</v>
      </c>
      <c r="E41" s="154" t="str">
        <f t="shared" si="8"/>
        <v>INDONMSTM</v>
      </c>
      <c r="F41" s="251">
        <f>1/0.8</f>
        <v>1.25</v>
      </c>
      <c r="G41" s="376">
        <v>1</v>
      </c>
      <c r="H41" s="251">
        <f t="shared" si="6"/>
        <v>0.17259132420091322</v>
      </c>
      <c r="I41" s="118">
        <v>30</v>
      </c>
      <c r="J41" s="99">
        <v>31.536000000000001</v>
      </c>
      <c r="K41" s="99">
        <v>0.8</v>
      </c>
      <c r="L41" s="118"/>
      <c r="M41" s="219">
        <f>NMM_BAL!N35</f>
        <v>5.4428400000000003</v>
      </c>
      <c r="N41" s="219">
        <f t="shared" si="7"/>
        <v>4.3542719999999999</v>
      </c>
      <c r="O41" s="118"/>
    </row>
    <row r="42" spans="2:15" x14ac:dyDescent="0.25">
      <c r="B42" s="99" t="str">
        <f t="shared" si="4"/>
        <v>INDONMSTMBIOLOG_00</v>
      </c>
      <c r="C42" s="99" t="str">
        <f t="shared" si="4"/>
        <v>Steam Boiler Other NMM Biomass_E00</v>
      </c>
      <c r="D42" s="99" t="s">
        <v>114</v>
      </c>
      <c r="E42" s="154" t="str">
        <f t="shared" si="8"/>
        <v>INDONMSTM</v>
      </c>
      <c r="F42" s="251">
        <f>1/0.7</f>
        <v>1.4285714285714286</v>
      </c>
      <c r="G42" s="376">
        <v>1</v>
      </c>
      <c r="H42" s="251">
        <f t="shared" si="6"/>
        <v>0</v>
      </c>
      <c r="I42" s="118">
        <v>30</v>
      </c>
      <c r="J42" s="99">
        <v>31.536000000000001</v>
      </c>
      <c r="K42" s="99">
        <v>0.8</v>
      </c>
      <c r="L42" s="118"/>
      <c r="M42" s="219">
        <f>NMM_BAL!P35</f>
        <v>0</v>
      </c>
      <c r="N42" s="219">
        <f>M42/F42</f>
        <v>0</v>
      </c>
      <c r="O42" s="118"/>
    </row>
    <row r="43" spans="2:15" x14ac:dyDescent="0.25">
      <c r="B43" s="99" t="str">
        <f t="shared" si="4"/>
        <v>INDONMSTMNMMHTH_00</v>
      </c>
      <c r="C43" s="99" t="str">
        <f t="shared" si="4"/>
        <v>Steam Boiler Other NMM Heat_E00</v>
      </c>
      <c r="D43" s="99" t="str">
        <f>Auto_CHP!F35</f>
        <v>INDNMMHTH</v>
      </c>
      <c r="E43" s="154" t="str">
        <f t="shared" si="8"/>
        <v>INDONMSTM</v>
      </c>
      <c r="F43" s="251">
        <v>1.2</v>
      </c>
      <c r="G43" s="376">
        <v>1</v>
      </c>
      <c r="H43" s="251">
        <f>N43/K43/J43</f>
        <v>0</v>
      </c>
      <c r="I43" s="118">
        <v>30</v>
      </c>
      <c r="J43" s="99">
        <v>31.536000000000001</v>
      </c>
      <c r="K43" s="99">
        <v>0.8</v>
      </c>
      <c r="L43" s="118"/>
      <c r="M43" s="219">
        <f>NMM_BAL!S35</f>
        <v>0</v>
      </c>
      <c r="N43" s="219">
        <f>M43/F43</f>
        <v>0</v>
      </c>
      <c r="O43" s="118"/>
    </row>
    <row r="44" spans="2:15" ht="14.4" thickBot="1" x14ac:dyDescent="0.3">
      <c r="B44" s="377" t="s">
        <v>653</v>
      </c>
      <c r="C44" s="377"/>
      <c r="D44" s="377"/>
      <c r="E44" s="381"/>
      <c r="F44" s="382"/>
      <c r="G44" s="382"/>
      <c r="H44" s="383">
        <f>SUM(H34:H43)</f>
        <v>0.17259132420091322</v>
      </c>
      <c r="I44" s="377"/>
      <c r="J44" s="377"/>
      <c r="K44" s="377"/>
      <c r="L44" s="118"/>
      <c r="M44" s="383">
        <f>SUM(M34:M43)</f>
        <v>5.4428400000000003</v>
      </c>
      <c r="N44" s="383">
        <f>SUM(N34:N43)</f>
        <v>4.3542719999999999</v>
      </c>
      <c r="O44" s="118"/>
    </row>
    <row r="45" spans="2:15" x14ac:dyDescent="0.25">
      <c r="F45" s="118"/>
      <c r="G45" s="118"/>
      <c r="H45" s="118"/>
      <c r="I45" s="219"/>
      <c r="J45" s="118"/>
      <c r="K45" s="118"/>
      <c r="L45" s="269"/>
      <c r="M45" s="269"/>
      <c r="N45" s="269"/>
      <c r="O45" s="269"/>
    </row>
    <row r="46" spans="2:15" x14ac:dyDescent="0.25">
      <c r="F46" s="118"/>
      <c r="G46" s="118"/>
      <c r="H46" s="118"/>
      <c r="I46" s="219"/>
      <c r="J46" s="118"/>
      <c r="K46" s="118"/>
      <c r="L46" s="269"/>
      <c r="M46" s="269"/>
      <c r="N46" s="269"/>
      <c r="O46" s="269"/>
    </row>
    <row r="47" spans="2:15" x14ac:dyDescent="0.25">
      <c r="F47" s="118"/>
      <c r="G47" s="118"/>
      <c r="H47" s="118"/>
      <c r="I47" s="219"/>
      <c r="J47" s="118"/>
      <c r="K47" s="118"/>
      <c r="L47" s="118"/>
      <c r="M47" s="118"/>
      <c r="N47" s="118"/>
      <c r="O47" s="118"/>
    </row>
    <row r="48" spans="2:15" x14ac:dyDescent="0.25">
      <c r="B48" s="108" t="s">
        <v>662</v>
      </c>
      <c r="F48" s="118"/>
      <c r="G48" s="118"/>
      <c r="H48" s="118"/>
      <c r="I48" s="219"/>
      <c r="J48" s="118"/>
      <c r="K48" s="118"/>
      <c r="L48" s="118"/>
      <c r="M48" s="118"/>
      <c r="N48" s="118"/>
      <c r="O48" s="118"/>
    </row>
    <row r="49" spans="2:15" x14ac:dyDescent="0.25">
      <c r="F49" s="118"/>
      <c r="G49" s="118"/>
      <c r="H49" s="118"/>
      <c r="I49" s="219"/>
      <c r="J49" s="118"/>
      <c r="K49" s="118"/>
      <c r="L49" s="118"/>
      <c r="M49" s="118"/>
      <c r="N49" s="118"/>
      <c r="O49" s="118"/>
    </row>
    <row r="50" spans="2:15" x14ac:dyDescent="0.25">
      <c r="E50" s="380" t="s">
        <v>15</v>
      </c>
      <c r="F50" s="242" t="s">
        <v>464</v>
      </c>
      <c r="G50" s="242" t="s">
        <v>464</v>
      </c>
      <c r="K50" s="269"/>
      <c r="L50" s="269"/>
      <c r="M50" s="269"/>
      <c r="N50" s="269"/>
      <c r="O50" s="269"/>
    </row>
    <row r="51" spans="2:15" x14ac:dyDescent="0.25">
      <c r="B51" s="217" t="s">
        <v>1</v>
      </c>
      <c r="C51" s="217" t="s">
        <v>41</v>
      </c>
      <c r="D51" s="217" t="s">
        <v>7</v>
      </c>
      <c r="E51" s="241" t="s">
        <v>8</v>
      </c>
      <c r="F51" s="241" t="s">
        <v>358</v>
      </c>
      <c r="G51" s="241" t="s">
        <v>359</v>
      </c>
      <c r="H51" s="259" t="s">
        <v>657</v>
      </c>
      <c r="I51" s="259" t="s">
        <v>658</v>
      </c>
      <c r="J51" s="259" t="s">
        <v>660</v>
      </c>
      <c r="L51" s="269"/>
      <c r="M51" s="241" t="s">
        <v>771</v>
      </c>
      <c r="N51" s="241" t="s">
        <v>771</v>
      </c>
      <c r="O51" s="269"/>
    </row>
    <row r="52" spans="2:15" ht="28.2" thickBot="1" x14ac:dyDescent="0.3">
      <c r="B52" s="230" t="s">
        <v>651</v>
      </c>
      <c r="C52" s="230" t="s">
        <v>25</v>
      </c>
      <c r="D52" s="230" t="s">
        <v>35</v>
      </c>
      <c r="E52" s="243" t="s">
        <v>36</v>
      </c>
      <c r="F52" s="243"/>
      <c r="G52" s="243"/>
      <c r="H52" s="243"/>
      <c r="I52" s="243"/>
      <c r="J52" s="243"/>
      <c r="L52" s="269"/>
      <c r="M52" s="243" t="s">
        <v>661</v>
      </c>
      <c r="N52" s="243" t="s">
        <v>359</v>
      </c>
      <c r="O52" s="269"/>
    </row>
    <row r="53" spans="2:15" x14ac:dyDescent="0.25">
      <c r="B53" s="99" t="str">
        <f>R16</f>
        <v>INDONMHPRCOASUB_00</v>
      </c>
      <c r="C53" s="99" t="str">
        <f>S16</f>
        <v>Process Heat Other NMM Sub-bituminous_E00</v>
      </c>
      <c r="D53" s="99" t="s">
        <v>616</v>
      </c>
      <c r="E53" s="154" t="s">
        <v>693</v>
      </c>
      <c r="F53" s="251">
        <f>1/0.7</f>
        <v>1.4285714285714286</v>
      </c>
      <c r="G53" s="376">
        <v>1</v>
      </c>
      <c r="H53" s="251">
        <f>N53/J53</f>
        <v>0</v>
      </c>
      <c r="I53" s="118">
        <v>30</v>
      </c>
      <c r="J53" s="118">
        <v>0.8</v>
      </c>
      <c r="L53" s="118"/>
      <c r="M53" s="372">
        <f>NMM_BAL!D36</f>
        <v>0</v>
      </c>
      <c r="N53" s="372">
        <f>M53/F53</f>
        <v>0</v>
      </c>
      <c r="O53" s="118"/>
    </row>
    <row r="54" spans="2:15" x14ac:dyDescent="0.25">
      <c r="B54" s="99" t="str">
        <f t="shared" ref="B54:C63" si="9">R17</f>
        <v>INDONMHPRCOABIC_00</v>
      </c>
      <c r="C54" s="99" t="str">
        <f t="shared" si="9"/>
        <v>Process Heat Other NMM Bituminous_E00</v>
      </c>
      <c r="D54" s="99" t="s">
        <v>100</v>
      </c>
      <c r="E54" s="154" t="str">
        <f>E53</f>
        <v>INDONMHPR</v>
      </c>
      <c r="F54" s="251">
        <f>1/0.7</f>
        <v>1.4285714285714286</v>
      </c>
      <c r="G54" s="376">
        <v>1</v>
      </c>
      <c r="H54" s="251">
        <f t="shared" ref="H54:H62" si="10">N54/J54</f>
        <v>0</v>
      </c>
      <c r="I54" s="118">
        <v>30</v>
      </c>
      <c r="J54" s="118">
        <v>0.8</v>
      </c>
      <c r="L54" s="118"/>
      <c r="M54" s="372">
        <f>NMM_BAL!C36</f>
        <v>0</v>
      </c>
      <c r="N54" s="372">
        <f t="shared" ref="N54:N63" si="11">M54/F54</f>
        <v>0</v>
      </c>
      <c r="O54" s="118"/>
    </row>
    <row r="55" spans="2:15" x14ac:dyDescent="0.25">
      <c r="B55" s="99" t="str">
        <f t="shared" si="9"/>
        <v>INDONMHPRCOABKB_00</v>
      </c>
      <c r="C55" s="99" t="str">
        <f t="shared" si="9"/>
        <v>Process Heat Other NMM BKB_E00</v>
      </c>
      <c r="D55" s="99" t="s">
        <v>103</v>
      </c>
      <c r="E55" s="154" t="str">
        <f t="shared" ref="E55:E63" si="12">E54</f>
        <v>INDONMHPR</v>
      </c>
      <c r="F55" s="251">
        <f>1/0.7</f>
        <v>1.4285714285714286</v>
      </c>
      <c r="G55" s="376">
        <v>1</v>
      </c>
      <c r="H55" s="251">
        <f t="shared" si="10"/>
        <v>0</v>
      </c>
      <c r="I55" s="118">
        <v>30</v>
      </c>
      <c r="J55" s="118">
        <v>0.8</v>
      </c>
      <c r="L55" s="118"/>
      <c r="M55" s="372">
        <f>NMM_BAL!G36</f>
        <v>0</v>
      </c>
      <c r="N55" s="372">
        <f t="shared" si="11"/>
        <v>0</v>
      </c>
      <c r="O55" s="118"/>
    </row>
    <row r="56" spans="2:15" x14ac:dyDescent="0.25">
      <c r="B56" s="99" t="str">
        <f t="shared" si="9"/>
        <v>INDONMHPROILDSL_00</v>
      </c>
      <c r="C56" s="99" t="str">
        <f t="shared" si="9"/>
        <v>Process Heat Other NMM Diesel_E00</v>
      </c>
      <c r="D56" s="99" t="s">
        <v>104</v>
      </c>
      <c r="E56" s="154" t="str">
        <f t="shared" si="12"/>
        <v>INDONMHPR</v>
      </c>
      <c r="F56" s="251">
        <f>1/0.78</f>
        <v>1.2820512820512819</v>
      </c>
      <c r="G56" s="376">
        <v>1</v>
      </c>
      <c r="H56" s="251">
        <f t="shared" si="10"/>
        <v>0</v>
      </c>
      <c r="I56" s="118">
        <v>30</v>
      </c>
      <c r="J56" s="118">
        <v>0.8</v>
      </c>
      <c r="L56" s="118"/>
      <c r="M56" s="372">
        <f>NMM_BAL!J36</f>
        <v>0</v>
      </c>
      <c r="N56" s="372">
        <f t="shared" si="11"/>
        <v>0</v>
      </c>
      <c r="O56" s="118"/>
    </row>
    <row r="57" spans="2:15" x14ac:dyDescent="0.25">
      <c r="B57" s="99" t="str">
        <f t="shared" si="9"/>
        <v>INDONMHPROILHFO_00</v>
      </c>
      <c r="C57" s="99" t="str">
        <f t="shared" si="9"/>
        <v>Process Heat Other NMM HFO_E00</v>
      </c>
      <c r="D57" s="99" t="s">
        <v>449</v>
      </c>
      <c r="E57" s="154" t="str">
        <f t="shared" si="12"/>
        <v>INDONMHPR</v>
      </c>
      <c r="F57" s="251">
        <f>1/0.78</f>
        <v>1.2820512820512819</v>
      </c>
      <c r="G57" s="376">
        <v>1</v>
      </c>
      <c r="H57" s="251">
        <f t="shared" si="10"/>
        <v>0</v>
      </c>
      <c r="I57" s="118">
        <v>30</v>
      </c>
      <c r="J57" s="118">
        <v>0.8</v>
      </c>
      <c r="L57" s="118"/>
      <c r="M57" s="372">
        <f>NMM_BAL!K36</f>
        <v>0</v>
      </c>
      <c r="N57" s="372">
        <f t="shared" si="11"/>
        <v>0</v>
      </c>
      <c r="O57" s="118"/>
    </row>
    <row r="58" spans="2:15" x14ac:dyDescent="0.25">
      <c r="B58" s="99" t="str">
        <f t="shared" si="9"/>
        <v>INDONMHPROILPCK_00</v>
      </c>
      <c r="C58" s="99" t="str">
        <f t="shared" si="9"/>
        <v>Process Heat Other NMM PetCoke_E00</v>
      </c>
      <c r="D58" s="99" t="s">
        <v>110</v>
      </c>
      <c r="E58" s="154" t="str">
        <f t="shared" si="12"/>
        <v>INDONMHPR</v>
      </c>
      <c r="F58" s="251">
        <f>1/0.7</f>
        <v>1.4285714285714286</v>
      </c>
      <c r="G58" s="376">
        <v>1</v>
      </c>
      <c r="H58" s="251">
        <f t="shared" si="10"/>
        <v>0</v>
      </c>
      <c r="I58" s="118">
        <v>30</v>
      </c>
      <c r="J58" s="118">
        <v>0.8</v>
      </c>
      <c r="L58" s="118"/>
      <c r="M58" s="372">
        <f>NMM_BAL!L36</f>
        <v>0</v>
      </c>
      <c r="N58" s="372">
        <f t="shared" si="11"/>
        <v>0</v>
      </c>
      <c r="O58" s="118"/>
    </row>
    <row r="59" spans="2:15" x14ac:dyDescent="0.25">
      <c r="B59" s="99" t="str">
        <f t="shared" si="9"/>
        <v>INDONMHPROILOTH_00</v>
      </c>
      <c r="C59" s="99" t="str">
        <f t="shared" si="9"/>
        <v>Process Heat Other NMM Other Oil Products_E00</v>
      </c>
      <c r="D59" s="99" t="s">
        <v>111</v>
      </c>
      <c r="E59" s="154" t="str">
        <f t="shared" si="12"/>
        <v>INDONMHPR</v>
      </c>
      <c r="F59" s="251">
        <f>1/0.78</f>
        <v>1.2820512820512819</v>
      </c>
      <c r="G59" s="376">
        <v>1</v>
      </c>
      <c r="H59" s="251">
        <f t="shared" si="10"/>
        <v>0</v>
      </c>
      <c r="I59" s="118">
        <v>30</v>
      </c>
      <c r="J59" s="118">
        <v>0.8</v>
      </c>
      <c r="L59" s="118"/>
      <c r="M59" s="372">
        <f>NMM_BAL!M36</f>
        <v>0</v>
      </c>
      <c r="N59" s="372">
        <f t="shared" si="11"/>
        <v>0</v>
      </c>
      <c r="O59" s="118"/>
    </row>
    <row r="60" spans="2:15" x14ac:dyDescent="0.25">
      <c r="B60" s="99" t="str">
        <f t="shared" si="9"/>
        <v>INDONMHPRGASNAT_00</v>
      </c>
      <c r="C60" s="99" t="str">
        <f t="shared" si="9"/>
        <v>Process Heat Other NMM N. Gas_E00</v>
      </c>
      <c r="D60" s="99" t="s">
        <v>112</v>
      </c>
      <c r="E60" s="154" t="str">
        <f t="shared" si="12"/>
        <v>INDONMHPR</v>
      </c>
      <c r="F60" s="251">
        <f t="shared" ref="F60" si="13">1/0.8</f>
        <v>1.25</v>
      </c>
      <c r="G60" s="376">
        <v>1</v>
      </c>
      <c r="H60" s="251">
        <f t="shared" si="10"/>
        <v>0</v>
      </c>
      <c r="I60" s="118">
        <v>30</v>
      </c>
      <c r="J60" s="118">
        <v>0.8</v>
      </c>
      <c r="L60" s="118"/>
      <c r="M60" s="372">
        <f>NMM_BAL!N36</f>
        <v>0</v>
      </c>
      <c r="N60" s="372">
        <f t="shared" si="11"/>
        <v>0</v>
      </c>
      <c r="O60" s="118"/>
    </row>
    <row r="61" spans="2:15" x14ac:dyDescent="0.25">
      <c r="B61" s="99" t="str">
        <f t="shared" si="9"/>
        <v>INDONMHPRBIOLOG_00</v>
      </c>
      <c r="C61" s="99" t="str">
        <f t="shared" si="9"/>
        <v>Process Heat Other NMM Biomass_E00</v>
      </c>
      <c r="D61" s="99" t="s">
        <v>114</v>
      </c>
      <c r="E61" s="154" t="str">
        <f t="shared" si="12"/>
        <v>INDONMHPR</v>
      </c>
      <c r="F61" s="251">
        <f>1/0.7</f>
        <v>1.4285714285714286</v>
      </c>
      <c r="G61" s="376">
        <v>1</v>
      </c>
      <c r="H61" s="251">
        <f>N61/J61</f>
        <v>0</v>
      </c>
      <c r="I61" s="118">
        <v>30</v>
      </c>
      <c r="J61" s="118">
        <v>0.8</v>
      </c>
      <c r="L61" s="118"/>
      <c r="M61" s="372">
        <f>NMM_BAL!P36</f>
        <v>0</v>
      </c>
      <c r="N61" s="372">
        <f t="shared" si="11"/>
        <v>0</v>
      </c>
      <c r="O61" s="118"/>
    </row>
    <row r="62" spans="2:15" x14ac:dyDescent="0.25">
      <c r="B62" s="99" t="str">
        <f t="shared" si="9"/>
        <v>INDONMHPRNMMHTH_00</v>
      </c>
      <c r="C62" s="99" t="str">
        <f t="shared" si="9"/>
        <v>Process Heat Other NMM Heat_E00</v>
      </c>
      <c r="D62" s="99" t="str">
        <f>D43</f>
        <v>INDNMMHTH</v>
      </c>
      <c r="E62" s="154" t="str">
        <f t="shared" si="12"/>
        <v>INDONMHPR</v>
      </c>
      <c r="F62" s="251">
        <v>1.2</v>
      </c>
      <c r="G62" s="376">
        <v>1</v>
      </c>
      <c r="H62" s="251">
        <f t="shared" si="10"/>
        <v>0</v>
      </c>
      <c r="I62" s="118">
        <v>30</v>
      </c>
      <c r="J62" s="118">
        <v>0.8</v>
      </c>
      <c r="L62" s="118"/>
      <c r="M62" s="372">
        <f>NMM_BAL!S36</f>
        <v>0</v>
      </c>
      <c r="N62" s="372">
        <f t="shared" si="11"/>
        <v>0</v>
      </c>
      <c r="O62" s="118"/>
    </row>
    <row r="63" spans="2:15" x14ac:dyDescent="0.25">
      <c r="B63" s="99" t="str">
        <f t="shared" si="9"/>
        <v>INDONMHPRINDELC_00</v>
      </c>
      <c r="C63" s="99" t="str">
        <f t="shared" si="9"/>
        <v>Process Heat Other NMM Electricity_E00</v>
      </c>
      <c r="D63" s="99" t="s">
        <v>129</v>
      </c>
      <c r="E63" s="154" t="str">
        <f t="shared" si="12"/>
        <v>INDONMHPR</v>
      </c>
      <c r="F63" s="251">
        <v>1.1000000000000001</v>
      </c>
      <c r="G63" s="376">
        <v>1</v>
      </c>
      <c r="H63" s="251">
        <f>N63/J63</f>
        <v>0</v>
      </c>
      <c r="I63" s="118">
        <v>30</v>
      </c>
      <c r="J63" s="118">
        <v>0.8</v>
      </c>
      <c r="L63" s="118"/>
      <c r="M63" s="372">
        <f>NMM_BAL!T36</f>
        <v>0</v>
      </c>
      <c r="N63" s="372">
        <f t="shared" si="11"/>
        <v>0</v>
      </c>
      <c r="O63" s="118"/>
    </row>
    <row r="64" spans="2:15" ht="14.4" thickBot="1" x14ac:dyDescent="0.3">
      <c r="B64" s="377" t="s">
        <v>653</v>
      </c>
      <c r="C64" s="377"/>
      <c r="D64" s="377"/>
      <c r="E64" s="381"/>
      <c r="F64" s="382"/>
      <c r="G64" s="382"/>
      <c r="H64" s="384">
        <f>SUM(H53:H63)</f>
        <v>0</v>
      </c>
      <c r="I64" s="385"/>
      <c r="J64" s="385"/>
      <c r="L64" s="118"/>
      <c r="M64" s="386">
        <f>SUM(M53:M63)</f>
        <v>0</v>
      </c>
      <c r="N64" s="386">
        <f>SUM(N53:N63)</f>
        <v>0</v>
      </c>
      <c r="O64" s="118"/>
    </row>
    <row r="65" spans="2:15" x14ac:dyDescent="0.25">
      <c r="F65" s="118"/>
      <c r="G65" s="118"/>
      <c r="H65" s="118"/>
      <c r="I65" s="219"/>
      <c r="J65" s="118"/>
      <c r="K65" s="118"/>
      <c r="L65" s="118"/>
      <c r="M65" s="118"/>
      <c r="N65" s="118"/>
      <c r="O65" s="118"/>
    </row>
    <row r="66" spans="2:15" x14ac:dyDescent="0.25">
      <c r="F66" s="118"/>
      <c r="G66" s="118"/>
      <c r="H66" s="118"/>
      <c r="I66" s="219"/>
      <c r="J66" s="118"/>
      <c r="K66" s="118"/>
      <c r="L66" s="118"/>
      <c r="M66" s="118"/>
      <c r="N66" s="118"/>
      <c r="O66" s="118"/>
    </row>
    <row r="67" spans="2:15" x14ac:dyDescent="0.25">
      <c r="F67" s="118"/>
      <c r="G67" s="118"/>
      <c r="H67" s="118"/>
      <c r="I67" s="219"/>
      <c r="J67" s="118"/>
      <c r="K67" s="118"/>
      <c r="L67" s="118"/>
      <c r="M67" s="118"/>
      <c r="N67" s="118"/>
      <c r="O67" s="118"/>
    </row>
    <row r="68" spans="2:15" x14ac:dyDescent="0.25">
      <c r="F68" s="118"/>
      <c r="G68" s="118"/>
      <c r="H68" s="251"/>
      <c r="I68" s="219"/>
      <c r="J68" s="118"/>
      <c r="K68" s="118"/>
      <c r="L68" s="118"/>
      <c r="M68" s="118"/>
      <c r="N68" s="118"/>
      <c r="O68" s="118"/>
    </row>
    <row r="69" spans="2:15" x14ac:dyDescent="0.25">
      <c r="B69" s="108" t="s">
        <v>663</v>
      </c>
      <c r="F69" s="118"/>
      <c r="G69" s="118"/>
      <c r="H69" s="118"/>
      <c r="I69" s="219"/>
      <c r="J69" s="118"/>
      <c r="K69" s="118"/>
      <c r="L69" s="118"/>
      <c r="M69" s="118"/>
      <c r="N69" s="118"/>
      <c r="O69" s="118"/>
    </row>
    <row r="70" spans="2:15" x14ac:dyDescent="0.25">
      <c r="F70" s="118"/>
      <c r="G70" s="118"/>
      <c r="H70" s="118"/>
      <c r="I70" s="219"/>
      <c r="J70" s="118"/>
      <c r="K70" s="118"/>
      <c r="L70" s="118"/>
      <c r="M70" s="118"/>
      <c r="N70" s="118"/>
      <c r="O70" s="118"/>
    </row>
    <row r="71" spans="2:15" x14ac:dyDescent="0.25">
      <c r="E71" s="380" t="s">
        <v>15</v>
      </c>
      <c r="F71" s="242" t="s">
        <v>464</v>
      </c>
      <c r="G71" s="242" t="s">
        <v>464</v>
      </c>
      <c r="K71" s="118"/>
      <c r="L71" s="118"/>
      <c r="M71" s="118"/>
      <c r="N71" s="118"/>
      <c r="O71" s="118"/>
    </row>
    <row r="72" spans="2:15" x14ac:dyDescent="0.25">
      <c r="B72" s="217" t="s">
        <v>1</v>
      </c>
      <c r="C72" s="217" t="s">
        <v>41</v>
      </c>
      <c r="D72" s="217" t="s">
        <v>7</v>
      </c>
      <c r="E72" s="241" t="s">
        <v>8</v>
      </c>
      <c r="F72" s="259" t="s">
        <v>358</v>
      </c>
      <c r="G72" s="259" t="s">
        <v>359</v>
      </c>
      <c r="H72" s="259" t="s">
        <v>657</v>
      </c>
      <c r="I72" s="259" t="s">
        <v>658</v>
      </c>
      <c r="J72" s="259" t="s">
        <v>660</v>
      </c>
      <c r="K72" s="118"/>
      <c r="L72" s="118"/>
      <c r="M72" s="241" t="s">
        <v>771</v>
      </c>
      <c r="N72" s="241" t="s">
        <v>771</v>
      </c>
      <c r="O72" s="118"/>
    </row>
    <row r="73" spans="2:15" ht="28.2" thickBot="1" x14ac:dyDescent="0.3">
      <c r="B73" s="230" t="s">
        <v>651</v>
      </c>
      <c r="C73" s="230" t="s">
        <v>25</v>
      </c>
      <c r="D73" s="230" t="s">
        <v>35</v>
      </c>
      <c r="E73" s="243" t="s">
        <v>36</v>
      </c>
      <c r="F73" s="243"/>
      <c r="G73" s="243"/>
      <c r="H73" s="243"/>
      <c r="I73" s="243"/>
      <c r="J73" s="243"/>
      <c r="K73" s="118"/>
      <c r="L73" s="118"/>
      <c r="M73" s="243" t="s">
        <v>661</v>
      </c>
      <c r="N73" s="243" t="s">
        <v>359</v>
      </c>
      <c r="O73" s="118"/>
    </row>
    <row r="74" spans="2:15" x14ac:dyDescent="0.25">
      <c r="B74" s="99" t="str">
        <f>R27</f>
        <v>INDONMMCDOILDSL_00</v>
      </c>
      <c r="C74" s="99" t="str">
        <f>S27</f>
        <v>Machine Drive Other NMM Diesel_E00</v>
      </c>
      <c r="D74" s="99" t="s">
        <v>104</v>
      </c>
      <c r="E74" s="154" t="s">
        <v>694</v>
      </c>
      <c r="F74" s="251">
        <f>1/0.5</f>
        <v>2</v>
      </c>
      <c r="G74" s="376">
        <v>1</v>
      </c>
      <c r="H74" s="234">
        <f>N74/J74</f>
        <v>0</v>
      </c>
      <c r="I74" s="118">
        <v>20</v>
      </c>
      <c r="J74" s="118">
        <v>0.8</v>
      </c>
      <c r="K74" s="118"/>
      <c r="L74" s="118"/>
      <c r="M74" s="251">
        <f>NMM_BAL!J37</f>
        <v>0</v>
      </c>
      <c r="N74" s="251">
        <f>M74/F74</f>
        <v>0</v>
      </c>
      <c r="O74" s="118"/>
    </row>
    <row r="75" spans="2:15" x14ac:dyDescent="0.25">
      <c r="B75" s="99" t="str">
        <f t="shared" ref="B75:C76" si="14">R28</f>
        <v>INDONMMCDGASNAT_00</v>
      </c>
      <c r="C75" s="99" t="str">
        <f t="shared" si="14"/>
        <v>Machine Drive Other NMM N. Gas_E00</v>
      </c>
      <c r="D75" s="99" t="s">
        <v>112</v>
      </c>
      <c r="E75" s="154" t="str">
        <f>E74</f>
        <v>INDONMMCD</v>
      </c>
      <c r="F75" s="251">
        <f>1/0.5</f>
        <v>2</v>
      </c>
      <c r="G75" s="376">
        <v>1</v>
      </c>
      <c r="H75" s="234">
        <f>N75/J75</f>
        <v>0</v>
      </c>
      <c r="I75" s="118">
        <v>20</v>
      </c>
      <c r="J75" s="118">
        <v>0.8</v>
      </c>
      <c r="K75" s="118"/>
      <c r="L75" s="118"/>
      <c r="M75" s="251">
        <f>NMM_BAL!N37</f>
        <v>0</v>
      </c>
      <c r="N75" s="251">
        <f t="shared" ref="N75:N76" si="15">M75/F75</f>
        <v>0</v>
      </c>
      <c r="O75" s="118"/>
    </row>
    <row r="76" spans="2:15" x14ac:dyDescent="0.25">
      <c r="B76" s="99" t="str">
        <f t="shared" si="14"/>
        <v>INDONMMCDINDELC_00</v>
      </c>
      <c r="C76" s="99" t="str">
        <f t="shared" si="14"/>
        <v>Machine Drive Other NMM Electricity_E00</v>
      </c>
      <c r="D76" s="99" t="s">
        <v>129</v>
      </c>
      <c r="E76" s="154" t="str">
        <f>E75</f>
        <v>INDONMMCD</v>
      </c>
      <c r="F76" s="251">
        <f>1/0.9</f>
        <v>1.1111111111111112</v>
      </c>
      <c r="G76" s="376">
        <v>1</v>
      </c>
      <c r="H76" s="234">
        <f>N76/J76</f>
        <v>0.33913079999999995</v>
      </c>
      <c r="I76" s="118">
        <v>20</v>
      </c>
      <c r="J76" s="118">
        <v>0.8</v>
      </c>
      <c r="K76" s="118"/>
      <c r="L76" s="118"/>
      <c r="M76" s="251">
        <f>NMM_BAL!T37</f>
        <v>0.30144959999999998</v>
      </c>
      <c r="N76" s="251">
        <f t="shared" si="15"/>
        <v>0.27130463999999999</v>
      </c>
      <c r="O76" s="118"/>
    </row>
    <row r="77" spans="2:15" ht="14.4" thickBot="1" x14ac:dyDescent="0.3">
      <c r="B77" s="377" t="s">
        <v>653</v>
      </c>
      <c r="C77" s="377"/>
      <c r="D77" s="377"/>
      <c r="E77" s="381"/>
      <c r="F77" s="387"/>
      <c r="G77" s="387"/>
      <c r="H77" s="384">
        <f>SUM(H74:H76)</f>
        <v>0.33913079999999995</v>
      </c>
      <c r="I77" s="385"/>
      <c r="J77" s="385"/>
      <c r="K77" s="118"/>
      <c r="L77" s="118"/>
      <c r="M77" s="383">
        <f>SUM(M74:M76)</f>
        <v>0.30144959999999998</v>
      </c>
      <c r="N77" s="383">
        <f>SUM(N74:N76)</f>
        <v>0.27130463999999999</v>
      </c>
      <c r="O77" s="118"/>
    </row>
    <row r="78" spans="2:15" x14ac:dyDescent="0.25">
      <c r="F78" s="118"/>
      <c r="G78" s="118"/>
      <c r="H78" s="118"/>
      <c r="I78" s="219"/>
      <c r="J78" s="118"/>
      <c r="K78" s="118"/>
      <c r="L78" s="118"/>
      <c r="M78" s="118"/>
      <c r="N78" s="118"/>
      <c r="O78" s="118"/>
    </row>
    <row r="79" spans="2:15" x14ac:dyDescent="0.25">
      <c r="F79" s="118"/>
      <c r="G79" s="118"/>
      <c r="H79" s="118"/>
      <c r="I79" s="219"/>
      <c r="J79" s="118"/>
      <c r="K79" s="118"/>
      <c r="L79" s="118"/>
      <c r="M79" s="118"/>
      <c r="N79" s="118"/>
      <c r="O79" s="118"/>
    </row>
    <row r="80" spans="2:15" x14ac:dyDescent="0.25">
      <c r="F80" s="118"/>
      <c r="G80" s="118"/>
      <c r="H80" s="118"/>
      <c r="I80" s="219"/>
      <c r="J80" s="118"/>
      <c r="K80" s="118"/>
      <c r="L80" s="118"/>
      <c r="M80" s="118"/>
      <c r="N80" s="118"/>
      <c r="O80" s="118"/>
    </row>
    <row r="81" spans="1:25" x14ac:dyDescent="0.25">
      <c r="B81" s="108" t="s">
        <v>664</v>
      </c>
      <c r="F81" s="118"/>
      <c r="G81" s="118"/>
      <c r="H81" s="118"/>
      <c r="I81" s="219"/>
      <c r="J81" s="118"/>
      <c r="K81" s="118"/>
      <c r="L81" s="118"/>
      <c r="M81" s="118"/>
      <c r="N81" s="118"/>
      <c r="O81" s="118"/>
    </row>
    <row r="82" spans="1:25" x14ac:dyDescent="0.25">
      <c r="F82" s="118"/>
      <c r="G82" s="118"/>
      <c r="H82" s="118"/>
      <c r="I82" s="219"/>
      <c r="J82" s="118"/>
      <c r="K82" s="118"/>
      <c r="L82" s="118"/>
      <c r="M82" s="118"/>
      <c r="N82" s="118"/>
      <c r="O82" s="118"/>
    </row>
    <row r="83" spans="1:25" x14ac:dyDescent="0.25">
      <c r="E83" s="380" t="s">
        <v>15</v>
      </c>
      <c r="F83" s="242" t="s">
        <v>464</v>
      </c>
      <c r="G83" s="242" t="s">
        <v>464</v>
      </c>
      <c r="K83" s="118"/>
      <c r="L83" s="118"/>
      <c r="M83" s="118"/>
      <c r="N83" s="118"/>
      <c r="O83" s="118"/>
    </row>
    <row r="84" spans="1:25" x14ac:dyDescent="0.25">
      <c r="B84" s="217" t="s">
        <v>1</v>
      </c>
      <c r="C84" s="217" t="s">
        <v>41</v>
      </c>
      <c r="D84" s="217" t="s">
        <v>7</v>
      </c>
      <c r="E84" s="241" t="s">
        <v>8</v>
      </c>
      <c r="F84" s="241" t="s">
        <v>358</v>
      </c>
      <c r="G84" s="241" t="s">
        <v>359</v>
      </c>
      <c r="H84" s="241" t="s">
        <v>657</v>
      </c>
      <c r="I84" s="259" t="s">
        <v>658</v>
      </c>
      <c r="J84" s="259" t="s">
        <v>660</v>
      </c>
      <c r="K84" s="118"/>
      <c r="L84" s="118"/>
      <c r="M84" s="241" t="s">
        <v>771</v>
      </c>
      <c r="N84" s="241" t="s">
        <v>771</v>
      </c>
      <c r="O84" s="118"/>
    </row>
    <row r="85" spans="1:25" ht="28.2" thickBot="1" x14ac:dyDescent="0.3">
      <c r="B85" s="230" t="s">
        <v>651</v>
      </c>
      <c r="C85" s="230" t="s">
        <v>25</v>
      </c>
      <c r="D85" s="230" t="s">
        <v>35</v>
      </c>
      <c r="E85" s="243" t="s">
        <v>36</v>
      </c>
      <c r="F85" s="243"/>
      <c r="G85" s="243"/>
      <c r="H85" s="243"/>
      <c r="I85" s="243"/>
      <c r="J85" s="243"/>
      <c r="K85" s="118"/>
      <c r="L85" s="118"/>
      <c r="M85" s="243" t="s">
        <v>661</v>
      </c>
      <c r="N85" s="243" t="s">
        <v>359</v>
      </c>
      <c r="O85" s="118"/>
    </row>
    <row r="86" spans="1:25" x14ac:dyDescent="0.25">
      <c r="B86" s="99" t="str">
        <f>R30</f>
        <v>INDONMOENINDELC_00</v>
      </c>
      <c r="C86" s="99" t="str">
        <f>S30</f>
        <v>Other Energy Other NMM Electricity_E00</v>
      </c>
      <c r="D86" s="99" t="s">
        <v>129</v>
      </c>
      <c r="E86" s="154" t="s">
        <v>695</v>
      </c>
      <c r="F86" s="251">
        <f>1/0.8</f>
        <v>1.25</v>
      </c>
      <c r="G86" s="376">
        <v>1</v>
      </c>
      <c r="H86" s="234">
        <f>N86/J86</f>
        <v>7.5362399999999996E-2</v>
      </c>
      <c r="I86" s="118">
        <v>30</v>
      </c>
      <c r="J86" s="118">
        <v>0.8</v>
      </c>
      <c r="K86" s="118"/>
      <c r="L86" s="118"/>
      <c r="M86" s="251">
        <f>NMM_BAL!T38</f>
        <v>7.5362399999999996E-2</v>
      </c>
      <c r="N86" s="251">
        <f>M86/F86</f>
        <v>6.0289919999999997E-2</v>
      </c>
      <c r="O86" s="118"/>
    </row>
    <row r="87" spans="1:25" ht="14.4" thickBot="1" x14ac:dyDescent="0.3">
      <c r="B87" s="377" t="s">
        <v>653</v>
      </c>
      <c r="C87" s="377"/>
      <c r="D87" s="377"/>
      <c r="E87" s="381"/>
      <c r="F87" s="382"/>
      <c r="G87" s="382"/>
      <c r="H87" s="384">
        <f>SUM(H86:H86)</f>
        <v>7.5362399999999996E-2</v>
      </c>
      <c r="I87" s="385"/>
      <c r="J87" s="385"/>
      <c r="K87" s="118"/>
      <c r="L87" s="118"/>
      <c r="M87" s="383">
        <f>SUM(M86:M86)</f>
        <v>7.5362399999999996E-2</v>
      </c>
      <c r="N87" s="383">
        <f>SUM(N86:N86)</f>
        <v>6.0289919999999997E-2</v>
      </c>
      <c r="O87" s="118"/>
    </row>
    <row r="88" spans="1:25" x14ac:dyDescent="0.25">
      <c r="F88" s="118"/>
      <c r="G88" s="118"/>
      <c r="H88" s="251"/>
      <c r="I88" s="219"/>
      <c r="J88" s="118"/>
      <c r="K88" s="118"/>
      <c r="L88" s="118"/>
      <c r="M88" s="118"/>
      <c r="N88" s="118"/>
      <c r="O88" s="118"/>
    </row>
    <row r="89" spans="1:25" x14ac:dyDescent="0.25">
      <c r="F89" s="118"/>
      <c r="G89" s="118"/>
      <c r="H89" s="118"/>
      <c r="I89" s="219"/>
      <c r="J89" s="118"/>
      <c r="K89" s="118"/>
      <c r="L89" s="118"/>
      <c r="M89" s="118"/>
      <c r="N89" s="118"/>
      <c r="O89" s="118"/>
    </row>
    <row r="90" spans="1:25" x14ac:dyDescent="0.25">
      <c r="F90" s="118"/>
      <c r="G90" s="118"/>
      <c r="H90" s="118"/>
      <c r="I90" s="219"/>
      <c r="J90" s="118"/>
      <c r="K90" s="118"/>
      <c r="L90" s="118"/>
      <c r="M90" s="118"/>
      <c r="N90" s="118"/>
      <c r="O90" s="118"/>
    </row>
    <row r="91" spans="1:25" x14ac:dyDescent="0.25">
      <c r="F91" s="118"/>
      <c r="G91" s="118"/>
      <c r="H91" s="118"/>
      <c r="I91" s="219"/>
      <c r="J91" s="118"/>
      <c r="K91" s="118"/>
      <c r="L91" s="118"/>
      <c r="M91" s="118"/>
      <c r="N91" s="118"/>
      <c r="O91" s="118"/>
    </row>
    <row r="92" spans="1:25" x14ac:dyDescent="0.25">
      <c r="F92" s="118"/>
      <c r="G92" s="118"/>
      <c r="H92" s="118"/>
      <c r="I92" s="219"/>
      <c r="J92" s="118"/>
      <c r="K92" s="118"/>
      <c r="L92" s="118"/>
      <c r="M92" s="118"/>
      <c r="N92" s="118"/>
      <c r="O92" s="118"/>
    </row>
    <row r="93" spans="1:25" ht="17.399999999999999" x14ac:dyDescent="0.3">
      <c r="A93" s="108"/>
      <c r="B93" s="108" t="s">
        <v>665</v>
      </c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21"/>
      <c r="Q93" s="121"/>
      <c r="R93" s="121"/>
      <c r="S93" s="121"/>
      <c r="T93" s="121"/>
      <c r="U93" s="121"/>
      <c r="V93" s="121"/>
      <c r="W93" s="121"/>
      <c r="X93" s="121"/>
      <c r="Y93" s="121"/>
    </row>
    <row r="94" spans="1:25" x14ac:dyDescent="0.25">
      <c r="F94" s="118"/>
      <c r="G94" s="118"/>
      <c r="H94" s="118"/>
      <c r="I94" s="219"/>
      <c r="J94" s="118"/>
      <c r="K94" s="118"/>
      <c r="L94" s="118"/>
      <c r="M94" s="118"/>
      <c r="N94" s="118"/>
      <c r="O94" s="118"/>
      <c r="Q94" s="111"/>
      <c r="R94" s="111" t="s">
        <v>283</v>
      </c>
      <c r="S94" s="111"/>
      <c r="T94" s="111"/>
      <c r="U94" s="111"/>
      <c r="V94" s="111"/>
      <c r="W94" s="111"/>
      <c r="X94" s="111"/>
    </row>
    <row r="95" spans="1:25" x14ac:dyDescent="0.25">
      <c r="F95" s="219"/>
      <c r="G95" s="219"/>
      <c r="H95" s="118"/>
      <c r="I95" s="219"/>
      <c r="J95" s="118"/>
      <c r="K95" s="219"/>
      <c r="L95" s="219"/>
      <c r="Q95" s="110" t="s">
        <v>18</v>
      </c>
      <c r="R95" s="111"/>
      <c r="S95" s="111"/>
      <c r="T95" s="111"/>
      <c r="U95" s="111"/>
      <c r="V95" s="111"/>
      <c r="W95" s="111"/>
      <c r="X95" s="111"/>
    </row>
    <row r="96" spans="1:25" x14ac:dyDescent="0.25">
      <c r="B96" s="108" t="s">
        <v>276</v>
      </c>
      <c r="L96" s="219"/>
      <c r="Q96" s="113" t="s">
        <v>13</v>
      </c>
      <c r="R96" s="113" t="s">
        <v>1</v>
      </c>
      <c r="S96" s="113" t="s">
        <v>2</v>
      </c>
      <c r="T96" s="113" t="s">
        <v>19</v>
      </c>
      <c r="U96" s="113" t="s">
        <v>20</v>
      </c>
      <c r="V96" s="113" t="s">
        <v>21</v>
      </c>
      <c r="W96" s="113" t="s">
        <v>22</v>
      </c>
      <c r="X96" s="113" t="s">
        <v>23</v>
      </c>
    </row>
    <row r="97" spans="2:24" ht="14.4" thickBot="1" x14ac:dyDescent="0.3">
      <c r="D97" s="108" t="s">
        <v>15</v>
      </c>
      <c r="E97" s="108"/>
      <c r="L97" s="219"/>
      <c r="Q97" s="237" t="s">
        <v>43</v>
      </c>
      <c r="R97" s="237" t="s">
        <v>24</v>
      </c>
      <c r="S97" s="237" t="s">
        <v>25</v>
      </c>
      <c r="T97" s="237" t="s">
        <v>26</v>
      </c>
      <c r="U97" s="237" t="s">
        <v>27</v>
      </c>
      <c r="V97" s="237" t="s">
        <v>47</v>
      </c>
      <c r="W97" s="237" t="s">
        <v>46</v>
      </c>
      <c r="X97" s="237" t="s">
        <v>28</v>
      </c>
    </row>
    <row r="98" spans="2:24" x14ac:dyDescent="0.25">
      <c r="B98" s="217" t="s">
        <v>278</v>
      </c>
      <c r="C98" s="217" t="s">
        <v>284</v>
      </c>
      <c r="D98" s="217" t="s">
        <v>0</v>
      </c>
      <c r="E98" s="217" t="s">
        <v>279</v>
      </c>
      <c r="F98" s="218" t="str">
        <f>BASE_YEAR</f>
        <v>2017</v>
      </c>
      <c r="L98" s="219"/>
      <c r="Q98" s="149" t="s">
        <v>289</v>
      </c>
      <c r="R98" s="149" t="str">
        <f>"INDCEMDRY_E_00"</f>
        <v>INDCEMDRY_E_00</v>
      </c>
      <c r="S98" s="149" t="str">
        <f>"Cement Production Dry process"&amp;"_"&amp;$R$2&amp;"00"</f>
        <v>Cement Production Dry process_E00</v>
      </c>
      <c r="T98" s="149" t="s">
        <v>327</v>
      </c>
      <c r="U98" s="149" t="s">
        <v>666</v>
      </c>
      <c r="V98" s="149"/>
      <c r="W98" s="149"/>
      <c r="X98" s="149"/>
    </row>
    <row r="99" spans="2:24" ht="16.5" customHeight="1" thickBot="1" x14ac:dyDescent="0.3">
      <c r="B99" s="229" t="s">
        <v>152</v>
      </c>
      <c r="C99" s="229"/>
      <c r="D99" s="229" t="s">
        <v>280</v>
      </c>
      <c r="E99" s="229" t="s">
        <v>281</v>
      </c>
      <c r="F99" s="230" t="s">
        <v>282</v>
      </c>
      <c r="H99" s="99" t="s">
        <v>811</v>
      </c>
      <c r="I99" s="99" t="s">
        <v>809</v>
      </c>
      <c r="J99" s="99" t="s">
        <v>806</v>
      </c>
      <c r="L99" s="219"/>
      <c r="R99" s="99" t="str">
        <f t="shared" ref="R99:R104" si="16">"INDCEMHPR"&amp;RIGHT(D142,6)&amp;"_00"</f>
        <v>INDCEMHPRCOASUB_00</v>
      </c>
      <c r="S99" s="99" t="str">
        <f>"Process Heat Cement - Sub-bituminous"&amp;"_"&amp;$R$2&amp;"00"</f>
        <v>Process Heat Cement - Sub-bituminous_E00</v>
      </c>
      <c r="T99" s="99" t="s">
        <v>327</v>
      </c>
      <c r="U99" s="99" t="s">
        <v>649</v>
      </c>
    </row>
    <row r="100" spans="2:24" ht="14.4" thickBot="1" x14ac:dyDescent="0.3">
      <c r="B100" s="229" t="s">
        <v>48</v>
      </c>
      <c r="C100" s="229"/>
      <c r="D100" s="229"/>
      <c r="E100" s="229"/>
      <c r="F100" s="230" t="s">
        <v>666</v>
      </c>
      <c r="H100" s="99" t="s">
        <v>807</v>
      </c>
      <c r="L100" s="219"/>
      <c r="R100" s="99" t="str">
        <f t="shared" si="16"/>
        <v>INDCEMHPRCOABIC_00</v>
      </c>
      <c r="S100" s="99" t="str">
        <f>"Process Heat Cement - Bituminous"&amp;"_"&amp;$R$2&amp;"00"</f>
        <v>Process Heat Cement - Bituminous_E00</v>
      </c>
      <c r="T100" s="99" t="s">
        <v>327</v>
      </c>
      <c r="U100" s="99" t="s">
        <v>649</v>
      </c>
    </row>
    <row r="101" spans="2:24" x14ac:dyDescent="0.25">
      <c r="B101" s="367" t="s">
        <v>277</v>
      </c>
      <c r="C101" s="118" t="s">
        <v>404</v>
      </c>
      <c r="D101" s="118" t="s">
        <v>405</v>
      </c>
      <c r="E101" s="118" t="s">
        <v>666</v>
      </c>
      <c r="F101" s="292">
        <f>I101/1000</f>
        <v>2.93</v>
      </c>
      <c r="H101" s="99" t="s">
        <v>808</v>
      </c>
      <c r="I101" s="99">
        <v>2930</v>
      </c>
      <c r="L101" s="219"/>
      <c r="R101" s="99" t="str">
        <f t="shared" si="16"/>
        <v>INDCEMHPRCOABCO_00</v>
      </c>
      <c r="S101" s="99" t="str">
        <f>"Process Heat Cement - BrownCoal"&amp;"_"&amp;$R$2&amp;"00"</f>
        <v>Process Heat Cement - BrownCoal_E00</v>
      </c>
      <c r="T101" s="99" t="s">
        <v>327</v>
      </c>
      <c r="U101" s="99" t="s">
        <v>649</v>
      </c>
    </row>
    <row r="102" spans="2:24" x14ac:dyDescent="0.25">
      <c r="E102" s="119"/>
      <c r="L102" s="219"/>
      <c r="R102" s="99" t="str">
        <f t="shared" si="16"/>
        <v>INDCEMHPRCOABKB_00</v>
      </c>
      <c r="S102" s="99" t="str">
        <f>"Process Heat Cement - BKB"&amp;"_"&amp;$R$2&amp;"00"</f>
        <v>Process Heat Cement - BKB_E00</v>
      </c>
      <c r="T102" s="99" t="s">
        <v>327</v>
      </c>
      <c r="U102" s="99" t="s">
        <v>649</v>
      </c>
    </row>
    <row r="103" spans="2:24" x14ac:dyDescent="0.25">
      <c r="F103" s="219"/>
      <c r="G103" s="219"/>
      <c r="H103" s="118"/>
      <c r="I103" s="219"/>
      <c r="J103" s="118"/>
      <c r="K103" s="219"/>
      <c r="L103" s="219"/>
      <c r="R103" s="99" t="str">
        <f t="shared" si="16"/>
        <v>INDCEMHPROILPCK_00</v>
      </c>
      <c r="S103" s="99" t="str">
        <f>"Process Heat Cement - Petcoke"&amp;"_"&amp;$R$2&amp;"00"</f>
        <v>Process Heat Cement - Petcoke_E00</v>
      </c>
      <c r="T103" s="99" t="s">
        <v>327</v>
      </c>
      <c r="U103" s="99" t="s">
        <v>649</v>
      </c>
    </row>
    <row r="104" spans="2:24" x14ac:dyDescent="0.25">
      <c r="B104" s="108" t="s">
        <v>667</v>
      </c>
      <c r="F104" s="219"/>
      <c r="G104" s="219"/>
      <c r="H104" s="118"/>
      <c r="I104" s="219"/>
      <c r="J104" s="118"/>
      <c r="K104" s="219"/>
      <c r="L104" s="219"/>
      <c r="Q104" s="149"/>
      <c r="R104" s="149" t="str">
        <f t="shared" si="16"/>
        <v>INDCEMHPRGASNAT_00</v>
      </c>
      <c r="S104" s="149" t="str">
        <f>"Process Heat Cement - NatGas"&amp;"_"&amp;$R$2&amp;"00"</f>
        <v>Process Heat Cement - NatGas_E00</v>
      </c>
      <c r="T104" s="149" t="s">
        <v>327</v>
      </c>
      <c r="U104" s="149" t="s">
        <v>649</v>
      </c>
      <c r="V104" s="149"/>
      <c r="W104" s="149"/>
      <c r="X104" s="149"/>
    </row>
    <row r="105" spans="2:24" x14ac:dyDescent="0.25">
      <c r="C105" s="108"/>
      <c r="D105" s="108"/>
      <c r="E105" s="369" t="s">
        <v>15</v>
      </c>
      <c r="Q105" s="149" t="s">
        <v>275</v>
      </c>
      <c r="R105" s="149" t="s">
        <v>668</v>
      </c>
      <c r="S105" s="149" t="s">
        <v>669</v>
      </c>
      <c r="T105" s="149" t="s">
        <v>666</v>
      </c>
      <c r="U105" s="149" t="s">
        <v>670</v>
      </c>
      <c r="V105" s="149"/>
      <c r="W105" s="149"/>
      <c r="X105" s="149"/>
    </row>
    <row r="106" spans="2:24" x14ac:dyDescent="0.25">
      <c r="B106" s="217" t="s">
        <v>1</v>
      </c>
      <c r="C106" s="217" t="s">
        <v>41</v>
      </c>
      <c r="D106" s="217" t="s">
        <v>7</v>
      </c>
      <c r="E106" s="241" t="s">
        <v>8</v>
      </c>
      <c r="F106" s="241" t="s">
        <v>358</v>
      </c>
      <c r="G106" s="241" t="s">
        <v>359</v>
      </c>
      <c r="H106" s="259" t="s">
        <v>657</v>
      </c>
      <c r="I106" s="259" t="s">
        <v>660</v>
      </c>
      <c r="J106" s="259" t="s">
        <v>658</v>
      </c>
      <c r="K106" s="235"/>
      <c r="L106" s="235"/>
      <c r="M106" s="241" t="s">
        <v>771</v>
      </c>
    </row>
    <row r="107" spans="2:24" ht="28.2" thickBot="1" x14ac:dyDescent="0.3">
      <c r="B107" s="230" t="s">
        <v>651</v>
      </c>
      <c r="C107" s="230" t="s">
        <v>25</v>
      </c>
      <c r="D107" s="230" t="s">
        <v>35</v>
      </c>
      <c r="E107" s="243" t="s">
        <v>36</v>
      </c>
      <c r="F107" s="243"/>
      <c r="G107" s="243"/>
      <c r="H107" s="243" t="s">
        <v>666</v>
      </c>
      <c r="I107" s="243"/>
      <c r="J107" s="243" t="s">
        <v>294</v>
      </c>
      <c r="K107" s="236"/>
      <c r="L107" s="236"/>
      <c r="M107" s="243" t="s">
        <v>661</v>
      </c>
    </row>
    <row r="108" spans="2:24" x14ac:dyDescent="0.25">
      <c r="B108" s="370" t="str">
        <f>R105</f>
        <v>INDDEMCEME_00</v>
      </c>
      <c r="C108" s="370" t="str">
        <f>S105</f>
        <v>Cement Finishing Technology</v>
      </c>
      <c r="D108" s="99" t="s">
        <v>410</v>
      </c>
      <c r="E108" s="371"/>
      <c r="F108" s="234">
        <v>0.75</v>
      </c>
      <c r="G108" s="372"/>
      <c r="H108" s="234">
        <f>F101/I108</f>
        <v>3.6625000000000001</v>
      </c>
      <c r="I108" s="234">
        <v>0.8</v>
      </c>
      <c r="J108" s="376">
        <v>50</v>
      </c>
      <c r="K108" s="236"/>
      <c r="L108" s="236"/>
      <c r="M108" s="292"/>
    </row>
    <row r="109" spans="2:24" x14ac:dyDescent="0.25">
      <c r="C109" s="374"/>
      <c r="D109" s="99" t="s">
        <v>104</v>
      </c>
      <c r="E109" s="371"/>
      <c r="F109" s="234">
        <f>M109/($H$108*$I$108)</f>
        <v>0</v>
      </c>
      <c r="G109" s="372"/>
      <c r="H109" s="372"/>
      <c r="I109" s="372"/>
      <c r="J109" s="372"/>
      <c r="K109" s="239"/>
      <c r="L109" s="239"/>
      <c r="M109" s="292">
        <f>NMM_BAL!J17</f>
        <v>0</v>
      </c>
      <c r="N109" s="99" t="str">
        <f>D109</f>
        <v>INDOILDSL</v>
      </c>
    </row>
    <row r="110" spans="2:24" x14ac:dyDescent="0.25">
      <c r="B110" s="99" t="str">
        <f>IF(F110=0,"*","")</f>
        <v/>
      </c>
      <c r="C110" s="374"/>
      <c r="D110" s="99" t="s">
        <v>112</v>
      </c>
      <c r="E110" s="371"/>
      <c r="F110" s="234">
        <f>M110/($H$108*$I$108)</f>
        <v>0.92881228668941984</v>
      </c>
      <c r="G110" s="372"/>
      <c r="H110" s="372"/>
      <c r="I110" s="372"/>
      <c r="J110" s="372"/>
      <c r="K110" s="239"/>
      <c r="L110" s="239"/>
      <c r="M110" s="251">
        <f>NMM_BAL!$N$17/2</f>
        <v>2.7214200000000002</v>
      </c>
      <c r="N110" s="99" t="str">
        <f t="shared" ref="N110:N111" si="17">D110</f>
        <v>INDGASNAT</v>
      </c>
    </row>
    <row r="111" spans="2:24" x14ac:dyDescent="0.25">
      <c r="C111" s="374"/>
      <c r="D111" s="99" t="s">
        <v>129</v>
      </c>
      <c r="E111" s="371"/>
      <c r="F111" s="234">
        <f>(M111-F129*H129*L129)/(H108*I108)</f>
        <v>0.26257781569965866</v>
      </c>
      <c r="G111" s="372"/>
      <c r="H111" s="372"/>
      <c r="I111" s="372"/>
      <c r="J111" s="372"/>
      <c r="K111" s="239"/>
      <c r="L111" s="239"/>
      <c r="M111" s="292">
        <f>NMM_BAL!T17</f>
        <v>0.87922800000000001</v>
      </c>
      <c r="N111" s="99" t="str">
        <f t="shared" si="17"/>
        <v>INDELC</v>
      </c>
      <c r="P111" s="99" t="s">
        <v>754</v>
      </c>
      <c r="Q111" s="99" t="s">
        <v>763</v>
      </c>
    </row>
    <row r="112" spans="2:24" x14ac:dyDescent="0.25">
      <c r="B112" s="149"/>
      <c r="C112" s="388"/>
      <c r="D112" s="388"/>
      <c r="E112" s="375" t="str">
        <f>NMM_Techs!D101</f>
        <v>INDCEM</v>
      </c>
      <c r="F112" s="389"/>
      <c r="G112" s="390">
        <v>1</v>
      </c>
      <c r="H112" s="390"/>
      <c r="I112" s="390"/>
      <c r="J112" s="390"/>
      <c r="K112" s="239"/>
      <c r="L112" s="239"/>
      <c r="P112" s="391">
        <v>0.25</v>
      </c>
      <c r="Q112" s="392">
        <v>0.15</v>
      </c>
      <c r="R112" s="99" t="s">
        <v>759</v>
      </c>
    </row>
    <row r="113" spans="2:18" x14ac:dyDescent="0.25">
      <c r="K113" s="239"/>
      <c r="L113" s="239"/>
    </row>
    <row r="114" spans="2:18" x14ac:dyDescent="0.25">
      <c r="K114" s="219"/>
      <c r="L114" s="219"/>
    </row>
    <row r="115" spans="2:18" ht="14.4" thickBot="1" x14ac:dyDescent="0.3">
      <c r="B115" s="99" t="s">
        <v>810</v>
      </c>
    </row>
    <row r="116" spans="2:18" ht="14.4" thickBot="1" x14ac:dyDescent="0.3">
      <c r="B116" s="393" t="s">
        <v>636</v>
      </c>
      <c r="C116" s="394"/>
      <c r="D116" s="394"/>
      <c r="E116" s="393" t="s">
        <v>671</v>
      </c>
      <c r="F116" s="394"/>
      <c r="G116" s="395"/>
    </row>
    <row r="117" spans="2:18" x14ac:dyDescent="0.25">
      <c r="B117" s="396">
        <f>M148/(F108*H108*I108)</f>
        <v>2.1910443686006826</v>
      </c>
      <c r="C117" s="311" t="s">
        <v>814</v>
      </c>
      <c r="D117" s="397"/>
      <c r="E117" s="396">
        <v>0.99</v>
      </c>
      <c r="F117" s="311" t="s">
        <v>672</v>
      </c>
      <c r="G117" s="397"/>
      <c r="P117" s="398">
        <f>SUM(P118:P121)</f>
        <v>1.1941650841308453</v>
      </c>
      <c r="Q117" s="399">
        <f>SUM(Q118:Q121)</f>
        <v>0.99978829824856907</v>
      </c>
    </row>
    <row r="118" spans="2:18" ht="14.4" thickBot="1" x14ac:dyDescent="0.3">
      <c r="B118" s="400"/>
      <c r="C118" s="401"/>
      <c r="D118" s="402"/>
      <c r="E118" s="400">
        <v>2.5</v>
      </c>
      <c r="F118" s="401" t="s">
        <v>815</v>
      </c>
      <c r="G118" s="402"/>
      <c r="P118" s="349">
        <v>1.1192103570242016</v>
      </c>
      <c r="Q118" s="350">
        <v>0.8598102312045427</v>
      </c>
      <c r="R118" s="99" t="s">
        <v>757</v>
      </c>
    </row>
    <row r="119" spans="2:18" x14ac:dyDescent="0.25">
      <c r="P119" s="349">
        <v>4.5054763870145308E-2</v>
      </c>
      <c r="Q119" s="350">
        <v>1.4003613525213224E-3</v>
      </c>
      <c r="R119" s="99" t="s">
        <v>747</v>
      </c>
    </row>
    <row r="120" spans="2:18" ht="14.4" thickBot="1" x14ac:dyDescent="0.3">
      <c r="P120" s="349">
        <v>2.9899963236498385E-2</v>
      </c>
      <c r="Q120" s="350">
        <v>0</v>
      </c>
      <c r="R120" s="99" t="s">
        <v>748</v>
      </c>
    </row>
    <row r="121" spans="2:18" ht="14.4" thickBot="1" x14ac:dyDescent="0.3">
      <c r="B121" s="393"/>
      <c r="C121" s="403" t="s">
        <v>673</v>
      </c>
      <c r="D121" s="404">
        <f>H108*F108</f>
        <v>2.7468750000000002</v>
      </c>
      <c r="P121" s="357">
        <v>0</v>
      </c>
      <c r="Q121" s="358">
        <v>0.13857770569150507</v>
      </c>
      <c r="R121" s="216" t="s">
        <v>755</v>
      </c>
    </row>
    <row r="122" spans="2:18" x14ac:dyDescent="0.25">
      <c r="P122" s="216"/>
      <c r="Q122" s="216"/>
      <c r="R122" s="216"/>
    </row>
    <row r="123" spans="2:18" x14ac:dyDescent="0.25">
      <c r="P123" s="216"/>
      <c r="Q123" s="216"/>
      <c r="R123" s="216"/>
    </row>
    <row r="124" spans="2:18" x14ac:dyDescent="0.25">
      <c r="P124" s="216"/>
      <c r="Q124" s="216"/>
      <c r="R124" s="216"/>
    </row>
    <row r="125" spans="2:18" x14ac:dyDescent="0.25">
      <c r="F125" s="108"/>
      <c r="P125" s="216"/>
      <c r="Q125" s="405"/>
      <c r="R125" s="405"/>
    </row>
    <row r="126" spans="2:18" x14ac:dyDescent="0.25">
      <c r="B126" s="108" t="s">
        <v>674</v>
      </c>
      <c r="E126" s="108" t="s">
        <v>15</v>
      </c>
      <c r="F126" s="108"/>
      <c r="P126" s="216"/>
      <c r="Q126" s="216"/>
      <c r="R126" s="216"/>
    </row>
    <row r="127" spans="2:18" x14ac:dyDescent="0.25">
      <c r="B127" s="217" t="s">
        <v>1</v>
      </c>
      <c r="C127" s="217" t="s">
        <v>41</v>
      </c>
      <c r="D127" s="217" t="s">
        <v>7</v>
      </c>
      <c r="E127" s="241" t="s">
        <v>8</v>
      </c>
      <c r="F127" s="406" t="s">
        <v>358</v>
      </c>
      <c r="G127" s="406" t="s">
        <v>359</v>
      </c>
      <c r="H127" s="406" t="s">
        <v>657</v>
      </c>
      <c r="I127" s="406" t="s">
        <v>658</v>
      </c>
      <c r="J127" s="406" t="s">
        <v>3</v>
      </c>
      <c r="K127" s="406" t="s">
        <v>6</v>
      </c>
      <c r="L127" s="406" t="s">
        <v>660</v>
      </c>
      <c r="P127" s="216"/>
      <c r="Q127" s="216"/>
      <c r="R127" s="216"/>
    </row>
    <row r="128" spans="2:18" ht="15" customHeight="1" thickBot="1" x14ac:dyDescent="0.3">
      <c r="B128" s="230" t="s">
        <v>651</v>
      </c>
      <c r="C128" s="230" t="s">
        <v>25</v>
      </c>
      <c r="D128" s="230" t="s">
        <v>35</v>
      </c>
      <c r="E128" s="243" t="s">
        <v>36</v>
      </c>
      <c r="F128" s="230"/>
      <c r="G128" s="230"/>
      <c r="H128" s="230" t="s">
        <v>666</v>
      </c>
      <c r="I128" s="230" t="s">
        <v>294</v>
      </c>
      <c r="J128" s="230" t="s">
        <v>675</v>
      </c>
      <c r="K128" s="230"/>
      <c r="L128" s="230"/>
      <c r="P128" s="216"/>
      <c r="Q128" s="216"/>
      <c r="R128" s="216"/>
    </row>
    <row r="129" spans="2:18" x14ac:dyDescent="0.25">
      <c r="B129" s="99" t="str">
        <f>R98</f>
        <v>INDCEMDRY_E_00</v>
      </c>
      <c r="C129" s="99" t="str">
        <f>S98</f>
        <v>Cement Production Dry process_E00</v>
      </c>
      <c r="D129" s="119" t="s">
        <v>129</v>
      </c>
      <c r="E129" s="407"/>
      <c r="F129" s="234">
        <v>0.05</v>
      </c>
      <c r="G129" s="118"/>
      <c r="H129" s="408">
        <f>D121</f>
        <v>2.7468750000000002</v>
      </c>
      <c r="I129" s="118">
        <v>50</v>
      </c>
      <c r="J129" s="118"/>
      <c r="K129" s="118"/>
      <c r="L129" s="234">
        <v>0.8</v>
      </c>
      <c r="P129" s="216"/>
      <c r="Q129" s="216"/>
      <c r="R129" s="216"/>
    </row>
    <row r="130" spans="2:18" x14ac:dyDescent="0.25">
      <c r="B130" s="108"/>
      <c r="D130" s="119" t="s">
        <v>691</v>
      </c>
      <c r="E130" s="154"/>
      <c r="F130" s="234">
        <f>N148/(H129*L129)</f>
        <v>1.5003890784982934</v>
      </c>
      <c r="G130" s="118"/>
      <c r="H130" s="409"/>
      <c r="I130" s="118"/>
      <c r="J130" s="118"/>
      <c r="K130" s="118"/>
      <c r="L130" s="251"/>
      <c r="P130" s="216"/>
      <c r="Q130" s="216"/>
      <c r="R130" s="216"/>
    </row>
    <row r="131" spans="2:18" x14ac:dyDescent="0.25">
      <c r="B131" s="108"/>
      <c r="D131" s="119" t="str">
        <f>Commodities!AI19</f>
        <v>MATCEM</v>
      </c>
      <c r="E131" s="154"/>
      <c r="F131" s="234">
        <v>1</v>
      </c>
      <c r="G131" s="118"/>
      <c r="H131" s="409"/>
      <c r="I131" s="118"/>
      <c r="J131" s="118"/>
      <c r="K131" s="118"/>
      <c r="L131" s="251"/>
      <c r="P131" s="216"/>
      <c r="Q131" s="216"/>
      <c r="R131" s="216"/>
    </row>
    <row r="132" spans="2:18" x14ac:dyDescent="0.25">
      <c r="B132" s="149"/>
      <c r="C132" s="149"/>
      <c r="D132" s="410"/>
      <c r="E132" s="411" t="str">
        <f>D108</f>
        <v>MATCNK</v>
      </c>
      <c r="F132" s="152"/>
      <c r="G132" s="152">
        <v>1</v>
      </c>
      <c r="H132" s="152"/>
      <c r="I132" s="152"/>
      <c r="J132" s="152"/>
      <c r="K132" s="152"/>
      <c r="L132" s="295"/>
      <c r="P132" s="216"/>
    </row>
    <row r="134" spans="2:18" x14ac:dyDescent="0.25">
      <c r="G134" s="219"/>
      <c r="H134" s="219"/>
      <c r="I134" s="118"/>
      <c r="J134" s="219"/>
      <c r="K134" s="118"/>
      <c r="L134" s="219"/>
    </row>
    <row r="135" spans="2:18" x14ac:dyDescent="0.25">
      <c r="F135" s="108"/>
    </row>
    <row r="136" spans="2:18" x14ac:dyDescent="0.25">
      <c r="G136" s="219"/>
      <c r="H136" s="219"/>
      <c r="I136" s="118"/>
      <c r="J136" s="219"/>
      <c r="K136" s="118"/>
      <c r="L136" s="219"/>
    </row>
    <row r="137" spans="2:18" x14ac:dyDescent="0.25">
      <c r="G137" s="219"/>
      <c r="H137" s="219"/>
      <c r="I137" s="118"/>
      <c r="J137" s="219"/>
      <c r="K137" s="118"/>
      <c r="L137" s="219"/>
    </row>
    <row r="138" spans="2:18" x14ac:dyDescent="0.25">
      <c r="B138" s="108" t="s">
        <v>676</v>
      </c>
      <c r="C138" s="108"/>
      <c r="F138" s="219"/>
      <c r="G138" s="219"/>
      <c r="H138" s="118"/>
      <c r="I138" s="219"/>
      <c r="J138" s="118"/>
      <c r="K138" s="219"/>
    </row>
    <row r="139" spans="2:18" x14ac:dyDescent="0.25">
      <c r="E139" s="108" t="s">
        <v>15</v>
      </c>
    </row>
    <row r="140" spans="2:18" x14ac:dyDescent="0.25">
      <c r="B140" s="217" t="s">
        <v>1</v>
      </c>
      <c r="C140" s="217" t="s">
        <v>41</v>
      </c>
      <c r="D140" s="217" t="s">
        <v>7</v>
      </c>
      <c r="E140" s="241" t="s">
        <v>8</v>
      </c>
      <c r="F140" s="406" t="s">
        <v>17</v>
      </c>
      <c r="G140" s="406" t="s">
        <v>658</v>
      </c>
      <c r="H140" s="217" t="s">
        <v>657</v>
      </c>
      <c r="I140" s="406" t="s">
        <v>660</v>
      </c>
      <c r="J140" s="217" t="s">
        <v>6</v>
      </c>
      <c r="K140" s="217" t="s">
        <v>3</v>
      </c>
      <c r="M140" s="241" t="s">
        <v>771</v>
      </c>
      <c r="N140" s="241" t="s">
        <v>771</v>
      </c>
    </row>
    <row r="141" spans="2:18" ht="26.25" customHeight="1" thickBot="1" x14ac:dyDescent="0.3">
      <c r="B141" s="230" t="s">
        <v>651</v>
      </c>
      <c r="C141" s="230" t="s">
        <v>25</v>
      </c>
      <c r="D141" s="230" t="s">
        <v>35</v>
      </c>
      <c r="E141" s="243" t="s">
        <v>36</v>
      </c>
      <c r="F141" s="230"/>
      <c r="G141" s="230"/>
      <c r="H141" s="230"/>
      <c r="I141" s="230"/>
      <c r="J141" s="230"/>
      <c r="K141" s="230"/>
      <c r="M141" s="243" t="s">
        <v>661</v>
      </c>
      <c r="N141" s="243" t="s">
        <v>359</v>
      </c>
      <c r="O141" s="372">
        <f>M148/F101</f>
        <v>1.6432832764505121</v>
      </c>
      <c r="P141" s="398">
        <f>SUM(P142:P145)</f>
        <v>1.9420088386721319</v>
      </c>
      <c r="Q141" s="399">
        <f>SUM(Q142:Q145)</f>
        <v>1.4095125170445266</v>
      </c>
    </row>
    <row r="142" spans="2:18" x14ac:dyDescent="0.25">
      <c r="B142" s="99" t="str">
        <f t="shared" ref="B142:C147" si="18">R99</f>
        <v>INDCEMHPRCOASUB_00</v>
      </c>
      <c r="C142" s="99" t="str">
        <f t="shared" si="18"/>
        <v>Process Heat Cement - Sub-bituminous_E00</v>
      </c>
      <c r="D142" s="99" t="s">
        <v>616</v>
      </c>
      <c r="E142" s="154" t="s">
        <v>691</v>
      </c>
      <c r="F142" s="234">
        <v>0.6</v>
      </c>
      <c r="G142" s="118">
        <v>40</v>
      </c>
      <c r="H142" s="408">
        <f>N142/I142</f>
        <v>0</v>
      </c>
      <c r="I142" s="118">
        <v>0.8</v>
      </c>
      <c r="M142" s="251">
        <f>NMM_BAL!D17</f>
        <v>0</v>
      </c>
      <c r="N142" s="251">
        <f>M142*F142</f>
        <v>0</v>
      </c>
      <c r="P142" s="349">
        <v>0.35383849150033553</v>
      </c>
      <c r="Q142" s="350">
        <v>0</v>
      </c>
      <c r="R142" s="99" t="s">
        <v>747</v>
      </c>
    </row>
    <row r="143" spans="2:18" x14ac:dyDescent="0.25">
      <c r="B143" s="99" t="str">
        <f t="shared" si="18"/>
        <v>INDCEMHPRCOABIC_00</v>
      </c>
      <c r="C143" s="99" t="str">
        <f t="shared" si="18"/>
        <v>Process Heat Cement - Bituminous_E00</v>
      </c>
      <c r="D143" s="99" t="s">
        <v>100</v>
      </c>
      <c r="E143" s="154" t="s">
        <v>691</v>
      </c>
      <c r="F143" s="234">
        <v>0.6</v>
      </c>
      <c r="G143" s="118">
        <v>40</v>
      </c>
      <c r="H143" s="408">
        <f t="shared" ref="H143:H147" si="19">N143/I143</f>
        <v>1.5700500000000002</v>
      </c>
      <c r="I143" s="118">
        <v>0.8</v>
      </c>
      <c r="M143" s="251">
        <f>NMM_BAL!C17</f>
        <v>2.0934000000000004</v>
      </c>
      <c r="N143" s="251">
        <f t="shared" ref="N143:N147" si="20">M143*F143</f>
        <v>1.2560400000000003</v>
      </c>
      <c r="P143" s="349">
        <v>0.64890954720400884</v>
      </c>
      <c r="Q143" s="350">
        <v>0</v>
      </c>
      <c r="R143" s="99" t="s">
        <v>748</v>
      </c>
    </row>
    <row r="144" spans="2:18" x14ac:dyDescent="0.25">
      <c r="B144" s="99" t="str">
        <f t="shared" si="18"/>
        <v>INDCEMHPRCOABCO_00</v>
      </c>
      <c r="C144" s="99" t="str">
        <f t="shared" si="18"/>
        <v>Process Heat Cement - BrownCoal_E00</v>
      </c>
      <c r="D144" s="99" t="s">
        <v>612</v>
      </c>
      <c r="E144" s="154" t="s">
        <v>691</v>
      </c>
      <c r="F144" s="234">
        <v>0.6</v>
      </c>
      <c r="G144" s="118">
        <v>40</v>
      </c>
      <c r="H144" s="408">
        <f t="shared" si="19"/>
        <v>0</v>
      </c>
      <c r="I144" s="118">
        <v>0.8</v>
      </c>
      <c r="M144" s="251">
        <f>NMM_BAL!E17</f>
        <v>0</v>
      </c>
      <c r="N144" s="251">
        <f t="shared" si="20"/>
        <v>0</v>
      </c>
      <c r="P144" s="349">
        <v>0.87025624973024684</v>
      </c>
      <c r="Q144" s="350">
        <v>1.4095125170445266</v>
      </c>
      <c r="R144" s="99" t="s">
        <v>757</v>
      </c>
    </row>
    <row r="145" spans="2:18" x14ac:dyDescent="0.25">
      <c r="B145" s="99" t="str">
        <f t="shared" si="18"/>
        <v>INDCEMHPRCOABKB_00</v>
      </c>
      <c r="C145" s="99" t="str">
        <f t="shared" si="18"/>
        <v>Process Heat Cement - BKB_E00</v>
      </c>
      <c r="D145" s="99" t="s">
        <v>103</v>
      </c>
      <c r="E145" s="154" t="s">
        <v>691</v>
      </c>
      <c r="F145" s="234">
        <v>0.65</v>
      </c>
      <c r="G145" s="118">
        <v>40</v>
      </c>
      <c r="H145" s="408">
        <f t="shared" si="19"/>
        <v>0</v>
      </c>
      <c r="I145" s="118">
        <v>0.8</v>
      </c>
      <c r="L145" s="373"/>
      <c r="M145" s="251">
        <f>NMM_BAL!G17</f>
        <v>0</v>
      </c>
      <c r="N145" s="251">
        <f t="shared" si="20"/>
        <v>0</v>
      </c>
      <c r="P145" s="357">
        <v>6.9004550237540735E-2</v>
      </c>
      <c r="Q145" s="358">
        <v>0</v>
      </c>
      <c r="R145" s="99" t="s">
        <v>758</v>
      </c>
    </row>
    <row r="146" spans="2:18" x14ac:dyDescent="0.25">
      <c r="B146" s="99" t="str">
        <f t="shared" si="18"/>
        <v>INDCEMHPROILPCK_00</v>
      </c>
      <c r="C146" s="99" t="str">
        <f t="shared" si="18"/>
        <v>Process Heat Cement - Petcoke_E00</v>
      </c>
      <c r="D146" s="99" t="s">
        <v>110</v>
      </c>
      <c r="E146" s="154" t="s">
        <v>691</v>
      </c>
      <c r="F146" s="234">
        <v>0.65</v>
      </c>
      <c r="G146" s="118">
        <v>40</v>
      </c>
      <c r="H146" s="408">
        <f t="shared" si="19"/>
        <v>0</v>
      </c>
      <c r="I146" s="118">
        <v>0.8</v>
      </c>
      <c r="M146" s="251">
        <f>NMM_BAL!L17</f>
        <v>0</v>
      </c>
      <c r="N146" s="251">
        <f t="shared" si="20"/>
        <v>0</v>
      </c>
    </row>
    <row r="147" spans="2:18" x14ac:dyDescent="0.25">
      <c r="B147" s="99" t="str">
        <f t="shared" si="18"/>
        <v>INDCEMHPRGASNAT_00</v>
      </c>
      <c r="C147" s="99" t="str">
        <f t="shared" si="18"/>
        <v>Process Heat Cement - NatGas_E00</v>
      </c>
      <c r="D147" s="99" t="str">
        <f>D110</f>
        <v>INDGASNAT</v>
      </c>
      <c r="E147" s="154" t="s">
        <v>691</v>
      </c>
      <c r="F147" s="234">
        <v>0.75</v>
      </c>
      <c r="G147" s="118">
        <v>40</v>
      </c>
      <c r="H147" s="408">
        <f t="shared" si="19"/>
        <v>2.5513312500000001</v>
      </c>
      <c r="I147" s="118">
        <v>0.8</v>
      </c>
      <c r="M147" s="251">
        <f>NMM_BAL!$N$17/2</f>
        <v>2.7214200000000002</v>
      </c>
      <c r="N147" s="251">
        <f t="shared" si="20"/>
        <v>2.0410650000000001</v>
      </c>
    </row>
    <row r="148" spans="2:18" ht="14.4" thickBot="1" x14ac:dyDescent="0.3">
      <c r="F148" s="219"/>
      <c r="G148" s="219"/>
      <c r="H148" s="118"/>
      <c r="I148" s="219"/>
      <c r="J148" s="118"/>
      <c r="K148" s="219"/>
      <c r="M148" s="379">
        <f>SUM(M142:M147)</f>
        <v>4.814820000000001</v>
      </c>
      <c r="N148" s="379">
        <f>SUM(N142:N147)</f>
        <v>3.2971050000000002</v>
      </c>
    </row>
    <row r="149" spans="2:18" x14ac:dyDescent="0.25">
      <c r="F149" s="219"/>
      <c r="G149" s="219"/>
      <c r="H149" s="118"/>
      <c r="I149" s="219"/>
      <c r="J149" s="118"/>
      <c r="K149" s="219"/>
    </row>
    <row r="150" spans="2:18" x14ac:dyDescent="0.25">
      <c r="F150" s="219"/>
      <c r="G150" s="219"/>
      <c r="H150" s="118"/>
      <c r="I150" s="219"/>
      <c r="J150" s="118"/>
      <c r="K150" s="219"/>
    </row>
    <row r="151" spans="2:18" x14ac:dyDescent="0.25">
      <c r="F151" s="219"/>
      <c r="G151" s="219"/>
      <c r="H151" s="118"/>
      <c r="I151" s="219"/>
      <c r="J151" s="118"/>
      <c r="K151" s="219"/>
    </row>
    <row r="152" spans="2:18" x14ac:dyDescent="0.25">
      <c r="F152" s="219"/>
      <c r="G152" s="219"/>
      <c r="H152" s="118"/>
      <c r="I152" s="219"/>
      <c r="J152" s="118"/>
      <c r="K152" s="219"/>
    </row>
    <row r="153" spans="2:18" x14ac:dyDescent="0.25">
      <c r="F153" s="219"/>
      <c r="G153" s="219"/>
      <c r="H153" s="118"/>
      <c r="I153" s="219"/>
      <c r="J153" s="118"/>
      <c r="K153" s="219"/>
    </row>
    <row r="154" spans="2:18" x14ac:dyDescent="0.25">
      <c r="F154" s="219"/>
      <c r="G154" s="219"/>
      <c r="H154" s="118"/>
      <c r="I154" s="219"/>
      <c r="J154" s="118"/>
      <c r="K154" s="219"/>
    </row>
    <row r="155" spans="2:18" x14ac:dyDescent="0.25">
      <c r="F155" s="219"/>
      <c r="G155" s="219"/>
      <c r="H155" s="118"/>
      <c r="I155" s="219"/>
      <c r="J155" s="118"/>
      <c r="K155" s="219"/>
    </row>
    <row r="156" spans="2:18" x14ac:dyDescent="0.25">
      <c r="F156" s="219"/>
      <c r="G156" s="219"/>
      <c r="H156" s="118"/>
      <c r="I156" s="219"/>
      <c r="J156" s="118"/>
      <c r="K156" s="219"/>
    </row>
    <row r="157" spans="2:18" x14ac:dyDescent="0.25">
      <c r="F157" s="219"/>
      <c r="G157" s="219"/>
      <c r="H157" s="118"/>
      <c r="I157" s="219"/>
      <c r="J157" s="118"/>
      <c r="K157" s="219"/>
    </row>
    <row r="158" spans="2:18" x14ac:dyDescent="0.25">
      <c r="F158" s="219"/>
      <c r="G158" s="219"/>
      <c r="H158" s="118"/>
      <c r="I158" s="219"/>
      <c r="J158" s="118"/>
      <c r="K158" s="219"/>
    </row>
    <row r="159" spans="2:18" x14ac:dyDescent="0.25">
      <c r="F159" s="219"/>
      <c r="G159" s="219"/>
      <c r="H159" s="118"/>
      <c r="I159" s="219"/>
      <c r="J159" s="118"/>
      <c r="K159" s="219"/>
      <c r="L159" s="219"/>
    </row>
    <row r="160" spans="2:18" x14ac:dyDescent="0.25">
      <c r="F160" s="219"/>
      <c r="G160" s="219"/>
      <c r="H160" s="118"/>
      <c r="I160" s="219"/>
      <c r="J160" s="118"/>
      <c r="K160" s="219"/>
      <c r="L160" s="219"/>
    </row>
    <row r="161" spans="6:12" x14ac:dyDescent="0.25">
      <c r="F161" s="219"/>
      <c r="G161" s="219"/>
      <c r="H161" s="118"/>
      <c r="I161" s="219"/>
      <c r="J161" s="118"/>
      <c r="K161" s="219"/>
      <c r="L161" s="219"/>
    </row>
    <row r="162" spans="6:12" x14ac:dyDescent="0.25">
      <c r="F162" s="219"/>
      <c r="G162" s="219"/>
      <c r="H162" s="118"/>
      <c r="I162" s="219"/>
      <c r="J162" s="118"/>
      <c r="K162" s="219"/>
      <c r="L162" s="219"/>
    </row>
    <row r="163" spans="6:12" x14ac:dyDescent="0.25">
      <c r="F163" s="219"/>
      <c r="G163" s="219"/>
      <c r="H163" s="118"/>
      <c r="I163" s="219"/>
      <c r="J163" s="118"/>
      <c r="K163" s="219"/>
      <c r="L163" s="219"/>
    </row>
    <row r="164" spans="6:12" x14ac:dyDescent="0.25">
      <c r="F164" s="219"/>
      <c r="G164" s="219"/>
      <c r="H164" s="118"/>
      <c r="I164" s="219"/>
      <c r="J164" s="118"/>
      <c r="K164" s="219"/>
      <c r="L164" s="219"/>
    </row>
    <row r="165" spans="6:12" x14ac:dyDescent="0.25">
      <c r="F165" s="219"/>
      <c r="G165" s="219"/>
      <c r="H165" s="118"/>
      <c r="I165" s="219"/>
      <c r="J165" s="118"/>
      <c r="K165" s="219"/>
      <c r="L165" s="219"/>
    </row>
    <row r="166" spans="6:12" x14ac:dyDescent="0.25">
      <c r="F166" s="219"/>
      <c r="G166" s="219"/>
      <c r="H166" s="118"/>
      <c r="I166" s="219"/>
      <c r="J166" s="118"/>
      <c r="K166" s="219"/>
      <c r="L166" s="219"/>
    </row>
    <row r="167" spans="6:12" x14ac:dyDescent="0.25">
      <c r="F167" s="219"/>
      <c r="G167" s="219"/>
      <c r="H167" s="118"/>
      <c r="I167" s="219"/>
      <c r="J167" s="118"/>
      <c r="K167" s="219"/>
      <c r="L167" s="219"/>
    </row>
    <row r="168" spans="6:12" x14ac:dyDescent="0.25">
      <c r="F168" s="219"/>
      <c r="G168" s="219"/>
      <c r="H168" s="118"/>
      <c r="I168" s="219"/>
      <c r="J168" s="118"/>
      <c r="K168" s="219"/>
      <c r="L168" s="219"/>
    </row>
    <row r="169" spans="6:12" x14ac:dyDescent="0.25">
      <c r="F169" s="219"/>
      <c r="G169" s="219"/>
      <c r="H169" s="118"/>
      <c r="I169" s="219"/>
      <c r="J169" s="118"/>
      <c r="K169" s="219"/>
      <c r="L169" s="219"/>
    </row>
    <row r="170" spans="6:12" x14ac:dyDescent="0.25">
      <c r="F170" s="219"/>
      <c r="G170" s="219"/>
      <c r="H170" s="118"/>
      <c r="I170" s="219"/>
      <c r="J170" s="118"/>
      <c r="K170" s="219"/>
      <c r="L170" s="219"/>
    </row>
    <row r="171" spans="6:12" x14ac:dyDescent="0.25">
      <c r="F171" s="219"/>
      <c r="G171" s="219"/>
      <c r="H171" s="118"/>
      <c r="I171" s="219"/>
      <c r="J171" s="118"/>
      <c r="K171" s="219"/>
      <c r="L171" s="219"/>
    </row>
    <row r="172" spans="6:12" x14ac:dyDescent="0.25">
      <c r="F172" s="219"/>
      <c r="G172" s="219"/>
      <c r="H172" s="118"/>
      <c r="I172" s="219"/>
      <c r="J172" s="118"/>
      <c r="K172" s="219"/>
      <c r="L172" s="219"/>
    </row>
    <row r="173" spans="6:12" x14ac:dyDescent="0.25">
      <c r="F173" s="219"/>
      <c r="G173" s="219"/>
      <c r="H173" s="118"/>
      <c r="I173" s="219"/>
      <c r="J173" s="118"/>
      <c r="K173" s="219"/>
      <c r="L173" s="219"/>
    </row>
    <row r="174" spans="6:12" x14ac:dyDescent="0.25">
      <c r="F174" s="219"/>
      <c r="G174" s="219"/>
      <c r="H174" s="118"/>
      <c r="I174" s="219"/>
      <c r="J174" s="118"/>
      <c r="K174" s="219"/>
      <c r="L174" s="219"/>
    </row>
    <row r="175" spans="6:12" x14ac:dyDescent="0.25">
      <c r="F175" s="219"/>
      <c r="G175" s="219"/>
      <c r="H175" s="118"/>
      <c r="I175" s="219"/>
      <c r="J175" s="118"/>
      <c r="K175" s="219"/>
      <c r="L175" s="219"/>
    </row>
    <row r="176" spans="6:12" x14ac:dyDescent="0.25">
      <c r="F176" s="219"/>
      <c r="G176" s="219"/>
      <c r="H176" s="118"/>
      <c r="I176" s="219"/>
      <c r="J176" s="118"/>
      <c r="K176" s="219"/>
      <c r="L176" s="219"/>
    </row>
    <row r="177" spans="6:12" x14ac:dyDescent="0.25">
      <c r="F177" s="219"/>
      <c r="G177" s="219"/>
      <c r="H177" s="118"/>
      <c r="I177" s="219"/>
      <c r="J177" s="118"/>
      <c r="K177" s="219"/>
      <c r="L177" s="219"/>
    </row>
    <row r="178" spans="6:12" x14ac:dyDescent="0.25">
      <c r="F178" s="219"/>
      <c r="G178" s="219"/>
      <c r="H178" s="118"/>
      <c r="I178" s="219"/>
      <c r="J178" s="118"/>
      <c r="K178" s="219"/>
      <c r="L178" s="219"/>
    </row>
    <row r="179" spans="6:12" x14ac:dyDescent="0.25">
      <c r="F179" s="219"/>
      <c r="G179" s="219"/>
      <c r="H179" s="118"/>
      <c r="I179" s="219"/>
      <c r="J179" s="118"/>
      <c r="K179" s="219"/>
      <c r="L179" s="219"/>
    </row>
    <row r="180" spans="6:12" x14ac:dyDescent="0.25">
      <c r="F180" s="219"/>
      <c r="G180" s="219"/>
      <c r="H180" s="118"/>
      <c r="I180" s="219"/>
      <c r="J180" s="118"/>
      <c r="K180" s="219"/>
      <c r="L180" s="219"/>
    </row>
    <row r="181" spans="6:12" x14ac:dyDescent="0.25">
      <c r="F181" s="219"/>
      <c r="G181" s="219"/>
      <c r="H181" s="118"/>
      <c r="I181" s="219"/>
      <c r="J181" s="118"/>
      <c r="K181" s="219"/>
      <c r="L181" s="219"/>
    </row>
    <row r="182" spans="6:12" x14ac:dyDescent="0.25">
      <c r="F182" s="219"/>
      <c r="G182" s="219"/>
      <c r="H182" s="118"/>
      <c r="I182" s="219"/>
      <c r="J182" s="118"/>
      <c r="K182" s="219"/>
      <c r="L182" s="219"/>
    </row>
    <row r="183" spans="6:12" x14ac:dyDescent="0.25">
      <c r="F183" s="219"/>
      <c r="G183" s="219"/>
      <c r="H183" s="118"/>
      <c r="I183" s="219"/>
      <c r="J183" s="118"/>
      <c r="K183" s="219"/>
      <c r="L183" s="219"/>
    </row>
    <row r="184" spans="6:12" x14ac:dyDescent="0.25">
      <c r="F184" s="219"/>
      <c r="G184" s="219"/>
      <c r="H184" s="118"/>
      <c r="I184" s="219"/>
      <c r="J184" s="118"/>
      <c r="K184" s="219"/>
      <c r="L184" s="219"/>
    </row>
    <row r="185" spans="6:12" x14ac:dyDescent="0.25">
      <c r="F185" s="219"/>
      <c r="G185" s="219"/>
      <c r="H185" s="118"/>
      <c r="I185" s="219"/>
      <c r="J185" s="118"/>
      <c r="K185" s="219"/>
      <c r="L185" s="219"/>
    </row>
    <row r="186" spans="6:12" x14ac:dyDescent="0.25">
      <c r="F186" s="219"/>
      <c r="G186" s="219"/>
      <c r="H186" s="118"/>
      <c r="I186" s="219"/>
      <c r="J186" s="118"/>
      <c r="K186" s="219"/>
      <c r="L186" s="219"/>
    </row>
    <row r="187" spans="6:12" x14ac:dyDescent="0.25">
      <c r="F187" s="219"/>
      <c r="G187" s="219"/>
      <c r="H187" s="118"/>
      <c r="I187" s="219"/>
      <c r="J187" s="118"/>
      <c r="K187" s="219"/>
      <c r="L187" s="219"/>
    </row>
    <row r="188" spans="6:12" x14ac:dyDescent="0.25">
      <c r="F188" s="219"/>
      <c r="G188" s="219"/>
      <c r="H188" s="118"/>
      <c r="I188" s="219"/>
      <c r="J188" s="118"/>
      <c r="K188" s="219"/>
      <c r="L188" s="219"/>
    </row>
    <row r="189" spans="6:12" x14ac:dyDescent="0.25">
      <c r="F189" s="219"/>
      <c r="G189" s="219"/>
      <c r="H189" s="118"/>
      <c r="I189" s="219"/>
      <c r="J189" s="118"/>
      <c r="K189" s="219"/>
      <c r="L189" s="219"/>
    </row>
    <row r="190" spans="6:12" x14ac:dyDescent="0.25">
      <c r="F190" s="219"/>
      <c r="G190" s="219"/>
      <c r="H190" s="118"/>
      <c r="I190" s="219"/>
      <c r="J190" s="118"/>
      <c r="K190" s="219"/>
      <c r="L190" s="219"/>
    </row>
    <row r="191" spans="6:12" x14ac:dyDescent="0.25">
      <c r="F191" s="219"/>
      <c r="G191" s="219"/>
      <c r="H191" s="118"/>
      <c r="I191" s="219"/>
      <c r="J191" s="118"/>
      <c r="K191" s="219"/>
      <c r="L191" s="219"/>
    </row>
    <row r="192" spans="6:12" x14ac:dyDescent="0.25">
      <c r="F192" s="219"/>
      <c r="G192" s="219"/>
      <c r="H192" s="118"/>
      <c r="I192" s="219"/>
      <c r="J192" s="118"/>
      <c r="K192" s="219"/>
      <c r="L192" s="219"/>
    </row>
    <row r="193" spans="6:12" x14ac:dyDescent="0.25">
      <c r="F193" s="219"/>
      <c r="G193" s="219"/>
      <c r="H193" s="118"/>
      <c r="I193" s="219"/>
      <c r="J193" s="118"/>
      <c r="K193" s="219"/>
      <c r="L193" s="219"/>
    </row>
    <row r="194" spans="6:12" x14ac:dyDescent="0.25">
      <c r="F194" s="219"/>
      <c r="G194" s="219"/>
      <c r="H194" s="118"/>
      <c r="I194" s="219"/>
      <c r="J194" s="118"/>
      <c r="K194" s="219"/>
      <c r="L194" s="219"/>
    </row>
    <row r="195" spans="6:12" x14ac:dyDescent="0.25">
      <c r="F195" s="219"/>
      <c r="G195" s="219"/>
      <c r="H195" s="118"/>
      <c r="I195" s="219"/>
      <c r="J195" s="118"/>
      <c r="K195" s="219"/>
      <c r="L195" s="219"/>
    </row>
    <row r="196" spans="6:12" x14ac:dyDescent="0.25">
      <c r="F196" s="219"/>
      <c r="G196" s="219"/>
      <c r="H196" s="118"/>
      <c r="I196" s="219"/>
      <c r="J196" s="118"/>
      <c r="K196" s="219"/>
      <c r="L196" s="219"/>
    </row>
    <row r="197" spans="6:12" x14ac:dyDescent="0.25">
      <c r="F197" s="219"/>
      <c r="G197" s="219"/>
      <c r="H197" s="118"/>
      <c r="I197" s="219"/>
      <c r="J197" s="118"/>
      <c r="K197" s="219"/>
      <c r="L197" s="219"/>
    </row>
    <row r="198" spans="6:12" x14ac:dyDescent="0.25">
      <c r="F198" s="219"/>
      <c r="G198" s="219"/>
      <c r="H198" s="118"/>
      <c r="I198" s="219"/>
      <c r="J198" s="118"/>
      <c r="K198" s="219"/>
      <c r="L198" s="219"/>
    </row>
    <row r="199" spans="6:12" x14ac:dyDescent="0.25">
      <c r="F199" s="219"/>
      <c r="G199" s="219"/>
      <c r="H199" s="118"/>
      <c r="I199" s="219"/>
      <c r="J199" s="118"/>
      <c r="K199" s="219"/>
      <c r="L199" s="219"/>
    </row>
    <row r="200" spans="6:12" x14ac:dyDescent="0.25">
      <c r="F200" s="219"/>
      <c r="G200" s="219"/>
      <c r="H200" s="118"/>
      <c r="I200" s="219"/>
      <c r="J200" s="118"/>
      <c r="K200" s="219"/>
      <c r="L200" s="219"/>
    </row>
    <row r="201" spans="6:12" x14ac:dyDescent="0.25">
      <c r="F201" s="219"/>
      <c r="G201" s="219"/>
      <c r="H201" s="118"/>
      <c r="I201" s="219"/>
      <c r="J201" s="118"/>
      <c r="K201" s="219"/>
      <c r="L201" s="219"/>
    </row>
    <row r="202" spans="6:12" x14ac:dyDescent="0.25">
      <c r="F202" s="219"/>
      <c r="G202" s="219"/>
      <c r="H202" s="118"/>
      <c r="I202" s="219"/>
      <c r="J202" s="118"/>
      <c r="K202" s="219"/>
      <c r="L202" s="219"/>
    </row>
    <row r="203" spans="6:12" x14ac:dyDescent="0.25">
      <c r="F203" s="219"/>
      <c r="G203" s="219"/>
      <c r="H203" s="118"/>
      <c r="I203" s="219"/>
      <c r="J203" s="118"/>
      <c r="K203" s="219"/>
      <c r="L203" s="219"/>
    </row>
    <row r="204" spans="6:12" x14ac:dyDescent="0.25">
      <c r="F204" s="219"/>
      <c r="G204" s="219"/>
      <c r="H204" s="118"/>
      <c r="I204" s="219"/>
      <c r="J204" s="118"/>
      <c r="K204" s="219"/>
      <c r="L204" s="219"/>
    </row>
    <row r="205" spans="6:12" x14ac:dyDescent="0.25">
      <c r="F205" s="219"/>
      <c r="G205" s="219"/>
      <c r="H205" s="118"/>
      <c r="I205" s="219"/>
      <c r="J205" s="118"/>
      <c r="K205" s="219"/>
      <c r="L205" s="219"/>
    </row>
    <row r="206" spans="6:12" x14ac:dyDescent="0.25">
      <c r="F206" s="219"/>
      <c r="G206" s="219"/>
      <c r="H206" s="118"/>
      <c r="I206" s="219"/>
      <c r="J206" s="118"/>
      <c r="K206" s="219"/>
      <c r="L206" s="219"/>
    </row>
    <row r="207" spans="6:12" x14ac:dyDescent="0.25">
      <c r="F207" s="219"/>
      <c r="G207" s="219"/>
      <c r="H207" s="118"/>
      <c r="I207" s="219"/>
      <c r="J207" s="118"/>
      <c r="K207" s="219"/>
      <c r="L207" s="219"/>
    </row>
    <row r="208" spans="6:12" x14ac:dyDescent="0.25">
      <c r="F208" s="219"/>
      <c r="G208" s="219"/>
      <c r="H208" s="118"/>
      <c r="I208" s="219"/>
      <c r="J208" s="118"/>
      <c r="K208" s="219"/>
      <c r="L208" s="219"/>
    </row>
    <row r="209" spans="6:12" x14ac:dyDescent="0.25">
      <c r="F209" s="219"/>
      <c r="G209" s="219"/>
      <c r="H209" s="118"/>
      <c r="I209" s="219"/>
      <c r="J209" s="118"/>
      <c r="K209" s="219"/>
      <c r="L209" s="219"/>
    </row>
    <row r="210" spans="6:12" x14ac:dyDescent="0.25">
      <c r="F210" s="219"/>
      <c r="G210" s="219"/>
      <c r="H210" s="118"/>
      <c r="I210" s="219"/>
      <c r="J210" s="118"/>
      <c r="K210" s="219"/>
      <c r="L210" s="219"/>
    </row>
    <row r="211" spans="6:12" x14ac:dyDescent="0.25">
      <c r="F211" s="219"/>
      <c r="G211" s="219"/>
      <c r="H211" s="118"/>
      <c r="I211" s="219"/>
      <c r="J211" s="118"/>
      <c r="K211" s="219"/>
      <c r="L211" s="219"/>
    </row>
    <row r="212" spans="6:12" x14ac:dyDescent="0.25">
      <c r="F212" s="219"/>
      <c r="G212" s="219"/>
      <c r="H212" s="118"/>
      <c r="I212" s="219"/>
      <c r="J212" s="118"/>
      <c r="K212" s="219"/>
      <c r="L212" s="219"/>
    </row>
    <row r="213" spans="6:12" x14ac:dyDescent="0.25">
      <c r="F213" s="219"/>
      <c r="G213" s="219"/>
      <c r="H213" s="118"/>
      <c r="I213" s="219"/>
      <c r="J213" s="118"/>
      <c r="K213" s="219"/>
      <c r="L213" s="219"/>
    </row>
    <row r="214" spans="6:12" x14ac:dyDescent="0.25">
      <c r="F214" s="219"/>
      <c r="G214" s="219"/>
      <c r="H214" s="118"/>
      <c r="I214" s="219"/>
      <c r="J214" s="118"/>
      <c r="K214" s="219"/>
      <c r="L214" s="219"/>
    </row>
    <row r="215" spans="6:12" x14ac:dyDescent="0.25">
      <c r="F215" s="219"/>
      <c r="G215" s="219"/>
      <c r="H215" s="118"/>
      <c r="I215" s="219"/>
      <c r="J215" s="118"/>
      <c r="K215" s="219"/>
      <c r="L215" s="219"/>
    </row>
    <row r="216" spans="6:12" x14ac:dyDescent="0.25">
      <c r="F216" s="219"/>
      <c r="G216" s="219"/>
      <c r="H216" s="118"/>
      <c r="I216" s="219"/>
      <c r="J216" s="118"/>
      <c r="K216" s="219"/>
      <c r="L216" s="219"/>
    </row>
    <row r="217" spans="6:12" x14ac:dyDescent="0.25">
      <c r="F217" s="219"/>
      <c r="G217" s="219"/>
      <c r="H217" s="118"/>
      <c r="I217" s="219"/>
      <c r="J217" s="118"/>
      <c r="K217" s="219"/>
      <c r="L217" s="219"/>
    </row>
    <row r="218" spans="6:12" x14ac:dyDescent="0.25">
      <c r="F218" s="219"/>
      <c r="G218" s="219"/>
      <c r="H218" s="118"/>
      <c r="I218" s="219"/>
      <c r="J218" s="118"/>
      <c r="K218" s="219"/>
      <c r="L218" s="219"/>
    </row>
    <row r="219" spans="6:12" x14ac:dyDescent="0.25">
      <c r="F219" s="219"/>
      <c r="G219" s="219"/>
      <c r="H219" s="118"/>
      <c r="I219" s="219"/>
      <c r="J219" s="118"/>
      <c r="K219" s="219"/>
      <c r="L219" s="219"/>
    </row>
    <row r="220" spans="6:12" x14ac:dyDescent="0.25">
      <c r="F220" s="219"/>
      <c r="G220" s="219"/>
      <c r="H220" s="118"/>
      <c r="I220" s="219"/>
      <c r="J220" s="118"/>
      <c r="K220" s="219"/>
      <c r="L220" s="219"/>
    </row>
    <row r="221" spans="6:12" x14ac:dyDescent="0.25">
      <c r="F221" s="219"/>
      <c r="G221" s="219"/>
      <c r="H221" s="118"/>
      <c r="I221" s="219"/>
      <c r="J221" s="118"/>
      <c r="K221" s="219"/>
      <c r="L221" s="219"/>
    </row>
    <row r="222" spans="6:12" x14ac:dyDescent="0.25">
      <c r="F222" s="219"/>
      <c r="G222" s="219"/>
      <c r="H222" s="118"/>
      <c r="I222" s="219"/>
      <c r="J222" s="118"/>
      <c r="K222" s="219"/>
      <c r="L222" s="219"/>
    </row>
    <row r="223" spans="6:12" x14ac:dyDescent="0.25">
      <c r="F223" s="219"/>
      <c r="G223" s="219"/>
      <c r="H223" s="118"/>
      <c r="I223" s="219"/>
      <c r="J223" s="118"/>
      <c r="K223" s="219"/>
      <c r="L223" s="219"/>
    </row>
    <row r="224" spans="6:12" x14ac:dyDescent="0.25">
      <c r="F224" s="219"/>
      <c r="G224" s="219"/>
      <c r="H224" s="118"/>
      <c r="I224" s="219"/>
      <c r="J224" s="118"/>
      <c r="K224" s="219"/>
      <c r="L224" s="219"/>
    </row>
    <row r="225" spans="6:12" x14ac:dyDescent="0.25">
      <c r="F225" s="219"/>
      <c r="G225" s="219"/>
      <c r="H225" s="118"/>
      <c r="I225" s="219"/>
      <c r="J225" s="118"/>
      <c r="K225" s="219"/>
      <c r="L225" s="219"/>
    </row>
    <row r="226" spans="6:12" x14ac:dyDescent="0.25">
      <c r="F226" s="219"/>
      <c r="G226" s="219"/>
      <c r="H226" s="118"/>
      <c r="I226" s="219"/>
      <c r="J226" s="118"/>
      <c r="K226" s="219"/>
      <c r="L226" s="219"/>
    </row>
    <row r="227" spans="6:12" x14ac:dyDescent="0.25">
      <c r="F227" s="219"/>
      <c r="G227" s="219"/>
      <c r="H227" s="118"/>
      <c r="I227" s="219"/>
      <c r="J227" s="118"/>
      <c r="K227" s="219"/>
      <c r="L227" s="219"/>
    </row>
    <row r="228" spans="6:12" x14ac:dyDescent="0.25">
      <c r="F228" s="219"/>
      <c r="G228" s="219"/>
      <c r="H228" s="118"/>
      <c r="I228" s="219"/>
      <c r="J228" s="118"/>
      <c r="K228" s="219"/>
      <c r="L228" s="219"/>
    </row>
    <row r="229" spans="6:12" x14ac:dyDescent="0.25">
      <c r="F229" s="219"/>
      <c r="G229" s="219"/>
      <c r="H229" s="118"/>
      <c r="I229" s="219"/>
      <c r="J229" s="118"/>
      <c r="K229" s="219"/>
      <c r="L229" s="219"/>
    </row>
    <row r="230" spans="6:12" x14ac:dyDescent="0.25">
      <c r="F230" s="219"/>
      <c r="G230" s="219"/>
      <c r="H230" s="118"/>
      <c r="I230" s="219"/>
      <c r="J230" s="118"/>
      <c r="K230" s="219"/>
      <c r="L230" s="219"/>
    </row>
    <row r="231" spans="6:12" x14ac:dyDescent="0.25">
      <c r="F231" s="219"/>
      <c r="G231" s="219"/>
      <c r="H231" s="118"/>
      <c r="I231" s="219"/>
      <c r="J231" s="118"/>
      <c r="K231" s="219"/>
      <c r="L231" s="219"/>
    </row>
    <row r="232" spans="6:12" x14ac:dyDescent="0.25">
      <c r="F232" s="219"/>
      <c r="G232" s="219"/>
      <c r="H232" s="118"/>
      <c r="I232" s="219"/>
      <c r="J232" s="118"/>
      <c r="K232" s="219"/>
      <c r="L232" s="219"/>
    </row>
    <row r="233" spans="6:12" x14ac:dyDescent="0.25">
      <c r="F233" s="219"/>
      <c r="G233" s="219"/>
      <c r="H233" s="118"/>
      <c r="I233" s="219"/>
      <c r="J233" s="118"/>
      <c r="K233" s="219"/>
      <c r="L233" s="219"/>
    </row>
    <row r="234" spans="6:12" x14ac:dyDescent="0.25">
      <c r="F234" s="219"/>
      <c r="G234" s="219"/>
      <c r="H234" s="118"/>
      <c r="I234" s="219"/>
      <c r="J234" s="118"/>
      <c r="K234" s="219"/>
      <c r="L234" s="219"/>
    </row>
    <row r="235" spans="6:12" x14ac:dyDescent="0.25">
      <c r="F235" s="219"/>
      <c r="G235" s="219"/>
      <c r="H235" s="118"/>
      <c r="I235" s="219"/>
      <c r="J235" s="118"/>
      <c r="K235" s="219"/>
      <c r="L235" s="219"/>
    </row>
    <row r="236" spans="6:12" x14ac:dyDescent="0.25">
      <c r="F236" s="219"/>
      <c r="G236" s="219"/>
      <c r="H236" s="118"/>
      <c r="I236" s="219"/>
      <c r="J236" s="118"/>
      <c r="K236" s="219"/>
      <c r="L236" s="219"/>
    </row>
    <row r="237" spans="6:12" x14ac:dyDescent="0.25">
      <c r="F237" s="219"/>
      <c r="G237" s="219"/>
      <c r="H237" s="118"/>
      <c r="I237" s="219"/>
      <c r="J237" s="118"/>
      <c r="K237" s="219"/>
      <c r="L237" s="219"/>
    </row>
    <row r="238" spans="6:12" x14ac:dyDescent="0.25">
      <c r="F238" s="219"/>
      <c r="G238" s="219"/>
      <c r="H238" s="118"/>
      <c r="I238" s="219"/>
      <c r="J238" s="118"/>
      <c r="K238" s="219"/>
      <c r="L238" s="219"/>
    </row>
    <row r="239" spans="6:12" x14ac:dyDescent="0.25">
      <c r="F239" s="219"/>
      <c r="G239" s="219"/>
      <c r="H239" s="118"/>
      <c r="I239" s="219"/>
      <c r="J239" s="118"/>
      <c r="K239" s="219"/>
      <c r="L239" s="219"/>
    </row>
    <row r="240" spans="6:12" x14ac:dyDescent="0.25">
      <c r="F240" s="219"/>
      <c r="G240" s="219"/>
      <c r="H240" s="118"/>
      <c r="I240" s="219"/>
      <c r="J240" s="118"/>
      <c r="K240" s="219"/>
      <c r="L240" s="219"/>
    </row>
    <row r="241" spans="6:12" x14ac:dyDescent="0.25">
      <c r="F241" s="219"/>
      <c r="G241" s="219"/>
      <c r="H241" s="118"/>
      <c r="I241" s="219"/>
      <c r="J241" s="118"/>
      <c r="K241" s="219"/>
      <c r="L241" s="219"/>
    </row>
    <row r="242" spans="6:12" x14ac:dyDescent="0.25">
      <c r="F242" s="219"/>
      <c r="G242" s="219"/>
      <c r="H242" s="118"/>
      <c r="I242" s="219"/>
      <c r="J242" s="118"/>
      <c r="K242" s="219"/>
      <c r="L242" s="219"/>
    </row>
    <row r="243" spans="6:12" x14ac:dyDescent="0.25">
      <c r="F243" s="219"/>
      <c r="G243" s="219"/>
      <c r="H243" s="118"/>
      <c r="I243" s="219"/>
      <c r="J243" s="118"/>
      <c r="K243" s="219"/>
      <c r="L243" s="219"/>
    </row>
    <row r="244" spans="6:12" x14ac:dyDescent="0.25">
      <c r="F244" s="219"/>
      <c r="G244" s="219"/>
      <c r="H244" s="118"/>
      <c r="I244" s="219"/>
      <c r="J244" s="118"/>
      <c r="K244" s="219"/>
      <c r="L244" s="219"/>
    </row>
    <row r="245" spans="6:12" x14ac:dyDescent="0.25">
      <c r="F245" s="219"/>
      <c r="G245" s="219"/>
      <c r="H245" s="118"/>
      <c r="I245" s="219"/>
      <c r="J245" s="118"/>
      <c r="K245" s="219"/>
      <c r="L245" s="219"/>
    </row>
    <row r="246" spans="6:12" x14ac:dyDescent="0.25">
      <c r="F246" s="219"/>
      <c r="G246" s="219"/>
      <c r="H246" s="118"/>
      <c r="I246" s="219"/>
      <c r="J246" s="118"/>
      <c r="K246" s="219"/>
      <c r="L246" s="219"/>
    </row>
    <row r="247" spans="6:12" x14ac:dyDescent="0.25">
      <c r="F247" s="219"/>
      <c r="G247" s="219"/>
      <c r="H247" s="118"/>
      <c r="I247" s="219"/>
      <c r="J247" s="118"/>
      <c r="K247" s="219"/>
      <c r="L247" s="219"/>
    </row>
    <row r="248" spans="6:12" x14ac:dyDescent="0.25">
      <c r="F248" s="219"/>
      <c r="G248" s="219"/>
      <c r="H248" s="118"/>
      <c r="I248" s="219"/>
      <c r="J248" s="118"/>
      <c r="K248" s="219"/>
      <c r="L248" s="219"/>
    </row>
    <row r="249" spans="6:12" x14ac:dyDescent="0.25">
      <c r="F249" s="219"/>
      <c r="G249" s="219"/>
      <c r="H249" s="118"/>
      <c r="I249" s="219"/>
      <c r="J249" s="118"/>
      <c r="K249" s="219"/>
      <c r="L249" s="219"/>
    </row>
    <row r="250" spans="6:12" x14ac:dyDescent="0.25">
      <c r="F250" s="219"/>
      <c r="G250" s="219"/>
      <c r="H250" s="118"/>
      <c r="I250" s="219"/>
      <c r="J250" s="118"/>
      <c r="K250" s="219"/>
      <c r="L250" s="219"/>
    </row>
    <row r="251" spans="6:12" x14ac:dyDescent="0.25">
      <c r="F251" s="219"/>
      <c r="G251" s="219"/>
      <c r="H251" s="118"/>
      <c r="I251" s="219"/>
      <c r="J251" s="118"/>
      <c r="K251" s="219"/>
      <c r="L251" s="219"/>
    </row>
    <row r="252" spans="6:12" x14ac:dyDescent="0.25">
      <c r="F252" s="219"/>
      <c r="G252" s="219"/>
      <c r="H252" s="118"/>
      <c r="I252" s="219"/>
      <c r="J252" s="118"/>
      <c r="K252" s="219"/>
      <c r="L252" s="219"/>
    </row>
    <row r="253" spans="6:12" x14ac:dyDescent="0.25">
      <c r="F253" s="219"/>
      <c r="G253" s="219"/>
      <c r="H253" s="118"/>
      <c r="I253" s="219"/>
      <c r="J253" s="118"/>
      <c r="K253" s="219"/>
      <c r="L253" s="219"/>
    </row>
    <row r="254" spans="6:12" x14ac:dyDescent="0.25">
      <c r="F254" s="219"/>
      <c r="G254" s="219"/>
      <c r="H254" s="118"/>
      <c r="I254" s="219"/>
      <c r="J254" s="118"/>
      <c r="K254" s="219"/>
      <c r="L254" s="219"/>
    </row>
    <row r="255" spans="6:12" x14ac:dyDescent="0.25">
      <c r="F255" s="219"/>
      <c r="G255" s="219"/>
      <c r="H255" s="118"/>
      <c r="I255" s="219"/>
      <c r="J255" s="118"/>
      <c r="K255" s="219"/>
      <c r="L255" s="219"/>
    </row>
    <row r="256" spans="6:12" x14ac:dyDescent="0.25">
      <c r="F256" s="219"/>
      <c r="G256" s="219"/>
      <c r="H256" s="118"/>
      <c r="I256" s="219"/>
      <c r="J256" s="118"/>
      <c r="K256" s="219"/>
      <c r="L256" s="219"/>
    </row>
    <row r="257" spans="6:12" x14ac:dyDescent="0.25">
      <c r="F257" s="219"/>
      <c r="G257" s="219"/>
      <c r="H257" s="118"/>
      <c r="I257" s="219"/>
      <c r="J257" s="118"/>
      <c r="K257" s="219"/>
      <c r="L257" s="219"/>
    </row>
    <row r="258" spans="6:12" x14ac:dyDescent="0.25">
      <c r="F258" s="219"/>
      <c r="G258" s="219"/>
      <c r="H258" s="118"/>
      <c r="I258" s="219"/>
      <c r="J258" s="118"/>
      <c r="K258" s="219"/>
      <c r="L258" s="219"/>
    </row>
    <row r="259" spans="6:12" x14ac:dyDescent="0.25">
      <c r="F259" s="219"/>
      <c r="G259" s="219"/>
      <c r="H259" s="118"/>
      <c r="I259" s="219"/>
      <c r="J259" s="118"/>
      <c r="K259" s="219"/>
      <c r="L259" s="219"/>
    </row>
    <row r="260" spans="6:12" x14ac:dyDescent="0.25">
      <c r="F260" s="219"/>
      <c r="G260" s="219"/>
      <c r="H260" s="118"/>
      <c r="I260" s="219"/>
      <c r="J260" s="118"/>
      <c r="K260" s="219"/>
      <c r="L260" s="219"/>
    </row>
    <row r="261" spans="6:12" x14ac:dyDescent="0.25">
      <c r="F261" s="219"/>
      <c r="G261" s="219"/>
      <c r="H261" s="118"/>
      <c r="I261" s="219"/>
      <c r="J261" s="118"/>
      <c r="K261" s="219"/>
      <c r="L261" s="219"/>
    </row>
    <row r="262" spans="6:12" x14ac:dyDescent="0.25">
      <c r="F262" s="219"/>
      <c r="G262" s="219"/>
      <c r="H262" s="118"/>
      <c r="I262" s="219"/>
      <c r="J262" s="118"/>
      <c r="K262" s="219"/>
      <c r="L262" s="219"/>
    </row>
    <row r="263" spans="6:12" x14ac:dyDescent="0.25">
      <c r="F263" s="219"/>
      <c r="G263" s="219"/>
      <c r="H263" s="118"/>
      <c r="I263" s="219"/>
      <c r="J263" s="118"/>
      <c r="K263" s="219"/>
      <c r="L263" s="219"/>
    </row>
    <row r="264" spans="6:12" x14ac:dyDescent="0.25">
      <c r="F264" s="219"/>
      <c r="G264" s="219"/>
      <c r="H264" s="118"/>
      <c r="I264" s="219"/>
      <c r="J264" s="118"/>
      <c r="K264" s="219"/>
      <c r="L264" s="219"/>
    </row>
    <row r="265" spans="6:12" x14ac:dyDescent="0.25">
      <c r="F265" s="219"/>
      <c r="G265" s="219"/>
      <c r="H265" s="118"/>
      <c r="I265" s="219"/>
      <c r="J265" s="118"/>
      <c r="K265" s="219"/>
      <c r="L265" s="219"/>
    </row>
    <row r="266" spans="6:12" x14ac:dyDescent="0.25">
      <c r="F266" s="219"/>
      <c r="G266" s="219"/>
      <c r="H266" s="118"/>
      <c r="I266" s="219"/>
      <c r="J266" s="118"/>
      <c r="K266" s="219"/>
      <c r="L266" s="219"/>
    </row>
    <row r="267" spans="6:12" x14ac:dyDescent="0.25">
      <c r="F267" s="219"/>
      <c r="G267" s="219"/>
      <c r="H267" s="118"/>
      <c r="I267" s="219"/>
      <c r="J267" s="118"/>
      <c r="K267" s="219"/>
      <c r="L267" s="219"/>
    </row>
    <row r="268" spans="6:12" x14ac:dyDescent="0.25">
      <c r="F268" s="219"/>
      <c r="G268" s="219"/>
      <c r="H268" s="118"/>
      <c r="I268" s="219"/>
      <c r="J268" s="118"/>
      <c r="K268" s="219"/>
      <c r="L268" s="219"/>
    </row>
    <row r="269" spans="6:12" x14ac:dyDescent="0.25">
      <c r="F269" s="219"/>
      <c r="G269" s="219"/>
      <c r="H269" s="118"/>
      <c r="I269" s="219"/>
      <c r="J269" s="118"/>
      <c r="K269" s="219"/>
      <c r="L269" s="219"/>
    </row>
    <row r="270" spans="6:12" x14ac:dyDescent="0.25">
      <c r="F270" s="219"/>
      <c r="G270" s="219"/>
      <c r="H270" s="118"/>
      <c r="I270" s="219"/>
      <c r="J270" s="118"/>
      <c r="K270" s="219"/>
      <c r="L270" s="219"/>
    </row>
    <row r="271" spans="6:12" x14ac:dyDescent="0.25">
      <c r="F271" s="219"/>
      <c r="G271" s="219"/>
      <c r="H271" s="118"/>
      <c r="I271" s="219"/>
      <c r="J271" s="118"/>
      <c r="K271" s="219"/>
      <c r="L271" s="219"/>
    </row>
    <row r="272" spans="6:12" x14ac:dyDescent="0.25">
      <c r="F272" s="219"/>
      <c r="G272" s="219"/>
      <c r="H272" s="118"/>
      <c r="I272" s="219"/>
      <c r="J272" s="118"/>
      <c r="K272" s="219"/>
      <c r="L272" s="219"/>
    </row>
    <row r="273" spans="6:12" x14ac:dyDescent="0.25">
      <c r="F273" s="219"/>
      <c r="G273" s="219"/>
      <c r="H273" s="118"/>
      <c r="I273" s="219"/>
      <c r="J273" s="118"/>
      <c r="K273" s="219"/>
      <c r="L273" s="219"/>
    </row>
    <row r="274" spans="6:12" x14ac:dyDescent="0.25">
      <c r="F274" s="219"/>
      <c r="G274" s="219"/>
      <c r="H274" s="118"/>
      <c r="I274" s="219"/>
      <c r="J274" s="118"/>
      <c r="K274" s="219"/>
      <c r="L274" s="219"/>
    </row>
    <row r="275" spans="6:12" x14ac:dyDescent="0.25">
      <c r="F275" s="219"/>
      <c r="G275" s="219"/>
      <c r="H275" s="118"/>
      <c r="I275" s="219"/>
      <c r="J275" s="118"/>
      <c r="K275" s="219"/>
      <c r="L275" s="219"/>
    </row>
    <row r="276" spans="6:12" x14ac:dyDescent="0.25">
      <c r="F276" s="219"/>
      <c r="G276" s="219"/>
      <c r="H276" s="118"/>
      <c r="I276" s="219"/>
      <c r="J276" s="118"/>
      <c r="K276" s="219"/>
      <c r="L276" s="219"/>
    </row>
    <row r="277" spans="6:12" x14ac:dyDescent="0.25">
      <c r="F277" s="219"/>
      <c r="G277" s="219"/>
      <c r="H277" s="118"/>
      <c r="I277" s="219"/>
      <c r="J277" s="118"/>
      <c r="K277" s="219"/>
      <c r="L277" s="219"/>
    </row>
    <row r="278" spans="6:12" x14ac:dyDescent="0.25">
      <c r="F278" s="219"/>
      <c r="G278" s="219"/>
      <c r="H278" s="118"/>
      <c r="I278" s="219"/>
      <c r="J278" s="118"/>
      <c r="K278" s="219"/>
      <c r="L278" s="219"/>
    </row>
    <row r="279" spans="6:12" x14ac:dyDescent="0.25">
      <c r="F279" s="219"/>
      <c r="G279" s="219"/>
      <c r="H279" s="118"/>
      <c r="I279" s="219"/>
      <c r="J279" s="118"/>
      <c r="K279" s="219"/>
      <c r="L279" s="219"/>
    </row>
    <row r="280" spans="6:12" x14ac:dyDescent="0.25">
      <c r="F280" s="219"/>
      <c r="G280" s="219"/>
      <c r="H280" s="118"/>
      <c r="I280" s="219"/>
      <c r="J280" s="118"/>
      <c r="K280" s="219"/>
      <c r="L280" s="219"/>
    </row>
    <row r="281" spans="6:12" x14ac:dyDescent="0.25">
      <c r="F281" s="219"/>
      <c r="G281" s="219"/>
      <c r="H281" s="118"/>
      <c r="I281" s="219"/>
      <c r="J281" s="118"/>
      <c r="K281" s="219"/>
      <c r="L281" s="219"/>
    </row>
    <row r="282" spans="6:12" x14ac:dyDescent="0.25">
      <c r="F282" s="219"/>
      <c r="G282" s="219"/>
      <c r="H282" s="118"/>
      <c r="I282" s="219"/>
      <c r="J282" s="118"/>
      <c r="K282" s="219"/>
      <c r="L282" s="219"/>
    </row>
    <row r="283" spans="6:12" x14ac:dyDescent="0.25">
      <c r="F283" s="219"/>
      <c r="G283" s="219"/>
      <c r="H283" s="118"/>
      <c r="I283" s="219"/>
      <c r="J283" s="118"/>
      <c r="K283" s="219"/>
      <c r="L283" s="219"/>
    </row>
    <row r="284" spans="6:12" x14ac:dyDescent="0.25">
      <c r="F284" s="219"/>
      <c r="G284" s="219"/>
      <c r="H284" s="118"/>
      <c r="I284" s="219"/>
      <c r="J284" s="118"/>
      <c r="K284" s="219"/>
      <c r="L284" s="219"/>
    </row>
    <row r="285" spans="6:12" x14ac:dyDescent="0.25">
      <c r="F285" s="219"/>
      <c r="G285" s="219"/>
      <c r="H285" s="118"/>
      <c r="I285" s="219"/>
      <c r="J285" s="118"/>
      <c r="K285" s="219"/>
      <c r="L285" s="219"/>
    </row>
    <row r="286" spans="6:12" x14ac:dyDescent="0.25">
      <c r="F286" s="219"/>
      <c r="G286" s="219"/>
      <c r="H286" s="118"/>
      <c r="I286" s="219"/>
      <c r="J286" s="118"/>
      <c r="K286" s="219"/>
      <c r="L286" s="219"/>
    </row>
    <row r="287" spans="6:12" x14ac:dyDescent="0.25">
      <c r="F287" s="219"/>
      <c r="G287" s="219"/>
      <c r="H287" s="118"/>
      <c r="I287" s="219"/>
      <c r="J287" s="118"/>
      <c r="K287" s="219"/>
      <c r="L287" s="219"/>
    </row>
    <row r="288" spans="6:12" x14ac:dyDescent="0.25">
      <c r="F288" s="219"/>
      <c r="G288" s="219"/>
      <c r="H288" s="118"/>
      <c r="I288" s="219"/>
      <c r="J288" s="118"/>
      <c r="K288" s="219"/>
      <c r="L288" s="219"/>
    </row>
    <row r="289" spans="6:12" x14ac:dyDescent="0.25">
      <c r="F289" s="219"/>
      <c r="G289" s="219"/>
      <c r="H289" s="118"/>
      <c r="I289" s="219"/>
      <c r="J289" s="118"/>
      <c r="K289" s="219"/>
      <c r="L289" s="219"/>
    </row>
    <row r="290" spans="6:12" x14ac:dyDescent="0.25">
      <c r="F290" s="219"/>
      <c r="G290" s="219"/>
      <c r="H290" s="118"/>
      <c r="I290" s="219"/>
      <c r="J290" s="118"/>
      <c r="K290" s="219"/>
      <c r="L290" s="219"/>
    </row>
    <row r="291" spans="6:12" x14ac:dyDescent="0.25">
      <c r="F291" s="219"/>
      <c r="G291" s="219"/>
      <c r="H291" s="118"/>
      <c r="I291" s="219"/>
      <c r="J291" s="118"/>
      <c r="K291" s="219"/>
      <c r="L291" s="219"/>
    </row>
    <row r="292" spans="6:12" x14ac:dyDescent="0.25">
      <c r="F292" s="219"/>
      <c r="G292" s="219"/>
      <c r="H292" s="118"/>
      <c r="I292" s="219"/>
      <c r="J292" s="118"/>
      <c r="K292" s="219"/>
      <c r="L292" s="219"/>
    </row>
    <row r="293" spans="6:12" x14ac:dyDescent="0.25">
      <c r="F293" s="219"/>
      <c r="G293" s="219"/>
      <c r="H293" s="118"/>
      <c r="I293" s="219"/>
      <c r="J293" s="118"/>
      <c r="K293" s="219"/>
      <c r="L293" s="219"/>
    </row>
    <row r="294" spans="6:12" x14ac:dyDescent="0.25">
      <c r="F294" s="219"/>
      <c r="G294" s="219"/>
      <c r="H294" s="118"/>
      <c r="I294" s="219"/>
      <c r="J294" s="118"/>
      <c r="K294" s="219"/>
      <c r="L294" s="219"/>
    </row>
    <row r="295" spans="6:12" x14ac:dyDescent="0.25">
      <c r="F295" s="219"/>
      <c r="G295" s="219"/>
      <c r="H295" s="118"/>
      <c r="I295" s="219"/>
      <c r="J295" s="118"/>
      <c r="K295" s="219"/>
      <c r="L295" s="219"/>
    </row>
    <row r="296" spans="6:12" x14ac:dyDescent="0.25">
      <c r="F296" s="219"/>
      <c r="G296" s="219"/>
      <c r="H296" s="118"/>
      <c r="I296" s="219"/>
      <c r="J296" s="118"/>
      <c r="K296" s="219"/>
      <c r="L296" s="219"/>
    </row>
    <row r="297" spans="6:12" x14ac:dyDescent="0.25">
      <c r="F297" s="219"/>
      <c r="G297" s="219"/>
      <c r="H297" s="118"/>
      <c r="I297" s="219"/>
      <c r="J297" s="118"/>
      <c r="K297" s="219"/>
      <c r="L297" s="219"/>
    </row>
    <row r="298" spans="6:12" x14ac:dyDescent="0.25">
      <c r="F298" s="219"/>
      <c r="G298" s="219"/>
      <c r="H298" s="118"/>
      <c r="I298" s="219"/>
      <c r="J298" s="118"/>
      <c r="K298" s="219"/>
      <c r="L298" s="219"/>
    </row>
    <row r="299" spans="6:12" x14ac:dyDescent="0.25">
      <c r="F299" s="219"/>
      <c r="G299" s="219"/>
      <c r="H299" s="118"/>
      <c r="I299" s="219"/>
      <c r="J299" s="118"/>
      <c r="K299" s="219"/>
      <c r="L299" s="219"/>
    </row>
    <row r="300" spans="6:12" x14ac:dyDescent="0.25">
      <c r="F300" s="219"/>
      <c r="G300" s="219"/>
      <c r="H300" s="118"/>
      <c r="I300" s="219"/>
      <c r="J300" s="118"/>
      <c r="K300" s="219"/>
      <c r="L300" s="219"/>
    </row>
    <row r="301" spans="6:12" x14ac:dyDescent="0.25">
      <c r="F301" s="219"/>
      <c r="G301" s="219"/>
      <c r="H301" s="118"/>
      <c r="I301" s="219"/>
      <c r="J301" s="118"/>
      <c r="K301" s="219"/>
      <c r="L301" s="219"/>
    </row>
    <row r="302" spans="6:12" x14ac:dyDescent="0.25">
      <c r="F302" s="219"/>
      <c r="G302" s="219"/>
      <c r="H302" s="118"/>
      <c r="I302" s="219"/>
      <c r="J302" s="118"/>
      <c r="K302" s="219"/>
      <c r="L302" s="219"/>
    </row>
    <row r="303" spans="6:12" x14ac:dyDescent="0.25">
      <c r="F303" s="219"/>
      <c r="G303" s="219"/>
      <c r="H303" s="118"/>
      <c r="I303" s="219"/>
      <c r="J303" s="118"/>
      <c r="K303" s="219"/>
      <c r="L303" s="219"/>
    </row>
    <row r="304" spans="6:12" x14ac:dyDescent="0.25">
      <c r="F304" s="219"/>
      <c r="G304" s="219"/>
      <c r="H304" s="118"/>
      <c r="I304" s="219"/>
      <c r="J304" s="118"/>
      <c r="K304" s="219"/>
      <c r="L304" s="219"/>
    </row>
    <row r="305" spans="6:12" x14ac:dyDescent="0.25">
      <c r="F305" s="219"/>
      <c r="G305" s="219"/>
      <c r="H305" s="118"/>
      <c r="I305" s="219"/>
      <c r="J305" s="118"/>
      <c r="K305" s="219"/>
      <c r="L305" s="219"/>
    </row>
    <row r="306" spans="6:12" x14ac:dyDescent="0.25">
      <c r="F306" s="219"/>
      <c r="G306" s="219"/>
      <c r="H306" s="118"/>
      <c r="I306" s="219"/>
      <c r="J306" s="118"/>
      <c r="K306" s="219"/>
      <c r="L306" s="219"/>
    </row>
    <row r="307" spans="6:12" x14ac:dyDescent="0.25">
      <c r="F307" s="219"/>
      <c r="G307" s="219"/>
      <c r="H307" s="118"/>
      <c r="I307" s="219"/>
      <c r="J307" s="118"/>
      <c r="K307" s="219"/>
      <c r="L307" s="219"/>
    </row>
    <row r="308" spans="6:12" x14ac:dyDescent="0.25">
      <c r="F308" s="219"/>
      <c r="G308" s="219"/>
      <c r="H308" s="118"/>
      <c r="I308" s="219"/>
      <c r="J308" s="118"/>
      <c r="K308" s="219"/>
      <c r="L308" s="219"/>
    </row>
    <row r="309" spans="6:12" x14ac:dyDescent="0.25">
      <c r="F309" s="219"/>
      <c r="G309" s="219"/>
      <c r="H309" s="118"/>
      <c r="I309" s="219"/>
      <c r="J309" s="118"/>
      <c r="K309" s="219"/>
      <c r="L309" s="219"/>
    </row>
    <row r="310" spans="6:12" x14ac:dyDescent="0.25">
      <c r="F310" s="219"/>
      <c r="G310" s="219"/>
      <c r="H310" s="118"/>
      <c r="I310" s="219"/>
      <c r="J310" s="118"/>
      <c r="K310" s="219"/>
      <c r="L310" s="219"/>
    </row>
    <row r="311" spans="6:12" x14ac:dyDescent="0.25">
      <c r="F311" s="219"/>
      <c r="G311" s="219"/>
      <c r="H311" s="118"/>
      <c r="I311" s="219"/>
      <c r="J311" s="118"/>
      <c r="K311" s="219"/>
      <c r="L311" s="219"/>
    </row>
    <row r="312" spans="6:12" x14ac:dyDescent="0.25">
      <c r="F312" s="219"/>
      <c r="G312" s="219"/>
      <c r="H312" s="118"/>
      <c r="I312" s="219"/>
      <c r="J312" s="118"/>
      <c r="K312" s="219"/>
      <c r="L312" s="219"/>
    </row>
    <row r="313" spans="6:12" x14ac:dyDescent="0.25">
      <c r="F313" s="219"/>
      <c r="G313" s="219"/>
      <c r="H313" s="118"/>
      <c r="I313" s="219"/>
      <c r="J313" s="118"/>
      <c r="K313" s="219"/>
      <c r="L313" s="219"/>
    </row>
    <row r="314" spans="6:12" x14ac:dyDescent="0.25">
      <c r="F314" s="219"/>
      <c r="G314" s="219"/>
      <c r="H314" s="118"/>
      <c r="I314" s="219"/>
      <c r="J314" s="118"/>
      <c r="K314" s="219"/>
      <c r="L314" s="219"/>
    </row>
    <row r="315" spans="6:12" x14ac:dyDescent="0.25">
      <c r="F315" s="219"/>
      <c r="G315" s="219"/>
      <c r="H315" s="118"/>
      <c r="I315" s="219"/>
      <c r="J315" s="118"/>
      <c r="K315" s="219"/>
      <c r="L315" s="219"/>
    </row>
    <row r="316" spans="6:12" x14ac:dyDescent="0.25">
      <c r="F316" s="219"/>
      <c r="G316" s="219"/>
      <c r="H316" s="118"/>
      <c r="I316" s="219"/>
      <c r="J316" s="118"/>
      <c r="K316" s="219"/>
      <c r="L316" s="219"/>
    </row>
    <row r="317" spans="6:12" x14ac:dyDescent="0.25">
      <c r="F317" s="219"/>
      <c r="G317" s="219"/>
      <c r="H317" s="118"/>
      <c r="I317" s="219"/>
      <c r="J317" s="118"/>
      <c r="K317" s="219"/>
      <c r="L317" s="219"/>
    </row>
    <row r="318" spans="6:12" x14ac:dyDescent="0.25">
      <c r="F318" s="219"/>
      <c r="G318" s="219"/>
      <c r="H318" s="118"/>
      <c r="I318" s="219"/>
      <c r="J318" s="118"/>
      <c r="K318" s="219"/>
      <c r="L318" s="219"/>
    </row>
    <row r="319" spans="6:12" x14ac:dyDescent="0.25">
      <c r="F319" s="219"/>
      <c r="G319" s="219"/>
      <c r="H319" s="118"/>
      <c r="I319" s="219"/>
      <c r="J319" s="118"/>
      <c r="K319" s="219"/>
      <c r="L319" s="219"/>
    </row>
    <row r="320" spans="6:12" x14ac:dyDescent="0.25">
      <c r="F320" s="219"/>
      <c r="G320" s="219"/>
      <c r="H320" s="118"/>
      <c r="I320" s="219"/>
      <c r="J320" s="118"/>
      <c r="K320" s="219"/>
      <c r="L320" s="219"/>
    </row>
    <row r="321" spans="6:12" x14ac:dyDescent="0.25">
      <c r="F321" s="219"/>
      <c r="G321" s="219"/>
      <c r="H321" s="118"/>
      <c r="I321" s="219"/>
      <c r="J321" s="118"/>
      <c r="K321" s="219"/>
      <c r="L321" s="219"/>
    </row>
    <row r="322" spans="6:12" x14ac:dyDescent="0.25">
      <c r="F322" s="219"/>
      <c r="G322" s="219"/>
      <c r="H322" s="118"/>
      <c r="I322" s="219"/>
      <c r="J322" s="118"/>
      <c r="K322" s="219"/>
      <c r="L322" s="219"/>
    </row>
    <row r="323" spans="6:12" x14ac:dyDescent="0.25">
      <c r="F323" s="219"/>
      <c r="G323" s="219"/>
      <c r="H323" s="118"/>
      <c r="I323" s="219"/>
      <c r="J323" s="118"/>
      <c r="K323" s="219"/>
      <c r="L323" s="219"/>
    </row>
    <row r="324" spans="6:12" x14ac:dyDescent="0.25">
      <c r="F324" s="219"/>
      <c r="G324" s="219"/>
      <c r="H324" s="118"/>
      <c r="I324" s="219"/>
      <c r="J324" s="118"/>
      <c r="K324" s="219"/>
      <c r="L324" s="219"/>
    </row>
    <row r="325" spans="6:12" x14ac:dyDescent="0.25">
      <c r="F325" s="219"/>
      <c r="G325" s="219"/>
      <c r="H325" s="118"/>
      <c r="I325" s="219"/>
      <c r="J325" s="118"/>
      <c r="K325" s="219"/>
      <c r="L325" s="219"/>
    </row>
    <row r="326" spans="6:12" x14ac:dyDescent="0.25">
      <c r="F326" s="219"/>
      <c r="G326" s="219"/>
      <c r="H326" s="118"/>
      <c r="I326" s="219"/>
      <c r="J326" s="118"/>
      <c r="K326" s="219"/>
      <c r="L326" s="219"/>
    </row>
    <row r="327" spans="6:12" x14ac:dyDescent="0.25">
      <c r="F327" s="219"/>
      <c r="G327" s="219"/>
      <c r="H327" s="118"/>
      <c r="I327" s="219"/>
      <c r="J327" s="118"/>
      <c r="K327" s="219"/>
      <c r="L327" s="219"/>
    </row>
    <row r="328" spans="6:12" x14ac:dyDescent="0.25">
      <c r="F328" s="219"/>
      <c r="G328" s="219"/>
      <c r="H328" s="118"/>
      <c r="I328" s="219"/>
      <c r="J328" s="118"/>
      <c r="K328" s="219"/>
      <c r="L328" s="219"/>
    </row>
    <row r="329" spans="6:12" x14ac:dyDescent="0.25">
      <c r="F329" s="219"/>
      <c r="G329" s="219"/>
      <c r="H329" s="118"/>
      <c r="I329" s="219"/>
      <c r="J329" s="118"/>
      <c r="K329" s="219"/>
      <c r="L329" s="219"/>
    </row>
    <row r="330" spans="6:12" x14ac:dyDescent="0.25">
      <c r="F330" s="219"/>
      <c r="G330" s="219"/>
      <c r="H330" s="118"/>
      <c r="I330" s="219"/>
      <c r="J330" s="118"/>
      <c r="K330" s="219"/>
      <c r="L330" s="219"/>
    </row>
    <row r="331" spans="6:12" x14ac:dyDescent="0.25">
      <c r="F331" s="219"/>
      <c r="G331" s="219"/>
      <c r="H331" s="118"/>
      <c r="I331" s="219"/>
      <c r="J331" s="118"/>
      <c r="K331" s="219"/>
      <c r="L331" s="219"/>
    </row>
    <row r="332" spans="6:12" x14ac:dyDescent="0.25">
      <c r="F332" s="219"/>
      <c r="G332" s="219"/>
      <c r="H332" s="118"/>
      <c r="I332" s="219"/>
      <c r="J332" s="118"/>
      <c r="K332" s="219"/>
      <c r="L332" s="219"/>
    </row>
    <row r="333" spans="6:12" x14ac:dyDescent="0.25">
      <c r="F333" s="219"/>
      <c r="G333" s="219"/>
      <c r="H333" s="118"/>
      <c r="I333" s="219"/>
      <c r="J333" s="118"/>
      <c r="K333" s="219"/>
      <c r="L333" s="219"/>
    </row>
    <row r="334" spans="6:12" x14ac:dyDescent="0.25">
      <c r="F334" s="219"/>
      <c r="G334" s="219"/>
      <c r="H334" s="118"/>
      <c r="I334" s="219"/>
      <c r="J334" s="118"/>
      <c r="K334" s="219"/>
      <c r="L334" s="219"/>
    </row>
    <row r="335" spans="6:12" x14ac:dyDescent="0.25">
      <c r="F335" s="219"/>
      <c r="G335" s="219"/>
      <c r="H335" s="118"/>
      <c r="I335" s="219"/>
      <c r="J335" s="118"/>
      <c r="K335" s="219"/>
      <c r="L335" s="219"/>
    </row>
    <row r="336" spans="6:12" x14ac:dyDescent="0.25">
      <c r="F336" s="219"/>
      <c r="G336" s="219"/>
      <c r="H336" s="118"/>
      <c r="I336" s="219"/>
      <c r="J336" s="118"/>
      <c r="K336" s="219"/>
      <c r="L336" s="219"/>
    </row>
    <row r="337" spans="6:12" x14ac:dyDescent="0.25">
      <c r="F337" s="219"/>
      <c r="G337" s="219"/>
      <c r="H337" s="118"/>
      <c r="I337" s="219"/>
      <c r="J337" s="118"/>
      <c r="K337" s="219"/>
      <c r="L337" s="219"/>
    </row>
    <row r="338" spans="6:12" x14ac:dyDescent="0.25">
      <c r="F338" s="219"/>
      <c r="G338" s="219"/>
      <c r="H338" s="118"/>
      <c r="I338" s="219"/>
      <c r="J338" s="118"/>
      <c r="K338" s="219"/>
      <c r="L338" s="219"/>
    </row>
    <row r="339" spans="6:12" x14ac:dyDescent="0.25">
      <c r="F339" s="219"/>
      <c r="G339" s="219"/>
      <c r="H339" s="118"/>
      <c r="I339" s="219"/>
      <c r="J339" s="118"/>
      <c r="K339" s="219"/>
      <c r="L339" s="219"/>
    </row>
    <row r="340" spans="6:12" x14ac:dyDescent="0.25">
      <c r="F340" s="219"/>
      <c r="G340" s="219"/>
      <c r="H340" s="118"/>
      <c r="I340" s="219"/>
      <c r="J340" s="118"/>
      <c r="K340" s="219"/>
      <c r="L340" s="219"/>
    </row>
    <row r="341" spans="6:12" x14ac:dyDescent="0.25">
      <c r="F341" s="219"/>
      <c r="G341" s="219"/>
      <c r="H341" s="118"/>
      <c r="I341" s="219"/>
      <c r="J341" s="118"/>
      <c r="K341" s="219"/>
      <c r="L341" s="219"/>
    </row>
    <row r="342" spans="6:12" x14ac:dyDescent="0.25">
      <c r="F342" s="219"/>
      <c r="G342" s="219"/>
      <c r="H342" s="118"/>
      <c r="I342" s="219"/>
      <c r="J342" s="118"/>
      <c r="K342" s="219"/>
      <c r="L342" s="219"/>
    </row>
    <row r="343" spans="6:12" x14ac:dyDescent="0.25">
      <c r="F343" s="219"/>
      <c r="G343" s="219"/>
      <c r="H343" s="118"/>
      <c r="I343" s="219"/>
      <c r="J343" s="118"/>
      <c r="K343" s="219"/>
      <c r="L343" s="219"/>
    </row>
    <row r="344" spans="6:12" x14ac:dyDescent="0.25">
      <c r="F344" s="219"/>
      <c r="G344" s="219"/>
      <c r="H344" s="118"/>
      <c r="I344" s="219"/>
      <c r="J344" s="118"/>
      <c r="K344" s="219"/>
      <c r="L344" s="219"/>
    </row>
    <row r="345" spans="6:12" x14ac:dyDescent="0.25">
      <c r="F345" s="219"/>
      <c r="G345" s="219"/>
      <c r="H345" s="118"/>
      <c r="I345" s="219"/>
      <c r="J345" s="118"/>
      <c r="K345" s="219"/>
      <c r="L345" s="219"/>
    </row>
    <row r="346" spans="6:12" x14ac:dyDescent="0.25">
      <c r="F346" s="219"/>
      <c r="G346" s="219"/>
      <c r="H346" s="118"/>
      <c r="I346" s="219"/>
      <c r="J346" s="118"/>
      <c r="K346" s="219"/>
      <c r="L346" s="219"/>
    </row>
    <row r="347" spans="6:12" x14ac:dyDescent="0.25">
      <c r="F347" s="219"/>
      <c r="G347" s="219"/>
      <c r="H347" s="118"/>
      <c r="I347" s="219"/>
      <c r="J347" s="118"/>
      <c r="K347" s="219"/>
      <c r="L347" s="219"/>
    </row>
    <row r="348" spans="6:12" x14ac:dyDescent="0.25">
      <c r="F348" s="219"/>
      <c r="G348" s="219"/>
      <c r="H348" s="118"/>
      <c r="I348" s="219"/>
      <c r="J348" s="118"/>
      <c r="K348" s="219"/>
      <c r="L348" s="219"/>
    </row>
    <row r="349" spans="6:12" x14ac:dyDescent="0.25">
      <c r="F349" s="219"/>
      <c r="G349" s="219"/>
      <c r="H349" s="118"/>
      <c r="I349" s="219"/>
      <c r="J349" s="118"/>
      <c r="K349" s="219"/>
      <c r="L349" s="219"/>
    </row>
    <row r="350" spans="6:12" x14ac:dyDescent="0.25">
      <c r="F350" s="219"/>
      <c r="G350" s="219"/>
      <c r="H350" s="118"/>
      <c r="I350" s="219"/>
      <c r="J350" s="118"/>
      <c r="K350" s="219"/>
      <c r="L350" s="219"/>
    </row>
    <row r="351" spans="6:12" x14ac:dyDescent="0.25">
      <c r="F351" s="219"/>
      <c r="G351" s="219"/>
      <c r="H351" s="118"/>
      <c r="I351" s="219"/>
      <c r="J351" s="118"/>
      <c r="K351" s="219"/>
      <c r="L351" s="219"/>
    </row>
    <row r="352" spans="6:12" x14ac:dyDescent="0.25">
      <c r="F352" s="219"/>
      <c r="G352" s="219"/>
      <c r="H352" s="118"/>
      <c r="I352" s="219"/>
      <c r="J352" s="118"/>
      <c r="K352" s="219"/>
      <c r="L352" s="219"/>
    </row>
    <row r="353" spans="6:12" x14ac:dyDescent="0.25">
      <c r="F353" s="219"/>
      <c r="G353" s="219"/>
      <c r="H353" s="118"/>
      <c r="I353" s="219"/>
      <c r="J353" s="118"/>
      <c r="K353" s="219"/>
      <c r="L353" s="219"/>
    </row>
    <row r="354" spans="6:12" x14ac:dyDescent="0.25">
      <c r="F354" s="219"/>
      <c r="G354" s="219"/>
      <c r="H354" s="118"/>
      <c r="I354" s="219"/>
      <c r="J354" s="118"/>
      <c r="K354" s="219"/>
      <c r="L354" s="219"/>
    </row>
    <row r="355" spans="6:12" x14ac:dyDescent="0.25">
      <c r="F355" s="219"/>
      <c r="G355" s="219"/>
      <c r="H355" s="118"/>
      <c r="I355" s="219"/>
      <c r="J355" s="118"/>
      <c r="K355" s="219"/>
      <c r="L355" s="219"/>
    </row>
    <row r="356" spans="6:12" x14ac:dyDescent="0.25">
      <c r="F356" s="219"/>
      <c r="G356" s="219"/>
      <c r="H356" s="118"/>
      <c r="I356" s="219"/>
      <c r="J356" s="118"/>
      <c r="K356" s="219"/>
      <c r="L356" s="219"/>
    </row>
    <row r="357" spans="6:12" x14ac:dyDescent="0.25">
      <c r="F357" s="219"/>
      <c r="G357" s="219"/>
      <c r="H357" s="118"/>
      <c r="I357" s="219"/>
      <c r="J357" s="118"/>
      <c r="K357" s="219"/>
      <c r="L357" s="219"/>
    </row>
    <row r="358" spans="6:12" x14ac:dyDescent="0.25">
      <c r="F358" s="219"/>
      <c r="G358" s="219"/>
      <c r="H358" s="118"/>
      <c r="I358" s="219"/>
      <c r="J358" s="118"/>
      <c r="K358" s="219"/>
      <c r="L358" s="219"/>
    </row>
    <row r="359" spans="6:12" x14ac:dyDescent="0.25">
      <c r="F359" s="219"/>
      <c r="G359" s="219"/>
      <c r="H359" s="118"/>
      <c r="I359" s="219"/>
      <c r="J359" s="118"/>
      <c r="K359" s="219"/>
      <c r="L359" s="219"/>
    </row>
    <row r="360" spans="6:12" x14ac:dyDescent="0.25">
      <c r="F360" s="219"/>
      <c r="G360" s="219"/>
      <c r="H360" s="118"/>
      <c r="I360" s="219"/>
      <c r="J360" s="118"/>
      <c r="K360" s="219"/>
      <c r="L360" s="219"/>
    </row>
    <row r="361" spans="6:12" x14ac:dyDescent="0.25">
      <c r="F361" s="219"/>
      <c r="G361" s="219"/>
      <c r="H361" s="118"/>
      <c r="I361" s="219"/>
      <c r="J361" s="118"/>
      <c r="K361" s="219"/>
      <c r="L361" s="219"/>
    </row>
    <row r="362" spans="6:12" x14ac:dyDescent="0.25">
      <c r="F362" s="219"/>
      <c r="G362" s="219"/>
      <c r="H362" s="118"/>
      <c r="I362" s="219"/>
      <c r="J362" s="118"/>
      <c r="K362" s="219"/>
      <c r="L362" s="219"/>
    </row>
    <row r="363" spans="6:12" x14ac:dyDescent="0.25">
      <c r="F363" s="219"/>
      <c r="G363" s="219"/>
      <c r="H363" s="118"/>
      <c r="I363" s="219"/>
      <c r="J363" s="118"/>
      <c r="K363" s="219"/>
      <c r="L363" s="219"/>
    </row>
    <row r="364" spans="6:12" x14ac:dyDescent="0.25">
      <c r="F364" s="219"/>
      <c r="G364" s="219"/>
      <c r="H364" s="118"/>
      <c r="I364" s="219"/>
      <c r="J364" s="118"/>
      <c r="K364" s="219"/>
      <c r="L364" s="219"/>
    </row>
    <row r="365" spans="6:12" x14ac:dyDescent="0.25">
      <c r="F365" s="219"/>
      <c r="G365" s="219"/>
      <c r="H365" s="118"/>
      <c r="I365" s="219"/>
      <c r="J365" s="118"/>
      <c r="K365" s="219"/>
      <c r="L365" s="219"/>
    </row>
    <row r="366" spans="6:12" x14ac:dyDescent="0.25">
      <c r="F366" s="219"/>
      <c r="G366" s="219"/>
      <c r="H366" s="118"/>
      <c r="I366" s="219"/>
      <c r="J366" s="118"/>
      <c r="K366" s="219"/>
      <c r="L366" s="219"/>
    </row>
    <row r="367" spans="6:12" x14ac:dyDescent="0.25">
      <c r="F367" s="219"/>
      <c r="G367" s="219"/>
      <c r="H367" s="118"/>
      <c r="I367" s="219"/>
      <c r="J367" s="118"/>
      <c r="K367" s="219"/>
      <c r="L367" s="219"/>
    </row>
    <row r="368" spans="6:12" x14ac:dyDescent="0.25">
      <c r="F368" s="219"/>
      <c r="G368" s="219"/>
      <c r="H368" s="118"/>
      <c r="I368" s="219"/>
      <c r="J368" s="118"/>
      <c r="K368" s="219"/>
      <c r="L368" s="219"/>
    </row>
    <row r="369" spans="6:12" x14ac:dyDescent="0.25">
      <c r="F369" s="219"/>
      <c r="G369" s="219"/>
      <c r="H369" s="118"/>
      <c r="I369" s="219"/>
      <c r="J369" s="118"/>
      <c r="K369" s="219"/>
      <c r="L369" s="219"/>
    </row>
    <row r="370" spans="6:12" x14ac:dyDescent="0.25">
      <c r="F370" s="219"/>
      <c r="G370" s="219"/>
      <c r="H370" s="118"/>
      <c r="I370" s="219"/>
      <c r="J370" s="118"/>
      <c r="K370" s="219"/>
      <c r="L370" s="219"/>
    </row>
    <row r="371" spans="6:12" x14ac:dyDescent="0.25">
      <c r="F371" s="219"/>
      <c r="G371" s="219"/>
      <c r="H371" s="118"/>
      <c r="I371" s="219"/>
      <c r="J371" s="118"/>
      <c r="K371" s="219"/>
      <c r="L371" s="219"/>
    </row>
    <row r="372" spans="6:12" x14ac:dyDescent="0.25">
      <c r="F372" s="219"/>
      <c r="G372" s="219"/>
      <c r="H372" s="118"/>
      <c r="I372" s="219"/>
      <c r="J372" s="118"/>
      <c r="K372" s="219"/>
      <c r="L372" s="219"/>
    </row>
    <row r="373" spans="6:12" x14ac:dyDescent="0.25">
      <c r="F373" s="219"/>
      <c r="G373" s="219"/>
      <c r="H373" s="118"/>
      <c r="I373" s="219"/>
      <c r="J373" s="118"/>
      <c r="K373" s="219"/>
      <c r="L373" s="219"/>
    </row>
    <row r="374" spans="6:12" x14ac:dyDescent="0.25">
      <c r="F374" s="219"/>
      <c r="G374" s="219"/>
      <c r="H374" s="118"/>
      <c r="I374" s="219"/>
      <c r="J374" s="118"/>
      <c r="K374" s="219"/>
      <c r="L374" s="219"/>
    </row>
    <row r="375" spans="6:12" x14ac:dyDescent="0.25">
      <c r="F375" s="219"/>
      <c r="G375" s="219"/>
      <c r="H375" s="118"/>
      <c r="I375" s="219"/>
      <c r="J375" s="118"/>
      <c r="K375" s="219"/>
      <c r="L375" s="219"/>
    </row>
    <row r="376" spans="6:12" x14ac:dyDescent="0.25">
      <c r="F376" s="219"/>
      <c r="G376" s="219"/>
      <c r="H376" s="118"/>
      <c r="I376" s="219"/>
      <c r="J376" s="118"/>
      <c r="K376" s="219"/>
      <c r="L376" s="219"/>
    </row>
    <row r="377" spans="6:12" x14ac:dyDescent="0.25">
      <c r="F377" s="219"/>
      <c r="G377" s="219"/>
      <c r="H377" s="118"/>
      <c r="I377" s="219"/>
      <c r="J377" s="118"/>
      <c r="K377" s="219"/>
      <c r="L377" s="219"/>
    </row>
    <row r="378" spans="6:12" x14ac:dyDescent="0.25">
      <c r="F378" s="219"/>
      <c r="G378" s="219"/>
      <c r="H378" s="118"/>
      <c r="I378" s="219"/>
      <c r="J378" s="118"/>
      <c r="K378" s="219"/>
      <c r="L378" s="219"/>
    </row>
    <row r="379" spans="6:12" x14ac:dyDescent="0.25">
      <c r="F379" s="219"/>
      <c r="G379" s="219"/>
      <c r="H379" s="118"/>
      <c r="I379" s="219"/>
      <c r="J379" s="118"/>
      <c r="K379" s="219"/>
      <c r="L379" s="219"/>
    </row>
    <row r="380" spans="6:12" x14ac:dyDescent="0.25">
      <c r="F380" s="219"/>
      <c r="G380" s="219"/>
      <c r="H380" s="118"/>
      <c r="I380" s="219"/>
      <c r="J380" s="118"/>
      <c r="K380" s="219"/>
      <c r="L380" s="219"/>
    </row>
    <row r="381" spans="6:12" x14ac:dyDescent="0.25">
      <c r="F381" s="219"/>
      <c r="G381" s="219"/>
      <c r="H381" s="118"/>
      <c r="I381" s="219"/>
      <c r="J381" s="118"/>
      <c r="K381" s="219"/>
      <c r="L381" s="219"/>
    </row>
    <row r="382" spans="6:12" x14ac:dyDescent="0.25">
      <c r="F382" s="219"/>
      <c r="G382" s="219"/>
      <c r="H382" s="118"/>
      <c r="I382" s="219"/>
      <c r="J382" s="118"/>
      <c r="K382" s="219"/>
      <c r="L382" s="219"/>
    </row>
    <row r="383" spans="6:12" x14ac:dyDescent="0.25">
      <c r="F383" s="219"/>
      <c r="G383" s="219"/>
      <c r="H383" s="118"/>
      <c r="I383" s="219"/>
      <c r="J383" s="118"/>
      <c r="K383" s="219"/>
      <c r="L383" s="219"/>
    </row>
    <row r="384" spans="6:12" x14ac:dyDescent="0.25">
      <c r="F384" s="219"/>
      <c r="G384" s="219"/>
      <c r="H384" s="118"/>
      <c r="I384" s="219"/>
      <c r="J384" s="118"/>
      <c r="K384" s="219"/>
      <c r="L384" s="219"/>
    </row>
    <row r="385" spans="6:12" x14ac:dyDescent="0.25">
      <c r="F385" s="219"/>
      <c r="G385" s="219"/>
      <c r="H385" s="118"/>
      <c r="I385" s="219"/>
      <c r="J385" s="118"/>
      <c r="K385" s="219"/>
      <c r="L385" s="219"/>
    </row>
    <row r="386" spans="6:12" x14ac:dyDescent="0.25">
      <c r="F386" s="219"/>
      <c r="G386" s="219"/>
      <c r="H386" s="118"/>
      <c r="I386" s="219"/>
      <c r="J386" s="118"/>
      <c r="K386" s="219"/>
      <c r="L386" s="219"/>
    </row>
    <row r="387" spans="6:12" x14ac:dyDescent="0.25">
      <c r="F387" s="219"/>
      <c r="G387" s="219"/>
      <c r="H387" s="118"/>
      <c r="I387" s="219"/>
      <c r="J387" s="118"/>
      <c r="K387" s="219"/>
      <c r="L387" s="219"/>
    </row>
    <row r="388" spans="6:12" x14ac:dyDescent="0.25">
      <c r="F388" s="219"/>
      <c r="G388" s="219"/>
      <c r="H388" s="118"/>
      <c r="I388" s="219"/>
      <c r="J388" s="118"/>
      <c r="K388" s="219"/>
      <c r="L388" s="219"/>
    </row>
    <row r="389" spans="6:12" x14ac:dyDescent="0.25">
      <c r="F389" s="219"/>
      <c r="G389" s="219"/>
      <c r="H389" s="118"/>
      <c r="I389" s="219"/>
      <c r="J389" s="118"/>
      <c r="K389" s="219"/>
      <c r="L389" s="219"/>
    </row>
    <row r="390" spans="6:12" x14ac:dyDescent="0.25">
      <c r="F390" s="219"/>
      <c r="G390" s="219"/>
      <c r="H390" s="118"/>
      <c r="I390" s="219"/>
      <c r="J390" s="118"/>
      <c r="K390" s="219"/>
      <c r="L390" s="219"/>
    </row>
    <row r="391" spans="6:12" x14ac:dyDescent="0.25">
      <c r="F391" s="219"/>
      <c r="G391" s="219"/>
      <c r="H391" s="118"/>
      <c r="I391" s="219"/>
      <c r="J391" s="118"/>
      <c r="K391" s="219"/>
      <c r="L391" s="219"/>
    </row>
    <row r="392" spans="6:12" x14ac:dyDescent="0.25">
      <c r="F392" s="219"/>
      <c r="G392" s="219"/>
      <c r="H392" s="118"/>
      <c r="I392" s="219"/>
      <c r="J392" s="118"/>
      <c r="K392" s="219"/>
      <c r="L392" s="219"/>
    </row>
    <row r="393" spans="6:12" x14ac:dyDescent="0.25">
      <c r="F393" s="219"/>
      <c r="G393" s="219"/>
      <c r="H393" s="118"/>
      <c r="I393" s="219"/>
      <c r="J393" s="118"/>
      <c r="K393" s="219"/>
      <c r="L393" s="219"/>
    </row>
    <row r="394" spans="6:12" x14ac:dyDescent="0.25">
      <c r="F394" s="219"/>
      <c r="G394" s="219"/>
      <c r="H394" s="118"/>
      <c r="I394" s="219"/>
      <c r="J394" s="118"/>
      <c r="K394" s="219"/>
      <c r="L394" s="219"/>
    </row>
    <row r="395" spans="6:12" x14ac:dyDescent="0.25">
      <c r="F395" s="219"/>
      <c r="G395" s="219"/>
      <c r="H395" s="118"/>
      <c r="I395" s="219"/>
      <c r="J395" s="118"/>
      <c r="K395" s="219"/>
      <c r="L395" s="219"/>
    </row>
    <row r="396" spans="6:12" x14ac:dyDescent="0.25">
      <c r="F396" s="219"/>
      <c r="G396" s="219"/>
      <c r="H396" s="118"/>
      <c r="I396" s="219"/>
      <c r="J396" s="118"/>
      <c r="K396" s="219"/>
      <c r="L396" s="219"/>
    </row>
    <row r="397" spans="6:12" x14ac:dyDescent="0.25">
      <c r="F397" s="219"/>
      <c r="G397" s="219"/>
      <c r="H397" s="118"/>
      <c r="I397" s="219"/>
      <c r="J397" s="118"/>
      <c r="K397" s="219"/>
      <c r="L397" s="219"/>
    </row>
    <row r="398" spans="6:12" x14ac:dyDescent="0.25">
      <c r="F398" s="219"/>
      <c r="G398" s="219"/>
      <c r="H398" s="118"/>
      <c r="I398" s="219"/>
      <c r="J398" s="118"/>
      <c r="K398" s="219"/>
      <c r="L398" s="219"/>
    </row>
    <row r="399" spans="6:12" x14ac:dyDescent="0.25">
      <c r="F399" s="219"/>
      <c r="G399" s="219"/>
      <c r="H399" s="118"/>
      <c r="I399" s="219"/>
      <c r="J399" s="118"/>
      <c r="K399" s="219"/>
      <c r="L399" s="219"/>
    </row>
    <row r="400" spans="6:12" x14ac:dyDescent="0.25">
      <c r="F400" s="219"/>
      <c r="G400" s="219"/>
      <c r="H400" s="118"/>
      <c r="I400" s="219"/>
      <c r="J400" s="118"/>
      <c r="K400" s="219"/>
      <c r="L400" s="219"/>
    </row>
    <row r="401" spans="3:12" x14ac:dyDescent="0.25">
      <c r="F401" s="219"/>
      <c r="G401" s="219"/>
      <c r="H401" s="118"/>
      <c r="I401" s="219"/>
      <c r="J401" s="118"/>
      <c r="K401" s="219"/>
      <c r="L401" s="219"/>
    </row>
    <row r="402" spans="3:12" x14ac:dyDescent="0.25">
      <c r="F402" s="219"/>
      <c r="G402" s="219"/>
      <c r="H402" s="118"/>
      <c r="I402" s="219"/>
      <c r="J402" s="118"/>
      <c r="K402" s="219"/>
      <c r="L402" s="219"/>
    </row>
    <row r="403" spans="3:12" x14ac:dyDescent="0.25">
      <c r="C403" s="216"/>
      <c r="F403" s="219"/>
      <c r="G403" s="219"/>
      <c r="H403" s="118"/>
      <c r="I403" s="219"/>
      <c r="J403" s="118"/>
      <c r="K403" s="219"/>
      <c r="L403" s="219"/>
    </row>
    <row r="404" spans="3:12" x14ac:dyDescent="0.25">
      <c r="C404" s="216"/>
      <c r="F404" s="219"/>
      <c r="G404" s="219"/>
      <c r="H404" s="118"/>
      <c r="I404" s="219"/>
      <c r="J404" s="118"/>
      <c r="K404" s="219"/>
      <c r="L404" s="219"/>
    </row>
    <row r="405" spans="3:12" x14ac:dyDescent="0.25">
      <c r="C405" s="216"/>
      <c r="F405" s="219"/>
      <c r="G405" s="219"/>
      <c r="H405" s="118"/>
      <c r="I405" s="219"/>
      <c r="J405" s="118"/>
      <c r="K405" s="219"/>
      <c r="L405" s="219"/>
    </row>
    <row r="406" spans="3:12" x14ac:dyDescent="0.25">
      <c r="C406" s="216"/>
      <c r="F406" s="219"/>
      <c r="G406" s="219"/>
      <c r="H406" s="118"/>
      <c r="I406" s="219"/>
      <c r="J406" s="118"/>
      <c r="K406" s="219"/>
      <c r="L406" s="219"/>
    </row>
    <row r="407" spans="3:12" x14ac:dyDescent="0.25">
      <c r="C407" s="216"/>
      <c r="F407" s="219"/>
      <c r="G407" s="219"/>
      <c r="H407" s="118"/>
      <c r="I407" s="219"/>
      <c r="J407" s="118"/>
      <c r="K407" s="219"/>
      <c r="L407" s="219"/>
    </row>
    <row r="408" spans="3:12" x14ac:dyDescent="0.25">
      <c r="C408" s="216"/>
      <c r="F408" s="219"/>
      <c r="G408" s="219"/>
      <c r="H408" s="118"/>
      <c r="I408" s="219"/>
      <c r="J408" s="118"/>
      <c r="K408" s="219"/>
      <c r="L408" s="219"/>
    </row>
    <row r="409" spans="3:12" x14ac:dyDescent="0.25">
      <c r="C409" s="216"/>
      <c r="F409" s="219"/>
      <c r="G409" s="219"/>
      <c r="H409" s="118"/>
      <c r="I409" s="219"/>
      <c r="J409" s="118"/>
      <c r="K409" s="219"/>
      <c r="L409" s="219"/>
    </row>
    <row r="410" spans="3:12" x14ac:dyDescent="0.25">
      <c r="C410" s="216"/>
      <c r="F410" s="219"/>
      <c r="G410" s="219"/>
      <c r="H410" s="118"/>
      <c r="I410" s="219"/>
      <c r="J410" s="118"/>
      <c r="K410" s="219"/>
      <c r="L410" s="219"/>
    </row>
    <row r="411" spans="3:12" x14ac:dyDescent="0.25">
      <c r="F411" s="219"/>
      <c r="G411" s="219"/>
      <c r="H411" s="118"/>
      <c r="I411" s="219"/>
      <c r="J411" s="118"/>
      <c r="K411" s="219"/>
      <c r="L411" s="219"/>
    </row>
    <row r="412" spans="3:12" x14ac:dyDescent="0.25">
      <c r="F412" s="219"/>
      <c r="G412" s="219"/>
      <c r="H412" s="118"/>
      <c r="I412" s="219"/>
      <c r="J412" s="118"/>
      <c r="K412" s="219"/>
      <c r="L412" s="219"/>
    </row>
    <row r="413" spans="3:12" x14ac:dyDescent="0.25">
      <c r="F413" s="219"/>
      <c r="G413" s="219"/>
      <c r="H413" s="118"/>
      <c r="I413" s="219"/>
      <c r="J413" s="118"/>
      <c r="K413" s="219"/>
      <c r="L413" s="219"/>
    </row>
    <row r="414" spans="3:12" x14ac:dyDescent="0.25">
      <c r="F414" s="219"/>
      <c r="G414" s="219"/>
      <c r="H414" s="118"/>
      <c r="I414" s="219"/>
      <c r="J414" s="118"/>
      <c r="K414" s="219"/>
      <c r="L414" s="219"/>
    </row>
    <row r="415" spans="3:12" x14ac:dyDescent="0.25">
      <c r="F415" s="219"/>
      <c r="G415" s="219"/>
      <c r="H415" s="118"/>
      <c r="I415" s="219"/>
      <c r="J415" s="118"/>
      <c r="K415" s="219"/>
      <c r="L415" s="219"/>
    </row>
    <row r="416" spans="3:12" x14ac:dyDescent="0.25">
      <c r="F416" s="219"/>
      <c r="G416" s="219"/>
      <c r="H416" s="118"/>
      <c r="I416" s="219"/>
      <c r="J416" s="118"/>
      <c r="K416" s="219"/>
      <c r="L416" s="219"/>
    </row>
    <row r="417" spans="6:12" x14ac:dyDescent="0.25">
      <c r="F417" s="219"/>
      <c r="G417" s="219"/>
      <c r="H417" s="118"/>
      <c r="I417" s="219"/>
      <c r="J417" s="118"/>
      <c r="K417" s="219"/>
      <c r="L417" s="219"/>
    </row>
    <row r="418" spans="6:12" x14ac:dyDescent="0.25">
      <c r="F418" s="219"/>
      <c r="G418" s="219"/>
      <c r="H418" s="118"/>
      <c r="I418" s="219"/>
      <c r="J418" s="118"/>
      <c r="K418" s="219"/>
      <c r="L418" s="219"/>
    </row>
    <row r="419" spans="6:12" x14ac:dyDescent="0.25">
      <c r="F419" s="219"/>
      <c r="G419" s="219"/>
      <c r="H419" s="118"/>
      <c r="I419" s="219"/>
      <c r="J419" s="118"/>
      <c r="K419" s="219"/>
      <c r="L419" s="219"/>
    </row>
    <row r="420" spans="6:12" x14ac:dyDescent="0.25">
      <c r="F420" s="219"/>
      <c r="G420" s="219"/>
      <c r="H420" s="118"/>
      <c r="I420" s="219"/>
      <c r="J420" s="118"/>
      <c r="K420" s="219"/>
      <c r="L420" s="219"/>
    </row>
    <row r="421" spans="6:12" x14ac:dyDescent="0.25">
      <c r="F421" s="219"/>
      <c r="G421" s="219"/>
      <c r="H421" s="118"/>
      <c r="I421" s="219"/>
      <c r="J421" s="118"/>
      <c r="K421" s="219"/>
      <c r="L421" s="219"/>
    </row>
    <row r="422" spans="6:12" x14ac:dyDescent="0.25">
      <c r="F422" s="219"/>
      <c r="G422" s="219"/>
      <c r="H422" s="118"/>
      <c r="I422" s="219"/>
      <c r="J422" s="118"/>
      <c r="K422" s="219"/>
      <c r="L422" s="219"/>
    </row>
    <row r="423" spans="6:12" x14ac:dyDescent="0.25">
      <c r="F423" s="219"/>
      <c r="G423" s="219"/>
      <c r="H423" s="118"/>
      <c r="I423" s="219"/>
      <c r="J423" s="118"/>
      <c r="K423" s="219"/>
      <c r="L423" s="219"/>
    </row>
    <row r="424" spans="6:12" x14ac:dyDescent="0.25">
      <c r="F424" s="219"/>
      <c r="G424" s="219"/>
      <c r="H424" s="118"/>
      <c r="I424" s="219"/>
      <c r="J424" s="118"/>
      <c r="K424" s="219"/>
      <c r="L424" s="219"/>
    </row>
    <row r="425" spans="6:12" x14ac:dyDescent="0.25">
      <c r="F425" s="219"/>
      <c r="G425" s="219"/>
      <c r="H425" s="118"/>
      <c r="I425" s="219"/>
      <c r="J425" s="118"/>
      <c r="K425" s="219"/>
      <c r="L425" s="219"/>
    </row>
    <row r="426" spans="6:12" x14ac:dyDescent="0.25">
      <c r="F426" s="219"/>
      <c r="G426" s="219"/>
      <c r="H426" s="118"/>
      <c r="I426" s="219"/>
      <c r="J426" s="118"/>
      <c r="K426" s="219"/>
      <c r="L426" s="219"/>
    </row>
    <row r="427" spans="6:12" x14ac:dyDescent="0.25">
      <c r="F427" s="219"/>
      <c r="G427" s="219"/>
      <c r="H427" s="118"/>
      <c r="I427" s="219"/>
      <c r="J427" s="118"/>
      <c r="K427" s="219"/>
      <c r="L427" s="219"/>
    </row>
    <row r="428" spans="6:12" x14ac:dyDescent="0.25">
      <c r="F428" s="219"/>
      <c r="G428" s="219"/>
      <c r="H428" s="118"/>
      <c r="I428" s="219"/>
      <c r="J428" s="118"/>
      <c r="K428" s="219"/>
      <c r="L428" s="219"/>
    </row>
    <row r="429" spans="6:12" x14ac:dyDescent="0.25">
      <c r="F429" s="219"/>
      <c r="G429" s="219"/>
      <c r="H429" s="118"/>
      <c r="I429" s="219"/>
      <c r="J429" s="118"/>
      <c r="K429" s="219"/>
      <c r="L429" s="219"/>
    </row>
    <row r="430" spans="6:12" x14ac:dyDescent="0.25">
      <c r="F430" s="219"/>
      <c r="G430" s="219"/>
      <c r="H430" s="118"/>
      <c r="I430" s="219"/>
      <c r="J430" s="118"/>
      <c r="K430" s="219"/>
      <c r="L430" s="219"/>
    </row>
    <row r="431" spans="6:12" x14ac:dyDescent="0.25">
      <c r="F431" s="219"/>
      <c r="G431" s="219"/>
      <c r="H431" s="118"/>
      <c r="I431" s="219"/>
      <c r="J431" s="118"/>
      <c r="K431" s="219"/>
      <c r="L431" s="219"/>
    </row>
    <row r="432" spans="6:12" x14ac:dyDescent="0.25">
      <c r="F432" s="219"/>
      <c r="G432" s="219"/>
      <c r="H432" s="118"/>
      <c r="I432" s="219"/>
      <c r="J432" s="118"/>
      <c r="K432" s="219"/>
      <c r="L432" s="219"/>
    </row>
    <row r="433" spans="6:12" x14ac:dyDescent="0.25">
      <c r="F433" s="219"/>
      <c r="G433" s="219"/>
      <c r="H433" s="118"/>
      <c r="I433" s="219"/>
      <c r="J433" s="118"/>
      <c r="K433" s="219"/>
      <c r="L433" s="219"/>
    </row>
    <row r="434" spans="6:12" x14ac:dyDescent="0.25">
      <c r="F434" s="219"/>
      <c r="G434" s="219"/>
      <c r="H434" s="118"/>
      <c r="I434" s="219"/>
      <c r="J434" s="118"/>
      <c r="K434" s="219"/>
      <c r="L434" s="219"/>
    </row>
    <row r="435" spans="6:12" x14ac:dyDescent="0.25">
      <c r="F435" s="219"/>
      <c r="G435" s="219"/>
      <c r="H435" s="118"/>
      <c r="I435" s="219"/>
      <c r="J435" s="118"/>
      <c r="K435" s="219"/>
      <c r="L435" s="219"/>
    </row>
    <row r="436" spans="6:12" x14ac:dyDescent="0.25">
      <c r="F436" s="219"/>
      <c r="G436" s="219"/>
      <c r="H436" s="118"/>
      <c r="I436" s="219"/>
      <c r="J436" s="118"/>
      <c r="K436" s="219"/>
      <c r="L436" s="219"/>
    </row>
    <row r="437" spans="6:12" x14ac:dyDescent="0.25">
      <c r="F437" s="219"/>
      <c r="G437" s="219"/>
      <c r="H437" s="118"/>
      <c r="I437" s="219"/>
      <c r="J437" s="118"/>
      <c r="K437" s="219"/>
      <c r="L437" s="219"/>
    </row>
    <row r="438" spans="6:12" x14ac:dyDescent="0.25">
      <c r="F438" s="219"/>
      <c r="G438" s="219"/>
      <c r="H438" s="118"/>
      <c r="I438" s="219"/>
      <c r="J438" s="118"/>
      <c r="K438" s="219"/>
      <c r="L438" s="219"/>
    </row>
    <row r="439" spans="6:12" x14ac:dyDescent="0.25">
      <c r="F439" s="219"/>
      <c r="G439" s="219"/>
      <c r="H439" s="118"/>
      <c r="I439" s="219"/>
      <c r="J439" s="118"/>
      <c r="K439" s="219"/>
      <c r="L439" s="219"/>
    </row>
    <row r="440" spans="6:12" x14ac:dyDescent="0.25">
      <c r="F440" s="219"/>
      <c r="G440" s="219"/>
      <c r="H440" s="118"/>
      <c r="I440" s="219"/>
      <c r="J440" s="118"/>
      <c r="K440" s="219"/>
      <c r="L440" s="219"/>
    </row>
    <row r="441" spans="6:12" x14ac:dyDescent="0.25">
      <c r="F441" s="219"/>
      <c r="G441" s="219"/>
      <c r="H441" s="118"/>
      <c r="I441" s="219"/>
      <c r="J441" s="118"/>
      <c r="K441" s="219"/>
      <c r="L441" s="219"/>
    </row>
    <row r="442" spans="6:12" x14ac:dyDescent="0.25">
      <c r="F442" s="219"/>
      <c r="G442" s="219"/>
      <c r="H442" s="118"/>
      <c r="I442" s="219"/>
      <c r="J442" s="118"/>
      <c r="K442" s="219"/>
      <c r="L442" s="219"/>
    </row>
    <row r="443" spans="6:12" x14ac:dyDescent="0.25">
      <c r="F443" s="219"/>
      <c r="G443" s="219"/>
      <c r="H443" s="118"/>
      <c r="I443" s="219"/>
      <c r="J443" s="118"/>
      <c r="K443" s="219"/>
      <c r="L443" s="219"/>
    </row>
    <row r="444" spans="6:12" x14ac:dyDescent="0.25">
      <c r="F444" s="219"/>
      <c r="G444" s="219"/>
      <c r="H444" s="118"/>
      <c r="I444" s="219"/>
      <c r="J444" s="118"/>
      <c r="K444" s="219"/>
      <c r="L444" s="219"/>
    </row>
    <row r="445" spans="6:12" x14ac:dyDescent="0.25">
      <c r="F445" s="219"/>
      <c r="G445" s="219"/>
      <c r="H445" s="118"/>
      <c r="I445" s="219"/>
      <c r="J445" s="118"/>
      <c r="K445" s="219"/>
      <c r="L445" s="219"/>
    </row>
    <row r="446" spans="6:12" x14ac:dyDescent="0.25">
      <c r="F446" s="219"/>
      <c r="G446" s="219"/>
      <c r="H446" s="118"/>
      <c r="I446" s="219"/>
      <c r="J446" s="118"/>
      <c r="K446" s="219"/>
      <c r="L446" s="219"/>
    </row>
    <row r="447" spans="6:12" x14ac:dyDescent="0.25">
      <c r="F447" s="219"/>
      <c r="G447" s="219"/>
      <c r="H447" s="118"/>
      <c r="I447" s="219"/>
      <c r="J447" s="118"/>
      <c r="K447" s="219"/>
      <c r="L447" s="219"/>
    </row>
    <row r="448" spans="6:12" x14ac:dyDescent="0.25">
      <c r="F448" s="219"/>
      <c r="G448" s="219"/>
      <c r="H448" s="118"/>
      <c r="I448" s="219"/>
      <c r="J448" s="118"/>
      <c r="K448" s="219"/>
      <c r="L448" s="219"/>
    </row>
    <row r="449" spans="3:12" x14ac:dyDescent="0.25">
      <c r="F449" s="219"/>
      <c r="G449" s="219"/>
      <c r="H449" s="118"/>
      <c r="I449" s="219"/>
      <c r="J449" s="118"/>
      <c r="K449" s="219"/>
      <c r="L449" s="219"/>
    </row>
    <row r="450" spans="3:12" x14ac:dyDescent="0.25">
      <c r="F450" s="219"/>
      <c r="G450" s="219"/>
      <c r="H450" s="118"/>
      <c r="I450" s="219"/>
      <c r="J450" s="118"/>
      <c r="K450" s="219"/>
      <c r="L450" s="219"/>
    </row>
    <row r="451" spans="3:12" x14ac:dyDescent="0.25">
      <c r="F451" s="219"/>
      <c r="G451" s="219"/>
      <c r="H451" s="118"/>
      <c r="I451" s="219"/>
      <c r="J451" s="118"/>
      <c r="K451" s="219"/>
      <c r="L451" s="219"/>
    </row>
    <row r="452" spans="3:12" x14ac:dyDescent="0.25">
      <c r="F452" s="219"/>
      <c r="G452" s="219"/>
      <c r="H452" s="118"/>
      <c r="I452" s="219"/>
      <c r="J452" s="118"/>
      <c r="K452" s="219"/>
      <c r="L452" s="219"/>
    </row>
    <row r="453" spans="3:12" x14ac:dyDescent="0.25">
      <c r="F453" s="219"/>
      <c r="G453" s="219"/>
      <c r="H453" s="118"/>
      <c r="I453" s="219"/>
      <c r="J453" s="118"/>
      <c r="K453" s="219"/>
      <c r="L453" s="219"/>
    </row>
    <row r="454" spans="3:12" x14ac:dyDescent="0.25">
      <c r="F454" s="219"/>
      <c r="G454" s="219"/>
      <c r="H454" s="118"/>
      <c r="I454" s="219"/>
      <c r="J454" s="118"/>
      <c r="K454" s="219"/>
      <c r="L454" s="219"/>
    </row>
    <row r="455" spans="3:12" x14ac:dyDescent="0.25">
      <c r="C455" s="216"/>
      <c r="F455" s="219"/>
      <c r="G455" s="219"/>
      <c r="H455" s="118"/>
      <c r="I455" s="219"/>
      <c r="J455" s="118"/>
      <c r="K455" s="219"/>
      <c r="L455" s="219"/>
    </row>
    <row r="456" spans="3:12" x14ac:dyDescent="0.25">
      <c r="C456" s="216"/>
      <c r="F456" s="219"/>
      <c r="G456" s="219"/>
      <c r="H456" s="118"/>
      <c r="I456" s="219"/>
      <c r="J456" s="118"/>
      <c r="K456" s="219"/>
      <c r="L456" s="219"/>
    </row>
    <row r="457" spans="3:12" x14ac:dyDescent="0.25">
      <c r="C457" s="216"/>
      <c r="F457" s="219"/>
      <c r="G457" s="219"/>
      <c r="H457" s="118"/>
      <c r="I457" s="219"/>
      <c r="J457" s="118"/>
      <c r="K457" s="219"/>
      <c r="L457" s="219"/>
    </row>
    <row r="458" spans="3:12" x14ac:dyDescent="0.25">
      <c r="C458" s="216"/>
      <c r="F458" s="219"/>
      <c r="G458" s="219"/>
      <c r="H458" s="118"/>
      <c r="I458" s="219"/>
      <c r="J458" s="118"/>
      <c r="K458" s="219"/>
      <c r="L458" s="219"/>
    </row>
    <row r="459" spans="3:12" x14ac:dyDescent="0.25">
      <c r="C459" s="216"/>
      <c r="F459" s="219"/>
      <c r="G459" s="219"/>
      <c r="H459" s="118"/>
      <c r="I459" s="219"/>
      <c r="J459" s="118"/>
      <c r="K459" s="219"/>
      <c r="L459" s="219"/>
    </row>
    <row r="460" spans="3:12" x14ac:dyDescent="0.25">
      <c r="C460" s="216"/>
      <c r="F460" s="219"/>
      <c r="G460" s="219"/>
      <c r="H460" s="118"/>
      <c r="I460" s="219"/>
      <c r="J460" s="118"/>
      <c r="K460" s="219"/>
      <c r="L460" s="219"/>
    </row>
    <row r="461" spans="3:12" x14ac:dyDescent="0.25">
      <c r="C461" s="216"/>
      <c r="F461" s="219"/>
      <c r="G461" s="219"/>
      <c r="H461" s="118"/>
      <c r="I461" s="219"/>
      <c r="J461" s="118"/>
      <c r="K461" s="219"/>
      <c r="L461" s="219"/>
    </row>
    <row r="462" spans="3:12" x14ac:dyDescent="0.25">
      <c r="C462" s="216"/>
      <c r="F462" s="219"/>
      <c r="G462" s="219"/>
      <c r="H462" s="118"/>
      <c r="I462" s="219"/>
    </row>
    <row r="463" spans="3:12" x14ac:dyDescent="0.25">
      <c r="C463" s="216"/>
      <c r="F463" s="219"/>
      <c r="G463" s="219"/>
      <c r="H463" s="118"/>
      <c r="I463" s="219"/>
    </row>
    <row r="464" spans="3:12" x14ac:dyDescent="0.25">
      <c r="C464" s="216"/>
      <c r="F464" s="219"/>
      <c r="G464" s="219"/>
      <c r="H464" s="118"/>
      <c r="I464" s="219"/>
    </row>
    <row r="465" spans="2:9" x14ac:dyDescent="0.25">
      <c r="C465" s="216"/>
      <c r="F465" s="219"/>
      <c r="G465" s="219"/>
      <c r="H465" s="118"/>
      <c r="I465" s="219"/>
    </row>
    <row r="466" spans="2:9" x14ac:dyDescent="0.25">
      <c r="F466" s="219"/>
      <c r="G466" s="219"/>
      <c r="H466" s="118"/>
      <c r="I466" s="219"/>
    </row>
    <row r="467" spans="2:9" x14ac:dyDescent="0.25">
      <c r="F467" s="219"/>
      <c r="G467" s="219"/>
      <c r="H467" s="118"/>
      <c r="I467" s="219"/>
    </row>
    <row r="468" spans="2:9" x14ac:dyDescent="0.25">
      <c r="F468" s="219"/>
      <c r="G468" s="219"/>
      <c r="H468" s="118"/>
      <c r="I468" s="219"/>
    </row>
    <row r="471" spans="2:9" x14ac:dyDescent="0.25">
      <c r="E471" s="100"/>
      <c r="G471" s="119"/>
      <c r="I471" s="124"/>
    </row>
    <row r="472" spans="2:9" x14ac:dyDescent="0.25">
      <c r="B472" s="274"/>
      <c r="C472" s="274"/>
      <c r="D472" s="274"/>
      <c r="E472" s="274"/>
      <c r="F472" s="242"/>
      <c r="G472" s="242"/>
      <c r="H472" s="242"/>
      <c r="I472" s="242"/>
    </row>
    <row r="473" spans="2:9" x14ac:dyDescent="0.25">
      <c r="B473" s="236"/>
      <c r="C473" s="236"/>
      <c r="D473" s="236"/>
      <c r="E473" s="236"/>
      <c r="F473" s="236"/>
      <c r="G473" s="236"/>
      <c r="H473" s="236"/>
      <c r="I473" s="236"/>
    </row>
    <row r="474" spans="2:9" x14ac:dyDescent="0.25">
      <c r="B474" s="238"/>
      <c r="C474" s="236"/>
      <c r="D474" s="236"/>
      <c r="E474" s="236"/>
      <c r="F474" s="236"/>
      <c r="G474" s="236"/>
      <c r="H474" s="236"/>
      <c r="I474" s="236"/>
    </row>
    <row r="475" spans="2:9" x14ac:dyDescent="0.25">
      <c r="F475" s="234"/>
      <c r="G475" s="219"/>
      <c r="H475" s="219"/>
      <c r="I475" s="118"/>
    </row>
    <row r="476" spans="2:9" x14ac:dyDescent="0.25">
      <c r="C476" s="216"/>
      <c r="F476" s="234"/>
      <c r="G476" s="219"/>
      <c r="H476" s="219"/>
      <c r="I476" s="118"/>
    </row>
    <row r="477" spans="2:9" x14ac:dyDescent="0.25">
      <c r="C477" s="216"/>
      <c r="F477" s="234"/>
      <c r="G477" s="219"/>
      <c r="H477" s="219"/>
      <c r="I477" s="118"/>
    </row>
    <row r="478" spans="2:9" x14ac:dyDescent="0.25">
      <c r="C478" s="216"/>
      <c r="F478" s="234"/>
      <c r="G478" s="219"/>
      <c r="H478" s="219"/>
      <c r="I478" s="118"/>
    </row>
    <row r="479" spans="2:9" x14ac:dyDescent="0.25">
      <c r="C479" s="216"/>
      <c r="F479" s="234"/>
      <c r="G479" s="219"/>
      <c r="H479" s="219"/>
      <c r="I479" s="118"/>
    </row>
    <row r="480" spans="2:9" x14ac:dyDescent="0.25">
      <c r="C480" s="216"/>
      <c r="F480" s="234"/>
      <c r="G480" s="219"/>
      <c r="H480" s="219"/>
      <c r="I480" s="118"/>
    </row>
    <row r="481" spans="3:9" x14ac:dyDescent="0.25">
      <c r="C481" s="216"/>
      <c r="F481" s="234"/>
      <c r="G481" s="219"/>
      <c r="H481" s="219"/>
      <c r="I481" s="118"/>
    </row>
    <row r="482" spans="3:9" x14ac:dyDescent="0.25">
      <c r="C482" s="216"/>
      <c r="F482" s="234"/>
      <c r="G482" s="219"/>
      <c r="H482" s="219"/>
      <c r="I482" s="118"/>
    </row>
    <row r="483" spans="3:9" x14ac:dyDescent="0.25">
      <c r="C483" s="216"/>
      <c r="F483" s="234"/>
      <c r="G483" s="219"/>
      <c r="H483" s="219"/>
      <c r="I483" s="118"/>
    </row>
    <row r="484" spans="3:9" x14ac:dyDescent="0.25">
      <c r="C484" s="216"/>
      <c r="F484" s="234"/>
      <c r="G484" s="219"/>
      <c r="H484" s="219"/>
      <c r="I484" s="118"/>
    </row>
    <row r="485" spans="3:9" x14ac:dyDescent="0.25">
      <c r="C485" s="216"/>
      <c r="F485" s="234"/>
      <c r="G485" s="219"/>
      <c r="H485" s="219"/>
      <c r="I485" s="118"/>
    </row>
    <row r="486" spans="3:9" x14ac:dyDescent="0.25">
      <c r="C486" s="216"/>
      <c r="F486" s="234"/>
      <c r="G486" s="219"/>
      <c r="H486" s="219"/>
      <c r="I486" s="118"/>
    </row>
    <row r="487" spans="3:9" x14ac:dyDescent="0.25">
      <c r="F487" s="234"/>
      <c r="G487" s="219"/>
      <c r="H487" s="219"/>
      <c r="I487" s="118"/>
    </row>
    <row r="488" spans="3:9" x14ac:dyDescent="0.25">
      <c r="C488" s="216"/>
      <c r="F488" s="234"/>
      <c r="G488" s="219"/>
      <c r="H488" s="219"/>
      <c r="I488" s="118"/>
    </row>
    <row r="489" spans="3:9" x14ac:dyDescent="0.25">
      <c r="C489" s="216"/>
      <c r="F489" s="234"/>
      <c r="G489" s="219"/>
      <c r="H489" s="219"/>
      <c r="I489" s="118"/>
    </row>
    <row r="490" spans="3:9" x14ac:dyDescent="0.25">
      <c r="C490" s="216"/>
      <c r="F490" s="234"/>
      <c r="G490" s="219"/>
      <c r="H490" s="219"/>
      <c r="I490" s="118"/>
    </row>
    <row r="491" spans="3:9" x14ac:dyDescent="0.25">
      <c r="C491" s="216"/>
      <c r="F491" s="234"/>
      <c r="G491" s="219"/>
      <c r="H491" s="219"/>
      <c r="I491" s="118"/>
    </row>
    <row r="492" spans="3:9" x14ac:dyDescent="0.25">
      <c r="C492" s="216"/>
      <c r="F492" s="234"/>
      <c r="G492" s="219"/>
      <c r="H492" s="219"/>
      <c r="I492" s="118"/>
    </row>
    <row r="493" spans="3:9" x14ac:dyDescent="0.25">
      <c r="C493" s="216"/>
      <c r="F493" s="234"/>
      <c r="G493" s="219"/>
      <c r="H493" s="219"/>
      <c r="I493" s="118"/>
    </row>
    <row r="494" spans="3:9" x14ac:dyDescent="0.25">
      <c r="C494" s="216"/>
      <c r="F494" s="234"/>
      <c r="G494" s="219"/>
      <c r="H494" s="219"/>
      <c r="I494" s="118"/>
    </row>
    <row r="495" spans="3:9" x14ac:dyDescent="0.25">
      <c r="C495" s="216"/>
      <c r="F495" s="234"/>
      <c r="G495" s="219"/>
      <c r="H495" s="219"/>
      <c r="I495" s="118"/>
    </row>
    <row r="496" spans="3:9" x14ac:dyDescent="0.25">
      <c r="C496" s="216"/>
      <c r="F496" s="234"/>
      <c r="G496" s="219"/>
      <c r="H496" s="219"/>
      <c r="I496" s="118"/>
    </row>
    <row r="497" spans="3:9" x14ac:dyDescent="0.25">
      <c r="C497" s="216"/>
      <c r="F497" s="234"/>
      <c r="G497" s="219"/>
      <c r="H497" s="219"/>
      <c r="I497" s="118"/>
    </row>
    <row r="498" spans="3:9" x14ac:dyDescent="0.25">
      <c r="C498" s="216"/>
      <c r="F498" s="234"/>
      <c r="G498" s="219"/>
      <c r="H498" s="219"/>
      <c r="I498" s="118"/>
    </row>
    <row r="499" spans="3:9" x14ac:dyDescent="0.25">
      <c r="F499" s="234"/>
      <c r="G499" s="219"/>
      <c r="H499" s="219"/>
      <c r="I499" s="118"/>
    </row>
    <row r="500" spans="3:9" x14ac:dyDescent="0.25">
      <c r="C500" s="216"/>
      <c r="F500" s="234"/>
      <c r="G500" s="219"/>
      <c r="H500" s="219"/>
      <c r="I500" s="118"/>
    </row>
    <row r="501" spans="3:9" x14ac:dyDescent="0.25">
      <c r="C501" s="216"/>
      <c r="F501" s="234"/>
      <c r="G501" s="219"/>
      <c r="H501" s="219"/>
      <c r="I501" s="118"/>
    </row>
    <row r="502" spans="3:9" x14ac:dyDescent="0.25">
      <c r="C502" s="216"/>
      <c r="F502" s="234"/>
      <c r="G502" s="219"/>
      <c r="H502" s="219"/>
      <c r="I502" s="118"/>
    </row>
    <row r="503" spans="3:9" x14ac:dyDescent="0.25">
      <c r="C503" s="216"/>
      <c r="F503" s="234"/>
      <c r="G503" s="219"/>
      <c r="H503" s="219"/>
      <c r="I503" s="118"/>
    </row>
    <row r="504" spans="3:9" x14ac:dyDescent="0.25">
      <c r="C504" s="216"/>
      <c r="F504" s="234"/>
      <c r="G504" s="219"/>
      <c r="H504" s="219"/>
      <c r="I504" s="118"/>
    </row>
    <row r="505" spans="3:9" x14ac:dyDescent="0.25">
      <c r="C505" s="216"/>
      <c r="F505" s="234"/>
      <c r="G505" s="219"/>
      <c r="H505" s="219"/>
      <c r="I505" s="118"/>
    </row>
    <row r="506" spans="3:9" x14ac:dyDescent="0.25">
      <c r="C506" s="216"/>
      <c r="F506" s="234"/>
      <c r="G506" s="219"/>
      <c r="H506" s="219"/>
      <c r="I506" s="118"/>
    </row>
    <row r="507" spans="3:9" x14ac:dyDescent="0.25">
      <c r="C507" s="216"/>
      <c r="F507" s="234"/>
      <c r="G507" s="219"/>
      <c r="H507" s="219"/>
      <c r="I507" s="118"/>
    </row>
    <row r="508" spans="3:9" x14ac:dyDescent="0.25">
      <c r="C508" s="216"/>
      <c r="F508" s="234"/>
      <c r="G508" s="219"/>
      <c r="H508" s="219"/>
      <c r="I508" s="118"/>
    </row>
    <row r="509" spans="3:9" x14ac:dyDescent="0.25">
      <c r="C509" s="216"/>
      <c r="F509" s="234"/>
      <c r="G509" s="219"/>
      <c r="H509" s="219"/>
      <c r="I509" s="118"/>
    </row>
    <row r="510" spans="3:9" x14ac:dyDescent="0.25">
      <c r="C510" s="216"/>
      <c r="F510" s="234"/>
      <c r="G510" s="219"/>
      <c r="H510" s="219"/>
      <c r="I510" s="118"/>
    </row>
    <row r="511" spans="3:9" x14ac:dyDescent="0.25">
      <c r="F511" s="234"/>
      <c r="G511" s="219"/>
      <c r="H511" s="219"/>
      <c r="I511" s="118"/>
    </row>
    <row r="512" spans="3:9" x14ac:dyDescent="0.25">
      <c r="C512" s="216"/>
      <c r="F512" s="234"/>
      <c r="G512" s="219"/>
      <c r="H512" s="219"/>
      <c r="I512" s="118"/>
    </row>
    <row r="513" spans="3:9" x14ac:dyDescent="0.25">
      <c r="C513" s="216"/>
      <c r="F513" s="234"/>
      <c r="G513" s="219"/>
      <c r="H513" s="219"/>
      <c r="I513" s="118"/>
    </row>
    <row r="514" spans="3:9" x14ac:dyDescent="0.25">
      <c r="C514" s="216"/>
      <c r="F514" s="234"/>
      <c r="G514" s="219"/>
      <c r="H514" s="219"/>
      <c r="I514" s="118"/>
    </row>
    <row r="515" spans="3:9" x14ac:dyDescent="0.25">
      <c r="C515" s="216"/>
      <c r="F515" s="234"/>
      <c r="G515" s="219"/>
      <c r="H515" s="219"/>
      <c r="I515" s="118"/>
    </row>
    <row r="516" spans="3:9" x14ac:dyDescent="0.25">
      <c r="C516" s="216"/>
      <c r="F516" s="234"/>
      <c r="G516" s="219"/>
      <c r="H516" s="219"/>
      <c r="I516" s="118"/>
    </row>
    <row r="517" spans="3:9" x14ac:dyDescent="0.25">
      <c r="C517" s="216"/>
      <c r="F517" s="234"/>
      <c r="G517" s="219"/>
      <c r="H517" s="219"/>
      <c r="I517" s="118"/>
    </row>
    <row r="518" spans="3:9" x14ac:dyDescent="0.25">
      <c r="C518" s="216"/>
      <c r="F518" s="234"/>
      <c r="G518" s="219"/>
      <c r="H518" s="219"/>
      <c r="I518" s="118"/>
    </row>
    <row r="519" spans="3:9" x14ac:dyDescent="0.25">
      <c r="C519" s="216"/>
      <c r="F519" s="234"/>
      <c r="G519" s="219"/>
      <c r="H519" s="219"/>
      <c r="I519" s="118"/>
    </row>
    <row r="520" spans="3:9" x14ac:dyDescent="0.25">
      <c r="C520" s="216"/>
      <c r="F520" s="234"/>
      <c r="G520" s="219"/>
      <c r="H520" s="219"/>
      <c r="I520" s="118"/>
    </row>
    <row r="521" spans="3:9" x14ac:dyDescent="0.25">
      <c r="C521" s="216"/>
      <c r="F521" s="234"/>
      <c r="G521" s="219"/>
      <c r="H521" s="219"/>
      <c r="I521" s="118"/>
    </row>
    <row r="522" spans="3:9" x14ac:dyDescent="0.25">
      <c r="C522" s="216"/>
      <c r="F522" s="234"/>
      <c r="G522" s="219"/>
      <c r="H522" s="219"/>
      <c r="I522" s="118"/>
    </row>
    <row r="523" spans="3:9" x14ac:dyDescent="0.25">
      <c r="F523" s="234"/>
      <c r="G523" s="219"/>
      <c r="H523" s="118"/>
      <c r="I523" s="118"/>
    </row>
    <row r="524" spans="3:9" x14ac:dyDescent="0.25">
      <c r="F524" s="118"/>
      <c r="G524" s="219"/>
      <c r="H524" s="118"/>
      <c r="I524" s="118"/>
    </row>
    <row r="525" spans="3:9" x14ac:dyDescent="0.25">
      <c r="F525" s="118"/>
      <c r="G525" s="219"/>
      <c r="H525" s="118"/>
      <c r="I525" s="118"/>
    </row>
    <row r="526" spans="3:9" x14ac:dyDescent="0.25">
      <c r="F526" s="118"/>
      <c r="G526" s="219"/>
      <c r="H526" s="118"/>
      <c r="I526" s="118"/>
    </row>
    <row r="527" spans="3:9" x14ac:dyDescent="0.25">
      <c r="F527" s="118"/>
      <c r="G527" s="219"/>
      <c r="H527" s="118"/>
      <c r="I527" s="118"/>
    </row>
    <row r="528" spans="3:9" x14ac:dyDescent="0.25">
      <c r="F528" s="118"/>
      <c r="G528" s="219"/>
      <c r="H528" s="118"/>
      <c r="I528" s="118"/>
    </row>
    <row r="529" spans="6:9" x14ac:dyDescent="0.25">
      <c r="F529" s="118"/>
      <c r="G529" s="219"/>
      <c r="H529" s="118"/>
      <c r="I529" s="118"/>
    </row>
    <row r="530" spans="6:9" x14ac:dyDescent="0.25">
      <c r="F530" s="234"/>
      <c r="G530" s="219"/>
      <c r="H530" s="118"/>
      <c r="I530" s="118"/>
    </row>
    <row r="531" spans="6:9" x14ac:dyDescent="0.25">
      <c r="F531" s="118"/>
      <c r="G531" s="219"/>
      <c r="H531" s="118"/>
      <c r="I531" s="118"/>
    </row>
    <row r="532" spans="6:9" x14ac:dyDescent="0.25">
      <c r="F532" s="118"/>
      <c r="G532" s="219"/>
      <c r="H532" s="118"/>
      <c r="I532" s="118"/>
    </row>
    <row r="533" spans="6:9" x14ac:dyDescent="0.25">
      <c r="F533" s="118"/>
      <c r="G533" s="219"/>
      <c r="H533" s="118"/>
      <c r="I533" s="118"/>
    </row>
    <row r="534" spans="6:9" x14ac:dyDescent="0.25">
      <c r="F534" s="118"/>
      <c r="G534" s="219"/>
      <c r="H534" s="118"/>
      <c r="I534" s="118"/>
    </row>
    <row r="535" spans="6:9" x14ac:dyDescent="0.25">
      <c r="F535" s="118"/>
      <c r="G535" s="219"/>
      <c r="H535" s="118"/>
      <c r="I535" s="118"/>
    </row>
    <row r="536" spans="6:9" x14ac:dyDescent="0.25">
      <c r="F536" s="118"/>
      <c r="G536" s="219"/>
      <c r="H536" s="118"/>
      <c r="I536" s="118"/>
    </row>
    <row r="537" spans="6:9" x14ac:dyDescent="0.25">
      <c r="F537" s="234"/>
      <c r="G537" s="219"/>
      <c r="H537" s="118"/>
      <c r="I537" s="118"/>
    </row>
    <row r="538" spans="6:9" x14ac:dyDescent="0.25">
      <c r="F538" s="118"/>
      <c r="G538" s="219"/>
      <c r="H538" s="118"/>
      <c r="I538" s="118"/>
    </row>
    <row r="539" spans="6:9" x14ac:dyDescent="0.25">
      <c r="F539" s="118"/>
      <c r="G539" s="219"/>
      <c r="H539" s="118"/>
      <c r="I539" s="118"/>
    </row>
    <row r="540" spans="6:9" x14ac:dyDescent="0.25">
      <c r="F540" s="118"/>
      <c r="G540" s="219"/>
      <c r="H540" s="118"/>
      <c r="I540" s="118"/>
    </row>
    <row r="541" spans="6:9" x14ac:dyDescent="0.25">
      <c r="F541" s="118"/>
      <c r="G541" s="219"/>
      <c r="H541" s="118"/>
      <c r="I541" s="118"/>
    </row>
    <row r="542" spans="6:9" x14ac:dyDescent="0.25">
      <c r="F542" s="118"/>
      <c r="G542" s="219"/>
      <c r="H542" s="118"/>
      <c r="I542" s="118"/>
    </row>
    <row r="543" spans="6:9" x14ac:dyDescent="0.25">
      <c r="F543" s="118"/>
      <c r="G543" s="219"/>
      <c r="H543" s="118"/>
      <c r="I543" s="118"/>
    </row>
    <row r="544" spans="6:9" x14ac:dyDescent="0.25">
      <c r="F544" s="118"/>
      <c r="G544" s="219"/>
      <c r="H544" s="118"/>
      <c r="I544" s="118"/>
    </row>
    <row r="545" spans="6:9" x14ac:dyDescent="0.25">
      <c r="F545" s="118"/>
      <c r="G545" s="219"/>
      <c r="H545" s="118"/>
      <c r="I545" s="118"/>
    </row>
    <row r="546" spans="6:9" x14ac:dyDescent="0.25">
      <c r="F546" s="118"/>
      <c r="G546" s="219"/>
      <c r="H546" s="118"/>
      <c r="I546" s="118"/>
    </row>
    <row r="547" spans="6:9" x14ac:dyDescent="0.25">
      <c r="F547" s="118"/>
      <c r="G547" s="219"/>
      <c r="H547" s="118"/>
      <c r="I547" s="118"/>
    </row>
    <row r="548" spans="6:9" x14ac:dyDescent="0.25">
      <c r="F548" s="118"/>
      <c r="G548" s="219"/>
      <c r="H548" s="118"/>
      <c r="I548" s="118"/>
    </row>
    <row r="549" spans="6:9" x14ac:dyDescent="0.25">
      <c r="F549" s="118"/>
      <c r="G549" s="219"/>
      <c r="H549" s="118"/>
      <c r="I549" s="118"/>
    </row>
    <row r="550" spans="6:9" x14ac:dyDescent="0.25">
      <c r="F550" s="118"/>
      <c r="G550" s="219"/>
      <c r="H550" s="118"/>
      <c r="I550" s="118"/>
    </row>
    <row r="551" spans="6:9" x14ac:dyDescent="0.25">
      <c r="F551" s="118"/>
      <c r="G551" s="219"/>
      <c r="H551" s="118"/>
      <c r="I551" s="118"/>
    </row>
    <row r="552" spans="6:9" x14ac:dyDescent="0.25">
      <c r="F552" s="118"/>
      <c r="G552" s="219"/>
      <c r="H552" s="118"/>
      <c r="I552" s="118"/>
    </row>
    <row r="553" spans="6:9" x14ac:dyDescent="0.25">
      <c r="F553" s="118"/>
      <c r="G553" s="219"/>
      <c r="H553" s="118"/>
      <c r="I553" s="118"/>
    </row>
    <row r="554" spans="6:9" x14ac:dyDescent="0.25">
      <c r="F554" s="118"/>
      <c r="G554" s="219"/>
      <c r="H554" s="118"/>
      <c r="I554" s="118"/>
    </row>
    <row r="555" spans="6:9" x14ac:dyDescent="0.25">
      <c r="F555" s="118"/>
      <c r="G555" s="219"/>
      <c r="H555" s="118"/>
      <c r="I555" s="118"/>
    </row>
    <row r="556" spans="6:9" x14ac:dyDescent="0.25">
      <c r="F556" s="118"/>
      <c r="G556" s="219"/>
      <c r="H556" s="118"/>
      <c r="I556" s="118"/>
    </row>
    <row r="557" spans="6:9" x14ac:dyDescent="0.25">
      <c r="F557" s="118"/>
      <c r="G557" s="219"/>
      <c r="H557" s="118"/>
      <c r="I557" s="118"/>
    </row>
  </sheetData>
  <pageMargins left="0.7" right="0.7" top="0.75" bottom="0.75" header="0.3" footer="0.3"/>
  <pageSetup orientation="portrait" horizontalDpi="4294967292" r:id="rId1"/>
  <headerFooter alignWithMargins="0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29"/>
  <sheetViews>
    <sheetView topLeftCell="F1" zoomScale="70" zoomScaleNormal="70" workbookViewId="0">
      <selection activeCell="F1" sqref="A1:XFD1048576"/>
    </sheetView>
  </sheetViews>
  <sheetFormatPr defaultColWidth="13.44140625" defaultRowHeight="13.8" x14ac:dyDescent="0.25"/>
  <cols>
    <col min="1" max="1" width="7.88671875" style="99" bestFit="1" customWidth="1"/>
    <col min="2" max="2" width="72.5546875" style="99" bestFit="1" customWidth="1"/>
    <col min="3" max="3" width="10.33203125" style="99" bestFit="1" customWidth="1"/>
    <col min="4" max="5" width="18" style="99" customWidth="1"/>
    <col min="6" max="7" width="17.44140625" style="99" customWidth="1"/>
    <col min="8" max="21" width="18" style="99" customWidth="1"/>
    <col min="22" max="22" width="13.44140625" style="104" customWidth="1"/>
    <col min="23" max="23" width="13.44140625" style="104"/>
    <col min="24" max="25" width="17.5546875" style="104" customWidth="1"/>
    <col min="26" max="27" width="16.6640625" style="104" customWidth="1"/>
    <col min="28" max="28" width="16.44140625" style="104" customWidth="1"/>
    <col min="29" max="29" width="13.44140625" style="104"/>
    <col min="30" max="16384" width="13.44140625" style="99"/>
  </cols>
  <sheetData>
    <row r="1" spans="1:29" s="296" customFormat="1" x14ac:dyDescent="0.25">
      <c r="A1" s="108"/>
      <c r="B1" s="108" t="s">
        <v>502</v>
      </c>
      <c r="C1" s="99"/>
      <c r="E1" s="99"/>
    </row>
    <row r="2" spans="1:29" s="296" customFormat="1" x14ac:dyDescent="0.25">
      <c r="A2" s="108"/>
      <c r="B2" s="108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</row>
    <row r="3" spans="1:29" s="296" customFormat="1" ht="19.5" customHeight="1" x14ac:dyDescent="0.25">
      <c r="A3" s="108"/>
      <c r="B3" s="108"/>
      <c r="C3" s="99"/>
      <c r="D3" s="297"/>
      <c r="E3" s="297"/>
      <c r="F3" s="297"/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7"/>
      <c r="R3" s="297"/>
      <c r="S3" s="297"/>
      <c r="T3" s="297"/>
      <c r="U3" s="297"/>
      <c r="X3" s="298"/>
    </row>
    <row r="4" spans="1:29" s="301" customFormat="1" ht="31.5" customHeight="1" thickBot="1" x14ac:dyDescent="0.3">
      <c r="A4" s="108"/>
      <c r="B4" s="299" t="s">
        <v>270</v>
      </c>
      <c r="C4" s="299"/>
      <c r="D4" s="135" t="s">
        <v>625</v>
      </c>
      <c r="E4" s="135" t="s">
        <v>626</v>
      </c>
      <c r="F4" s="135" t="s">
        <v>155</v>
      </c>
      <c r="G4" s="135" t="s">
        <v>57</v>
      </c>
      <c r="H4" s="135" t="s">
        <v>156</v>
      </c>
      <c r="I4" s="135" t="s">
        <v>163</v>
      </c>
      <c r="J4" s="135" t="s">
        <v>164</v>
      </c>
      <c r="K4" s="135" t="s">
        <v>168</v>
      </c>
      <c r="L4" s="135" t="s">
        <v>169</v>
      </c>
      <c r="M4" s="135" t="s">
        <v>77</v>
      </c>
      <c r="N4" s="135" t="s">
        <v>172</v>
      </c>
      <c r="O4" s="135" t="s">
        <v>174</v>
      </c>
      <c r="P4" s="135" t="s">
        <v>176</v>
      </c>
      <c r="Q4" s="135" t="s">
        <v>182</v>
      </c>
      <c r="R4" s="135" t="s">
        <v>94</v>
      </c>
      <c r="S4" s="135" t="s">
        <v>183</v>
      </c>
      <c r="T4" s="135" t="s">
        <v>189</v>
      </c>
      <c r="U4" s="135" t="s">
        <v>190</v>
      </c>
      <c r="V4" s="300"/>
      <c r="W4" s="300"/>
      <c r="X4" s="215"/>
      <c r="Y4" s="138"/>
      <c r="Z4" s="215"/>
      <c r="AA4" s="138"/>
      <c r="AB4" s="296"/>
      <c r="AC4" s="138"/>
    </row>
    <row r="5" spans="1:29" x14ac:dyDescent="0.25">
      <c r="A5" s="108"/>
      <c r="B5" s="328" t="s">
        <v>218</v>
      </c>
      <c r="C5" s="363"/>
      <c r="D5" s="364">
        <f>'En.Bal-Final_Energy'!K16/1000*41.868</f>
        <v>0</v>
      </c>
      <c r="E5" s="364"/>
      <c r="F5" s="364"/>
      <c r="G5" s="364"/>
      <c r="H5" s="364"/>
      <c r="I5" s="364"/>
      <c r="J5" s="364"/>
      <c r="K5" s="364">
        <f>'En.Bal-Final_Energy'!AE16/1000*41.868</f>
        <v>0</v>
      </c>
      <c r="L5" s="364"/>
      <c r="M5" s="364"/>
      <c r="N5" s="364"/>
      <c r="O5" s="364">
        <f>'En.Bal-Final_Energy'!AN16/1000*41.868</f>
        <v>0</v>
      </c>
      <c r="P5" s="364"/>
      <c r="Q5" s="364"/>
      <c r="R5" s="364"/>
      <c r="S5" s="364"/>
      <c r="T5" s="364"/>
      <c r="U5" s="364">
        <f>'En.Bal-Final_Energy'!BE16/1000*41.868</f>
        <v>2.5120800000000001</v>
      </c>
      <c r="X5" s="307"/>
      <c r="Y5" s="307"/>
      <c r="Z5" s="307"/>
      <c r="AA5" s="307"/>
      <c r="AB5" s="296"/>
      <c r="AC5" s="307"/>
    </row>
    <row r="6" spans="1:29" ht="14.4" thickBot="1" x14ac:dyDescent="0.3">
      <c r="A6" s="99">
        <v>1</v>
      </c>
      <c r="D6" s="308" t="str">
        <f>Commodities!D46</f>
        <v>INDCOABIC</v>
      </c>
      <c r="E6" s="308" t="str">
        <f>Commodities!D47</f>
        <v>INDCOASUB</v>
      </c>
      <c r="F6" s="308" t="str">
        <f>Commodities!D48</f>
        <v>INDCOABCO</v>
      </c>
      <c r="G6" s="308" t="str">
        <f>Commodities!D49</f>
        <v>INDCOACOC</v>
      </c>
      <c r="H6" s="308" t="str">
        <f>Commodities!D51</f>
        <v>INDCOABKB</v>
      </c>
      <c r="I6" s="308" t="str">
        <f>Commodities!D54</f>
        <v>INDOILLPG</v>
      </c>
      <c r="J6" s="308" t="str">
        <f>Commodities!D53</f>
        <v>INDOILGSL</v>
      </c>
      <c r="K6" s="308" t="str">
        <f>Commodities!D52</f>
        <v>INDOILDSL</v>
      </c>
      <c r="L6" s="308" t="str">
        <f>Commodities!D56</f>
        <v>INDOILHFO</v>
      </c>
      <c r="M6" s="308" t="str">
        <f>Commodities!D59</f>
        <v>INDOILPCK</v>
      </c>
      <c r="N6" s="308" t="str">
        <f>Commodities!D60</f>
        <v>INDOILOTH</v>
      </c>
      <c r="O6" s="308" t="str">
        <f>Commodities!D61</f>
        <v>INDGASNAT</v>
      </c>
      <c r="P6" s="308" t="str">
        <f>Commodities!D62</f>
        <v>INDGASBFG</v>
      </c>
      <c r="Q6" s="308" t="str">
        <f>Commodities!D63</f>
        <v>INDBIOLOG</v>
      </c>
      <c r="R6" s="308" t="str">
        <f>Commodities!D71</f>
        <v>INDBIOCHR</v>
      </c>
      <c r="S6" s="308" t="str">
        <f>Commodities!D69</f>
        <v>INDBIOBGS</v>
      </c>
      <c r="T6" s="308" t="str">
        <f>T20</f>
        <v>INDNFMHTH</v>
      </c>
      <c r="U6" s="308" t="str">
        <f>Commodities!D77</f>
        <v>INDELC</v>
      </c>
    </row>
    <row r="7" spans="1:29" x14ac:dyDescent="0.25">
      <c r="A7" s="99">
        <f>1+A6</f>
        <v>2</v>
      </c>
      <c r="D7" s="364">
        <f>D21+D23+D25+D27+D29</f>
        <v>5.1588450000000001E-2</v>
      </c>
      <c r="E7" s="364">
        <f t="shared" ref="E7:K7" si="0">E21+E23+E25+E27</f>
        <v>0</v>
      </c>
      <c r="F7" s="364">
        <f t="shared" si="0"/>
        <v>0</v>
      </c>
      <c r="G7" s="364">
        <f t="shared" si="0"/>
        <v>0</v>
      </c>
      <c r="H7" s="364">
        <f t="shared" si="0"/>
        <v>0</v>
      </c>
      <c r="I7" s="364">
        <f t="shared" si="0"/>
        <v>0</v>
      </c>
      <c r="J7" s="364">
        <f t="shared" si="0"/>
        <v>0</v>
      </c>
      <c r="K7" s="364">
        <f t="shared" si="0"/>
        <v>0</v>
      </c>
      <c r="L7" s="364">
        <f>L21+L23+L25+L27+L29</f>
        <v>8.2251100000000008E-3</v>
      </c>
      <c r="M7" s="364">
        <f t="shared" ref="M7:S7" si="1">M21+M23+M25+M27</f>
        <v>0</v>
      </c>
      <c r="N7" s="364">
        <f t="shared" si="1"/>
        <v>0</v>
      </c>
      <c r="O7" s="364">
        <f t="shared" si="1"/>
        <v>0</v>
      </c>
      <c r="P7" s="364">
        <f t="shared" si="1"/>
        <v>0</v>
      </c>
      <c r="Q7" s="364">
        <f t="shared" si="1"/>
        <v>0</v>
      </c>
      <c r="R7" s="364">
        <f t="shared" si="1"/>
        <v>0</v>
      </c>
      <c r="S7" s="364">
        <f t="shared" si="1"/>
        <v>0</v>
      </c>
      <c r="T7" s="364">
        <f>T21+T23+T25+T27+T29</f>
        <v>2.0625000000000001E-3</v>
      </c>
      <c r="U7" s="364">
        <f>U21+U23+U25+U27+U29</f>
        <v>8.1817250000000008E-2</v>
      </c>
      <c r="V7" s="365">
        <f>SUM(D7:U7)</f>
        <v>0.14369331000000002</v>
      </c>
      <c r="W7" s="306">
        <f>'En.Bal-Final_Energy'!BG16</f>
        <v>2.5120800000000001</v>
      </c>
      <c r="X7" s="122"/>
    </row>
    <row r="8" spans="1:29" x14ac:dyDescent="0.25">
      <c r="A8" s="99">
        <f t="shared" ref="A8:A29" si="2">1+A7</f>
        <v>3</v>
      </c>
      <c r="X8" s="122"/>
      <c r="Y8" s="122"/>
      <c r="Z8" s="122"/>
      <c r="AA8" s="296"/>
      <c r="AB8" s="296"/>
    </row>
    <row r="9" spans="1:29" x14ac:dyDescent="0.25">
      <c r="A9" s="99">
        <f t="shared" si="2"/>
        <v>4</v>
      </c>
      <c r="B9" s="130" t="s">
        <v>272</v>
      </c>
      <c r="C9" s="299"/>
      <c r="D9" s="299"/>
      <c r="E9" s="299"/>
      <c r="F9" s="299"/>
      <c r="G9" s="299"/>
      <c r="H9" s="299"/>
      <c r="I9" s="299"/>
      <c r="J9" s="299"/>
      <c r="K9" s="299"/>
      <c r="L9" s="299"/>
      <c r="M9" s="299"/>
      <c r="N9" s="299"/>
      <c r="O9" s="299"/>
      <c r="P9" s="299"/>
      <c r="Q9" s="299"/>
      <c r="R9" s="299"/>
      <c r="S9" s="299"/>
      <c r="T9" s="299"/>
      <c r="U9" s="299"/>
      <c r="X9" s="319"/>
      <c r="Y9" s="320"/>
      <c r="Z9" s="321"/>
      <c r="AA9" s="321"/>
      <c r="AB9" s="321"/>
    </row>
    <row r="10" spans="1:29" ht="14.4" thickBot="1" x14ac:dyDescent="0.3">
      <c r="A10" s="99">
        <f t="shared" si="2"/>
        <v>5</v>
      </c>
      <c r="B10" s="135" t="s">
        <v>273</v>
      </c>
      <c r="C10" s="135"/>
      <c r="D10" s="135" t="str">
        <f>D4</f>
        <v>Bituminous coal</v>
      </c>
      <c r="E10" s="135" t="str">
        <f>E4</f>
        <v>Sub-bituminous coal</v>
      </c>
      <c r="F10" s="135" t="str">
        <f>F4</f>
        <v>Lignite / Brown Coal</v>
      </c>
      <c r="G10" s="135"/>
      <c r="H10" s="135" t="str">
        <f>H4</f>
        <v>BKB</v>
      </c>
      <c r="I10" s="135" t="str">
        <f>I4</f>
        <v>LPG</v>
      </c>
      <c r="J10" s="135" t="str">
        <f>J4</f>
        <v>Motor Gasoline (w/o bio)</v>
      </c>
      <c r="K10" s="135" t="str">
        <f>K4</f>
        <v>Gas/Diesel Oil (w/o bio)</v>
      </c>
      <c r="L10" s="135" t="str">
        <f>L4</f>
        <v>Fuel Oil</v>
      </c>
      <c r="M10" s="135"/>
      <c r="N10" s="135" t="str">
        <f>N4</f>
        <v>Other Products</v>
      </c>
      <c r="O10" s="135" t="str">
        <f>O4</f>
        <v>Natural gas</v>
      </c>
      <c r="P10" s="135"/>
      <c r="Q10" s="135" t="str">
        <f>Q4</f>
        <v>Solid biomass</v>
      </c>
      <c r="R10" s="135" t="str">
        <f>R4</f>
        <v>Charcoal</v>
      </c>
      <c r="S10" s="135" t="str">
        <f>S4</f>
        <v>Biogas (all)</v>
      </c>
      <c r="T10" s="135"/>
      <c r="U10" s="135" t="str">
        <f>U4</f>
        <v>Electricity</v>
      </c>
    </row>
    <row r="11" spans="1:29" x14ac:dyDescent="0.25">
      <c r="A11" s="99">
        <f t="shared" si="2"/>
        <v>6</v>
      </c>
      <c r="B11" s="303" t="s">
        <v>618</v>
      </c>
      <c r="C11" s="303" t="str">
        <f>Commodities!$Y$8</f>
        <v>INDALU</v>
      </c>
      <c r="D11" s="322"/>
      <c r="E11" s="322"/>
      <c r="F11" s="322"/>
      <c r="G11" s="322"/>
      <c r="H11" s="322"/>
      <c r="I11" s="322"/>
      <c r="J11" s="322"/>
      <c r="K11" s="322"/>
      <c r="L11" s="322"/>
      <c r="M11" s="322"/>
      <c r="N11" s="322"/>
      <c r="O11" s="322"/>
      <c r="P11" s="322"/>
      <c r="Q11" s="322"/>
      <c r="R11" s="322"/>
      <c r="S11" s="322"/>
      <c r="T11" s="322"/>
      <c r="U11" s="322"/>
    </row>
    <row r="12" spans="1:29" x14ac:dyDescent="0.25">
      <c r="A12" s="99">
        <f t="shared" si="2"/>
        <v>7</v>
      </c>
      <c r="B12" s="303" t="s">
        <v>370</v>
      </c>
      <c r="C12" s="303" t="str">
        <f>Commodities!$Y$9</f>
        <v>INDCOP</v>
      </c>
      <c r="D12" s="322"/>
      <c r="E12" s="322"/>
      <c r="F12" s="322"/>
      <c r="G12" s="322"/>
      <c r="H12" s="322"/>
      <c r="I12" s="322"/>
      <c r="J12" s="322"/>
      <c r="K12" s="322"/>
      <c r="L12" s="322"/>
      <c r="M12" s="322"/>
      <c r="N12" s="322"/>
      <c r="O12" s="322"/>
      <c r="P12" s="322"/>
      <c r="Q12" s="322"/>
      <c r="R12" s="322"/>
      <c r="S12" s="322"/>
      <c r="T12" s="322"/>
      <c r="U12" s="322"/>
    </row>
    <row r="13" spans="1:29" x14ac:dyDescent="0.25">
      <c r="A13" s="99">
        <f t="shared" si="2"/>
        <v>8</v>
      </c>
      <c r="B13" s="303" t="s">
        <v>372</v>
      </c>
      <c r="C13" s="303" t="str">
        <f>Commodities!Y11</f>
        <v>INDLED</v>
      </c>
      <c r="D13" s="322"/>
      <c r="E13" s="322"/>
      <c r="F13" s="322"/>
      <c r="G13" s="322"/>
      <c r="H13" s="322"/>
      <c r="I13" s="322"/>
      <c r="J13" s="322"/>
      <c r="K13" s="322"/>
      <c r="L13" s="322"/>
      <c r="M13" s="322"/>
      <c r="N13" s="322"/>
      <c r="O13" s="322"/>
      <c r="P13" s="322"/>
      <c r="Q13" s="322"/>
      <c r="R13" s="322"/>
      <c r="S13" s="322"/>
      <c r="T13" s="322"/>
      <c r="U13" s="322"/>
    </row>
    <row r="14" spans="1:29" x14ac:dyDescent="0.25">
      <c r="A14" s="99">
        <f t="shared" si="2"/>
        <v>9</v>
      </c>
      <c r="B14" s="303" t="s">
        <v>371</v>
      </c>
      <c r="C14" s="303" t="str">
        <f>Commodities!Y10</f>
        <v>INDZNC</v>
      </c>
      <c r="D14" s="322"/>
      <c r="E14" s="322"/>
      <c r="F14" s="322"/>
      <c r="G14" s="322"/>
      <c r="H14" s="322"/>
      <c r="I14" s="322"/>
      <c r="J14" s="322"/>
      <c r="K14" s="322"/>
      <c r="L14" s="322"/>
      <c r="M14" s="322"/>
      <c r="N14" s="322"/>
      <c r="O14" s="322"/>
      <c r="P14" s="322"/>
      <c r="Q14" s="322"/>
      <c r="R14" s="322"/>
      <c r="S14" s="322"/>
      <c r="T14" s="322"/>
      <c r="U14" s="322"/>
    </row>
    <row r="15" spans="1:29" x14ac:dyDescent="0.25">
      <c r="A15" s="99">
        <f t="shared" si="2"/>
        <v>10</v>
      </c>
      <c r="B15" s="303" t="s">
        <v>384</v>
      </c>
      <c r="C15" s="303" t="str">
        <f>Commodities!Y12</f>
        <v>INDONF</v>
      </c>
      <c r="D15" s="322">
        <v>0</v>
      </c>
      <c r="E15" s="322">
        <v>0</v>
      </c>
      <c r="F15" s="322">
        <v>0</v>
      </c>
      <c r="G15" s="322">
        <v>0</v>
      </c>
      <c r="H15" s="322">
        <v>0</v>
      </c>
      <c r="I15" s="322">
        <v>0</v>
      </c>
      <c r="J15" s="322">
        <v>0</v>
      </c>
      <c r="K15" s="322">
        <v>0</v>
      </c>
      <c r="L15" s="322">
        <v>0</v>
      </c>
      <c r="M15" s="322">
        <v>0</v>
      </c>
      <c r="N15" s="322">
        <v>0</v>
      </c>
      <c r="O15" s="322">
        <v>0</v>
      </c>
      <c r="P15" s="322">
        <v>0</v>
      </c>
      <c r="Q15" s="322">
        <v>0</v>
      </c>
      <c r="R15" s="322">
        <v>0</v>
      </c>
      <c r="S15" s="322">
        <v>0</v>
      </c>
      <c r="T15" s="322">
        <v>0</v>
      </c>
      <c r="U15" s="322">
        <v>0</v>
      </c>
    </row>
    <row r="16" spans="1:29" x14ac:dyDescent="0.25">
      <c r="A16" s="99">
        <f t="shared" si="2"/>
        <v>11</v>
      </c>
      <c r="B16" s="324" t="s">
        <v>271</v>
      </c>
      <c r="C16" s="296"/>
      <c r="D16" s="325" t="str">
        <f>IF(SUM(D12:D15)&lt;&gt;1,"ERR: " &amp;  SUM(D12:D15),SUM(D12:D15))</f>
        <v>ERR: 0</v>
      </c>
      <c r="E16" s="325" t="str">
        <f t="shared" ref="E16:U16" si="3">IF(SUM(E12:E15)&lt;&gt;1,"ERR: " &amp;  SUM(E12:E15),SUM(E12:E15))</f>
        <v>ERR: 0</v>
      </c>
      <c r="F16" s="325" t="str">
        <f t="shared" si="3"/>
        <v>ERR: 0</v>
      </c>
      <c r="G16" s="325" t="str">
        <f t="shared" si="3"/>
        <v>ERR: 0</v>
      </c>
      <c r="H16" s="325" t="str">
        <f t="shared" si="3"/>
        <v>ERR: 0</v>
      </c>
      <c r="I16" s="325" t="str">
        <f t="shared" si="3"/>
        <v>ERR: 0</v>
      </c>
      <c r="J16" s="325" t="str">
        <f t="shared" si="3"/>
        <v>ERR: 0</v>
      </c>
      <c r="K16" s="325" t="str">
        <f t="shared" si="3"/>
        <v>ERR: 0</v>
      </c>
      <c r="L16" s="325" t="str">
        <f t="shared" si="3"/>
        <v>ERR: 0</v>
      </c>
      <c r="M16" s="325" t="str">
        <f t="shared" si="3"/>
        <v>ERR: 0</v>
      </c>
      <c r="N16" s="325" t="str">
        <f t="shared" si="3"/>
        <v>ERR: 0</v>
      </c>
      <c r="O16" s="325" t="str">
        <f t="shared" si="3"/>
        <v>ERR: 0</v>
      </c>
      <c r="P16" s="325" t="str">
        <f t="shared" si="3"/>
        <v>ERR: 0</v>
      </c>
      <c r="Q16" s="325" t="str">
        <f t="shared" si="3"/>
        <v>ERR: 0</v>
      </c>
      <c r="R16" s="325" t="str">
        <f t="shared" si="3"/>
        <v>ERR: 0</v>
      </c>
      <c r="S16" s="325" t="str">
        <f t="shared" si="3"/>
        <v>ERR: 0</v>
      </c>
      <c r="T16" s="325" t="str">
        <f t="shared" si="3"/>
        <v>ERR: 0</v>
      </c>
      <c r="U16" s="325" t="str">
        <f t="shared" si="3"/>
        <v>ERR: 0</v>
      </c>
    </row>
    <row r="17" spans="1:22" x14ac:dyDescent="0.25">
      <c r="A17" s="99">
        <f t="shared" si="2"/>
        <v>12</v>
      </c>
    </row>
    <row r="18" spans="1:22" x14ac:dyDescent="0.25">
      <c r="A18" s="99">
        <f t="shared" si="2"/>
        <v>13</v>
      </c>
    </row>
    <row r="19" spans="1:22" x14ac:dyDescent="0.25">
      <c r="A19" s="99">
        <f t="shared" si="2"/>
        <v>14</v>
      </c>
      <c r="B19" s="130" t="s">
        <v>274</v>
      </c>
      <c r="C19" s="299"/>
      <c r="D19" s="299"/>
      <c r="E19" s="299"/>
      <c r="F19" s="299"/>
      <c r="G19" s="299"/>
      <c r="H19" s="299"/>
      <c r="I19" s="299"/>
      <c r="J19" s="299"/>
      <c r="K19" s="299"/>
      <c r="L19" s="299"/>
      <c r="M19" s="299"/>
      <c r="N19" s="299"/>
      <c r="O19" s="299"/>
      <c r="P19" s="299"/>
      <c r="Q19" s="299"/>
      <c r="R19" s="299"/>
      <c r="S19" s="299"/>
      <c r="T19" s="299"/>
      <c r="U19" s="299"/>
      <c r="V19" s="213"/>
    </row>
    <row r="20" spans="1:22" ht="14.4" thickBot="1" x14ac:dyDescent="0.3">
      <c r="A20" s="99">
        <f t="shared" si="2"/>
        <v>15</v>
      </c>
      <c r="B20" s="102"/>
      <c r="C20" s="135"/>
      <c r="D20" s="135" t="str">
        <f t="shared" ref="D20:U28" si="4">D$6</f>
        <v>INDCOABIC</v>
      </c>
      <c r="E20" s="135" t="str">
        <f t="shared" si="4"/>
        <v>INDCOASUB</v>
      </c>
      <c r="F20" s="135" t="str">
        <f t="shared" si="4"/>
        <v>INDCOABCO</v>
      </c>
      <c r="G20" s="135" t="str">
        <f t="shared" si="4"/>
        <v>INDCOACOC</v>
      </c>
      <c r="H20" s="135" t="str">
        <f t="shared" si="4"/>
        <v>INDCOABKB</v>
      </c>
      <c r="I20" s="135" t="str">
        <f t="shared" si="4"/>
        <v>INDOILLPG</v>
      </c>
      <c r="J20" s="135" t="str">
        <f t="shared" si="4"/>
        <v>INDOILGSL</v>
      </c>
      <c r="K20" s="135" t="str">
        <f t="shared" si="4"/>
        <v>INDOILDSL</v>
      </c>
      <c r="L20" s="135" t="str">
        <f t="shared" si="4"/>
        <v>INDOILHFO</v>
      </c>
      <c r="M20" s="135" t="str">
        <f t="shared" si="4"/>
        <v>INDOILPCK</v>
      </c>
      <c r="N20" s="135" t="str">
        <f t="shared" si="4"/>
        <v>INDOILOTH</v>
      </c>
      <c r="O20" s="135" t="str">
        <f t="shared" si="4"/>
        <v>INDGASNAT</v>
      </c>
      <c r="P20" s="135" t="str">
        <f t="shared" si="4"/>
        <v>INDGASBFG</v>
      </c>
      <c r="Q20" s="135" t="str">
        <f t="shared" si="4"/>
        <v>INDBIOLOG</v>
      </c>
      <c r="R20" s="135" t="str">
        <f t="shared" si="4"/>
        <v>INDBIOCHR</v>
      </c>
      <c r="S20" s="135" t="str">
        <f t="shared" si="4"/>
        <v>INDBIOBGS</v>
      </c>
      <c r="T20" s="135" t="str">
        <f>NFM_Techs!E18</f>
        <v>INDNFMHTH</v>
      </c>
      <c r="U20" s="135" t="str">
        <f t="shared" si="4"/>
        <v>INDELC</v>
      </c>
      <c r="V20" s="366"/>
    </row>
    <row r="21" spans="1:22" x14ac:dyDescent="0.25">
      <c r="A21" s="99">
        <f t="shared" si="2"/>
        <v>16</v>
      </c>
      <c r="B21" s="303" t="str">
        <f>B11</f>
        <v>Aluminium</v>
      </c>
      <c r="C21" s="303" t="str">
        <f>NFM_Techs!E6</f>
        <v>INDALU</v>
      </c>
      <c r="D21" s="304">
        <f>NFM_Techs!L19*NFM_Techs!I17/1.1+NFM_Techs!L32*NFM_Techs!I30/1.1+NFM_Techs!I37*NFM_Techs!L41/1.1</f>
        <v>6.8159999999999991E-3</v>
      </c>
      <c r="E21" s="304"/>
      <c r="F21" s="304"/>
      <c r="G21" s="304"/>
      <c r="H21" s="304"/>
      <c r="I21" s="304"/>
      <c r="J21" s="304"/>
      <c r="K21" s="304"/>
      <c r="L21" s="304">
        <f>NFM_Techs!L20*NFM_Techs!I17/1.1+NFM_Techs!L26*NFM_Techs!I24/1.1+NFM_Techs!L33*NFM_Techs!I30/1.1+NFM_Techs!L39*NFM_Techs!I37/1.1</f>
        <v>5.9639999999999997E-4</v>
      </c>
      <c r="M21" s="304"/>
      <c r="N21" s="304"/>
      <c r="O21" s="304"/>
      <c r="P21" s="304"/>
      <c r="Q21" s="304"/>
      <c r="R21" s="304"/>
      <c r="S21" s="304"/>
      <c r="T21" s="304">
        <f>NFM_Techs!L18*NFM_Techs!I17/1.1+NFM_Techs!L25*NFM_Techs!I24/1.1+NFM_Techs!L38*NFM_Techs!I37/1.1</f>
        <v>0</v>
      </c>
      <c r="U21" s="304">
        <f>NFM_Techs!L17*NFM_Techs!I17/1.1+NFM_Techs!L24*NFM_Techs!I24/1.1+NFM_Techs!L30*NFM_Techs!I30/1.1+NFM_Techs!L37*NFM_Techs!I37/1.1</f>
        <v>3.4761600000000004E-2</v>
      </c>
    </row>
    <row r="22" spans="1:22" ht="14.4" thickBot="1" x14ac:dyDescent="0.3">
      <c r="A22" s="99">
        <f t="shared" si="2"/>
        <v>17</v>
      </c>
      <c r="B22" s="102"/>
      <c r="C22" s="135"/>
      <c r="D22" s="135" t="str">
        <f t="shared" si="4"/>
        <v>INDCOABIC</v>
      </c>
      <c r="E22" s="135" t="str">
        <f t="shared" si="4"/>
        <v>INDCOASUB</v>
      </c>
      <c r="F22" s="135" t="str">
        <f t="shared" si="4"/>
        <v>INDCOABCO</v>
      </c>
      <c r="G22" s="135" t="str">
        <f t="shared" si="4"/>
        <v>INDCOACOC</v>
      </c>
      <c r="H22" s="135" t="str">
        <f t="shared" si="4"/>
        <v>INDCOABKB</v>
      </c>
      <c r="I22" s="135" t="str">
        <f t="shared" si="4"/>
        <v>INDOILLPG</v>
      </c>
      <c r="J22" s="135" t="str">
        <f t="shared" si="4"/>
        <v>INDOILGSL</v>
      </c>
      <c r="K22" s="135" t="str">
        <f t="shared" si="4"/>
        <v>INDOILDSL</v>
      </c>
      <c r="L22" s="135" t="str">
        <f t="shared" si="4"/>
        <v>INDOILHFO</v>
      </c>
      <c r="M22" s="135" t="str">
        <f t="shared" si="4"/>
        <v>INDOILPCK</v>
      </c>
      <c r="N22" s="135" t="str">
        <f t="shared" si="4"/>
        <v>INDOILOTH</v>
      </c>
      <c r="O22" s="135" t="str">
        <f t="shared" si="4"/>
        <v>INDGASNAT</v>
      </c>
      <c r="P22" s="135" t="str">
        <f t="shared" si="4"/>
        <v>INDGASBFG</v>
      </c>
      <c r="Q22" s="135" t="str">
        <f t="shared" si="4"/>
        <v>INDBIOLOG</v>
      </c>
      <c r="R22" s="135" t="str">
        <f t="shared" si="4"/>
        <v>INDBIOCHR</v>
      </c>
      <c r="S22" s="135" t="str">
        <f t="shared" si="4"/>
        <v>INDBIOBGS</v>
      </c>
      <c r="T22" s="135" t="str">
        <f>T20</f>
        <v>INDNFMHTH</v>
      </c>
      <c r="U22" s="135" t="str">
        <f t="shared" si="4"/>
        <v>INDELC</v>
      </c>
      <c r="V22" s="366"/>
    </row>
    <row r="23" spans="1:22" x14ac:dyDescent="0.25">
      <c r="A23" s="99">
        <f t="shared" si="2"/>
        <v>18</v>
      </c>
      <c r="B23" s="303" t="str">
        <f>B12</f>
        <v>Finished Copper</v>
      </c>
      <c r="C23" s="303" t="str">
        <f>C12</f>
        <v>INDCOP</v>
      </c>
      <c r="D23" s="304">
        <f>NFM_Techs!I44*NFM_Techs!L49/1.1+NFM_Techs!I53*NFM_Techs!L58/1.1</f>
        <v>1.99375E-2</v>
      </c>
      <c r="E23" s="304"/>
      <c r="F23" s="304"/>
      <c r="G23" s="304"/>
      <c r="H23" s="304"/>
      <c r="I23" s="304"/>
      <c r="J23" s="304"/>
      <c r="K23" s="304"/>
      <c r="L23" s="304">
        <f>NFM_Techs!L46*NFM_Techs!I44/1.1+NFM_Techs!I53*NFM_Techs!L55/1.1</f>
        <v>5.5000000000000005E-3</v>
      </c>
      <c r="M23" s="304"/>
      <c r="N23" s="304"/>
      <c r="O23" s="304"/>
      <c r="P23" s="304"/>
      <c r="Q23" s="304"/>
      <c r="R23" s="304"/>
      <c r="S23" s="304"/>
      <c r="T23" s="304">
        <f>NFM_Techs!L45*NFM_Techs!I44/1.1+NFM_Techs!L54*NFM_Techs!I53/1.1+NFM_Techs!L63*NFM_Techs!I62/1.1</f>
        <v>2.0625000000000001E-3</v>
      </c>
      <c r="U23" s="304">
        <f>NFM_Techs!L48*NFM_Techs!I44/1.1+NFM_Techs!I53*NFM_Techs!L57/1.1+NFM_Techs!L66*NFM_Techs!I62/1.1</f>
        <v>1.5125E-2</v>
      </c>
    </row>
    <row r="24" spans="1:22" ht="14.4" thickBot="1" x14ac:dyDescent="0.3">
      <c r="A24" s="99">
        <f t="shared" si="2"/>
        <v>19</v>
      </c>
      <c r="B24" s="102"/>
      <c r="C24" s="135"/>
      <c r="D24" s="135" t="str">
        <f t="shared" ref="D24:U24" si="5">D$6</f>
        <v>INDCOABIC</v>
      </c>
      <c r="E24" s="135" t="str">
        <f t="shared" si="5"/>
        <v>INDCOASUB</v>
      </c>
      <c r="F24" s="135" t="str">
        <f t="shared" si="5"/>
        <v>INDCOABCO</v>
      </c>
      <c r="G24" s="135" t="str">
        <f t="shared" si="4"/>
        <v>INDCOACOC</v>
      </c>
      <c r="H24" s="135" t="str">
        <f t="shared" si="5"/>
        <v>INDCOABKB</v>
      </c>
      <c r="I24" s="135" t="str">
        <f t="shared" si="5"/>
        <v>INDOILLPG</v>
      </c>
      <c r="J24" s="135" t="str">
        <f t="shared" si="5"/>
        <v>INDOILGSL</v>
      </c>
      <c r="K24" s="135" t="str">
        <f t="shared" si="5"/>
        <v>INDOILDSL</v>
      </c>
      <c r="L24" s="135" t="str">
        <f t="shared" si="5"/>
        <v>INDOILHFO</v>
      </c>
      <c r="M24" s="135" t="str">
        <f t="shared" si="5"/>
        <v>INDOILPCK</v>
      </c>
      <c r="N24" s="135" t="str">
        <f t="shared" si="5"/>
        <v>INDOILOTH</v>
      </c>
      <c r="O24" s="135" t="str">
        <f t="shared" si="5"/>
        <v>INDGASNAT</v>
      </c>
      <c r="P24" s="135" t="str">
        <f t="shared" si="5"/>
        <v>INDGASBFG</v>
      </c>
      <c r="Q24" s="135" t="str">
        <f t="shared" si="5"/>
        <v>INDBIOLOG</v>
      </c>
      <c r="R24" s="135" t="str">
        <f t="shared" si="5"/>
        <v>INDBIOCHR</v>
      </c>
      <c r="S24" s="135" t="str">
        <f t="shared" si="5"/>
        <v>INDBIOBGS</v>
      </c>
      <c r="T24" s="135" t="str">
        <f>T22</f>
        <v>INDNFMHTH</v>
      </c>
      <c r="U24" s="135" t="str">
        <f t="shared" si="5"/>
        <v>INDELC</v>
      </c>
    </row>
    <row r="25" spans="1:22" x14ac:dyDescent="0.25">
      <c r="A25" s="99">
        <f t="shared" si="2"/>
        <v>20</v>
      </c>
      <c r="B25" s="303" t="str">
        <f>B13</f>
        <v>Lead</v>
      </c>
      <c r="C25" s="303" t="str">
        <f>C13</f>
        <v>INDLED</v>
      </c>
      <c r="D25" s="304">
        <f>NFM_Techs!I72*NFM_Techs!L77/1.1</f>
        <v>0</v>
      </c>
      <c r="E25" s="304"/>
      <c r="F25" s="304"/>
      <c r="G25" s="304"/>
      <c r="H25" s="304"/>
      <c r="I25" s="304"/>
      <c r="J25" s="304"/>
      <c r="K25" s="304"/>
      <c r="L25" s="304">
        <f>NFM_Techs!L74*NFM_Techs!I72/1.1</f>
        <v>0</v>
      </c>
      <c r="M25" s="304"/>
      <c r="N25" s="304"/>
      <c r="O25" s="304"/>
      <c r="P25" s="304"/>
      <c r="Q25" s="304"/>
      <c r="R25" s="304"/>
      <c r="S25" s="304"/>
      <c r="T25" s="304">
        <f>NFM_Techs!L73*NFM_Techs!I72/1.1</f>
        <v>0</v>
      </c>
      <c r="U25" s="304">
        <f>NFM_Techs!L76*NFM_Techs!I72/1.1</f>
        <v>0</v>
      </c>
    </row>
    <row r="26" spans="1:22" ht="14.4" thickBot="1" x14ac:dyDescent="0.3">
      <c r="A26" s="99">
        <f t="shared" si="2"/>
        <v>21</v>
      </c>
      <c r="B26" s="102"/>
      <c r="C26" s="135"/>
      <c r="D26" s="135" t="str">
        <f t="shared" ref="D26:U26" si="6">D$6</f>
        <v>INDCOABIC</v>
      </c>
      <c r="E26" s="135" t="str">
        <f t="shared" si="6"/>
        <v>INDCOASUB</v>
      </c>
      <c r="F26" s="135" t="str">
        <f t="shared" si="6"/>
        <v>INDCOABCO</v>
      </c>
      <c r="G26" s="135" t="str">
        <f t="shared" si="4"/>
        <v>INDCOACOC</v>
      </c>
      <c r="H26" s="135" t="str">
        <f t="shared" si="6"/>
        <v>INDCOABKB</v>
      </c>
      <c r="I26" s="135" t="str">
        <f t="shared" si="6"/>
        <v>INDOILLPG</v>
      </c>
      <c r="J26" s="135" t="str">
        <f t="shared" si="6"/>
        <v>INDOILGSL</v>
      </c>
      <c r="K26" s="135" t="str">
        <f t="shared" si="6"/>
        <v>INDOILDSL</v>
      </c>
      <c r="L26" s="135" t="str">
        <f t="shared" si="6"/>
        <v>INDOILHFO</v>
      </c>
      <c r="M26" s="135" t="str">
        <f t="shared" si="6"/>
        <v>INDOILPCK</v>
      </c>
      <c r="N26" s="135" t="str">
        <f t="shared" si="6"/>
        <v>INDOILOTH</v>
      </c>
      <c r="O26" s="135" t="str">
        <f t="shared" si="6"/>
        <v>INDGASNAT</v>
      </c>
      <c r="P26" s="135" t="str">
        <f t="shared" si="6"/>
        <v>INDGASBFG</v>
      </c>
      <c r="Q26" s="135" t="str">
        <f t="shared" si="6"/>
        <v>INDBIOLOG</v>
      </c>
      <c r="R26" s="135" t="str">
        <f t="shared" si="6"/>
        <v>INDBIOCHR</v>
      </c>
      <c r="S26" s="135" t="str">
        <f t="shared" si="6"/>
        <v>INDBIOBGS</v>
      </c>
      <c r="T26" s="135" t="str">
        <f>T24</f>
        <v>INDNFMHTH</v>
      </c>
      <c r="U26" s="135" t="str">
        <f t="shared" si="6"/>
        <v>INDELC</v>
      </c>
    </row>
    <row r="27" spans="1:22" x14ac:dyDescent="0.25">
      <c r="A27" s="99">
        <f t="shared" si="2"/>
        <v>22</v>
      </c>
      <c r="B27" s="303" t="str">
        <f>B14</f>
        <v>Zinc</v>
      </c>
      <c r="C27" s="303" t="str">
        <f>C14</f>
        <v>INDZNC</v>
      </c>
      <c r="D27" s="304">
        <f>NFM_Techs!L86*NFM_Techs!I81/1.1</f>
        <v>0</v>
      </c>
      <c r="E27" s="304"/>
      <c r="F27" s="304"/>
      <c r="G27" s="304"/>
      <c r="H27" s="304"/>
      <c r="I27" s="304"/>
      <c r="J27" s="304"/>
      <c r="K27" s="304"/>
      <c r="L27" s="304"/>
      <c r="M27" s="304"/>
      <c r="N27" s="304"/>
      <c r="O27" s="304"/>
      <c r="P27" s="304"/>
      <c r="Q27" s="304"/>
      <c r="R27" s="304"/>
      <c r="S27" s="304"/>
      <c r="T27" s="304">
        <f>NFM_Techs!L82*NFM_Techs!I81/1.1</f>
        <v>0</v>
      </c>
      <c r="U27" s="304">
        <f>NFM_Techs!L85*NFM_Techs!I81/1.1</f>
        <v>0</v>
      </c>
    </row>
    <row r="28" spans="1:22" ht="14.4" thickBot="1" x14ac:dyDescent="0.3">
      <c r="A28" s="99">
        <f t="shared" si="2"/>
        <v>23</v>
      </c>
      <c r="B28" s="102"/>
      <c r="C28" s="135"/>
      <c r="D28" s="135" t="str">
        <f t="shared" ref="D28:U28" si="7">D$6</f>
        <v>INDCOABIC</v>
      </c>
      <c r="E28" s="135" t="str">
        <f t="shared" si="7"/>
        <v>INDCOASUB</v>
      </c>
      <c r="F28" s="135" t="str">
        <f t="shared" si="7"/>
        <v>INDCOABCO</v>
      </c>
      <c r="G28" s="135" t="str">
        <f t="shared" si="4"/>
        <v>INDCOACOC</v>
      </c>
      <c r="H28" s="135" t="str">
        <f t="shared" si="7"/>
        <v>INDCOABKB</v>
      </c>
      <c r="I28" s="135" t="str">
        <f t="shared" si="7"/>
        <v>INDOILLPG</v>
      </c>
      <c r="J28" s="135" t="str">
        <f t="shared" si="7"/>
        <v>INDOILGSL</v>
      </c>
      <c r="K28" s="135" t="str">
        <f t="shared" si="7"/>
        <v>INDOILDSL</v>
      </c>
      <c r="L28" s="135" t="str">
        <f t="shared" si="7"/>
        <v>INDOILHFO</v>
      </c>
      <c r="M28" s="135" t="str">
        <f t="shared" si="7"/>
        <v>INDOILPCK</v>
      </c>
      <c r="N28" s="135" t="str">
        <f t="shared" si="7"/>
        <v>INDOILOTH</v>
      </c>
      <c r="O28" s="135" t="str">
        <f t="shared" si="7"/>
        <v>INDGASNAT</v>
      </c>
      <c r="P28" s="135" t="str">
        <f t="shared" si="7"/>
        <v>INDGASBFG</v>
      </c>
      <c r="Q28" s="135" t="str">
        <f t="shared" si="7"/>
        <v>INDBIOLOG</v>
      </c>
      <c r="R28" s="135" t="str">
        <f t="shared" si="7"/>
        <v>INDBIOCHR</v>
      </c>
      <c r="S28" s="135" t="str">
        <f t="shared" si="7"/>
        <v>INDBIOBGS</v>
      </c>
      <c r="T28" s="135" t="str">
        <f>T26</f>
        <v>INDNFMHTH</v>
      </c>
      <c r="U28" s="135" t="str">
        <f t="shared" si="7"/>
        <v>INDELC</v>
      </c>
    </row>
    <row r="29" spans="1:22" x14ac:dyDescent="0.25">
      <c r="A29" s="99">
        <f t="shared" si="2"/>
        <v>24</v>
      </c>
      <c r="B29" s="303" t="str">
        <f>B15</f>
        <v>Other Non Ferrous</v>
      </c>
      <c r="C29" s="303" t="str">
        <f>C15</f>
        <v>INDONF</v>
      </c>
      <c r="D29" s="304">
        <f>NFM_Techs!L95*NFM_Techs!I90/1.1</f>
        <v>2.4834950000000001E-2</v>
      </c>
      <c r="E29" s="304">
        <f t="shared" ref="E29:K29" si="8">E15*E7</f>
        <v>0</v>
      </c>
      <c r="F29" s="304">
        <f t="shared" si="8"/>
        <v>0</v>
      </c>
      <c r="G29" s="304">
        <f t="shared" si="8"/>
        <v>0</v>
      </c>
      <c r="H29" s="304">
        <f t="shared" si="8"/>
        <v>0</v>
      </c>
      <c r="I29" s="304">
        <f t="shared" si="8"/>
        <v>0</v>
      </c>
      <c r="J29" s="304">
        <f t="shared" si="8"/>
        <v>0</v>
      </c>
      <c r="K29" s="304">
        <f t="shared" si="8"/>
        <v>0</v>
      </c>
      <c r="L29" s="304">
        <f>NFM_Techs!L92*NFM_Techs!I90/1.1</f>
        <v>2.1287100000000002E-3</v>
      </c>
      <c r="M29" s="304">
        <f t="shared" ref="M29:S29" si="9">M15*M7</f>
        <v>0</v>
      </c>
      <c r="N29" s="304">
        <f t="shared" si="9"/>
        <v>0</v>
      </c>
      <c r="O29" s="304">
        <f t="shared" si="9"/>
        <v>0</v>
      </c>
      <c r="P29" s="304">
        <f t="shared" si="9"/>
        <v>0</v>
      </c>
      <c r="Q29" s="304">
        <f t="shared" si="9"/>
        <v>0</v>
      </c>
      <c r="R29" s="304">
        <f t="shared" si="9"/>
        <v>0</v>
      </c>
      <c r="S29" s="304">
        <f t="shared" si="9"/>
        <v>0</v>
      </c>
      <c r="T29" s="304">
        <f>NFM_Techs!L91*NFM_Techs!I90/1.1</f>
        <v>0</v>
      </c>
      <c r="U29" s="304">
        <f>NFM_Techs!I90*NFM_Techs!L94/1.1</f>
        <v>3.1930650000000005E-2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P99"/>
  <sheetViews>
    <sheetView topLeftCell="A26" zoomScale="60" zoomScaleNormal="60" workbookViewId="0">
      <selection activeCell="A26" sqref="A1:XFD1048576"/>
    </sheetView>
  </sheetViews>
  <sheetFormatPr defaultColWidth="9.109375" defaultRowHeight="13.8" x14ac:dyDescent="0.25"/>
  <cols>
    <col min="1" max="1" width="5.88671875" style="99" customWidth="1"/>
    <col min="2" max="2" width="22.5546875" style="99" customWidth="1"/>
    <col min="3" max="3" width="22.6640625" style="99" bestFit="1" customWidth="1"/>
    <col min="4" max="4" width="36.88671875" style="99" customWidth="1"/>
    <col min="5" max="5" width="37.88671875" style="99" customWidth="1"/>
    <col min="6" max="6" width="16.6640625" style="99" customWidth="1"/>
    <col min="7" max="7" width="18.5546875" style="99" customWidth="1"/>
    <col min="8" max="8" width="24.33203125" style="99" bestFit="1" customWidth="1"/>
    <col min="9" max="9" width="19.88671875" style="99" customWidth="1"/>
    <col min="10" max="10" width="23.5546875" style="99" customWidth="1"/>
    <col min="11" max="11" width="23.44140625" style="99" bestFit="1" customWidth="1"/>
    <col min="12" max="12" width="16.88671875" style="99" bestFit="1" customWidth="1"/>
    <col min="13" max="13" width="16.88671875" style="99" customWidth="1"/>
    <col min="14" max="14" width="24.88671875" style="99" bestFit="1" customWidth="1"/>
    <col min="15" max="16" width="24.88671875" style="99" customWidth="1"/>
    <col min="17" max="17" width="11.88671875" style="99" customWidth="1"/>
    <col min="18" max="18" width="11.6640625" style="99" customWidth="1"/>
    <col min="19" max="19" width="24.88671875" style="99" customWidth="1"/>
    <col min="20" max="20" width="20.44140625" style="99" bestFit="1" customWidth="1"/>
    <col min="21" max="21" width="31" style="99" customWidth="1"/>
    <col min="22" max="22" width="42.6640625" style="99" customWidth="1"/>
    <col min="23" max="23" width="11.44140625" style="99" bestFit="1" customWidth="1"/>
    <col min="24" max="24" width="12.44140625" style="99" bestFit="1" customWidth="1"/>
    <col min="25" max="25" width="9.6640625" style="99" bestFit="1" customWidth="1"/>
    <col min="26" max="26" width="13" style="99" bestFit="1" customWidth="1"/>
    <col min="27" max="27" width="18.6640625" style="99" bestFit="1" customWidth="1"/>
    <col min="28" max="28" width="13.109375" style="99" bestFit="1" customWidth="1"/>
    <col min="29" max="29" width="24.44140625" style="99" bestFit="1" customWidth="1"/>
    <col min="30" max="30" width="22" style="99" bestFit="1" customWidth="1"/>
    <col min="31" max="31" width="9.109375" style="99"/>
    <col min="32" max="32" width="10.5546875" style="99" bestFit="1" customWidth="1"/>
    <col min="33" max="33" width="12.6640625" style="99" bestFit="1" customWidth="1"/>
    <col min="34" max="34" width="20.5546875" style="99" bestFit="1" customWidth="1"/>
    <col min="35" max="35" width="17" style="99" bestFit="1" customWidth="1"/>
    <col min="36" max="36" width="10.88671875" style="99" customWidth="1"/>
    <col min="37" max="37" width="14.44140625" style="99" customWidth="1"/>
    <col min="38" max="39" width="9.109375" style="99"/>
    <col min="40" max="40" width="55.33203125" style="99" customWidth="1"/>
    <col min="41" max="41" width="22.6640625" style="99" bestFit="1" customWidth="1"/>
    <col min="42" max="42" width="10.109375" style="99" bestFit="1" customWidth="1"/>
    <col min="43" max="16384" width="9.109375" style="99"/>
  </cols>
  <sheetData>
    <row r="1" spans="2:42" x14ac:dyDescent="0.25">
      <c r="B1" s="108" t="s">
        <v>276</v>
      </c>
    </row>
    <row r="2" spans="2:42" x14ac:dyDescent="0.25">
      <c r="E2" s="108" t="s">
        <v>15</v>
      </c>
      <c r="F2" s="108"/>
      <c r="L2" s="108" t="s">
        <v>15</v>
      </c>
      <c r="M2" s="108"/>
      <c r="T2" s="108" t="s">
        <v>15</v>
      </c>
      <c r="U2" s="108"/>
      <c r="AB2" s="108" t="s">
        <v>15</v>
      </c>
      <c r="AI2" s="108" t="s">
        <v>15</v>
      </c>
    </row>
    <row r="3" spans="2:42" x14ac:dyDescent="0.25">
      <c r="B3" s="130" t="s">
        <v>33</v>
      </c>
      <c r="C3" s="217" t="s">
        <v>278</v>
      </c>
      <c r="D3" s="217" t="s">
        <v>284</v>
      </c>
      <c r="E3" s="217" t="s">
        <v>0</v>
      </c>
      <c r="F3" s="217" t="s">
        <v>279</v>
      </c>
      <c r="G3" s="218" t="str">
        <f>BASE_YEAR</f>
        <v>2017</v>
      </c>
      <c r="I3" s="130" t="s">
        <v>33</v>
      </c>
      <c r="J3" s="217" t="s">
        <v>278</v>
      </c>
      <c r="K3" s="217" t="s">
        <v>284</v>
      </c>
      <c r="L3" s="217" t="s">
        <v>0</v>
      </c>
      <c r="M3" s="217" t="s">
        <v>279</v>
      </c>
      <c r="N3" s="218" t="str">
        <f>BASE_YEAR</f>
        <v>2017</v>
      </c>
      <c r="Q3" s="130" t="s">
        <v>33</v>
      </c>
      <c r="R3" s="217" t="s">
        <v>278</v>
      </c>
      <c r="S3" s="217" t="s">
        <v>284</v>
      </c>
      <c r="T3" s="217" t="s">
        <v>0</v>
      </c>
      <c r="U3" s="217" t="s">
        <v>279</v>
      </c>
      <c r="V3" s="218" t="str">
        <f>BASE_YEAR</f>
        <v>2017</v>
      </c>
      <c r="W3" s="333"/>
      <c r="Y3" s="130" t="s">
        <v>33</v>
      </c>
      <c r="Z3" s="217" t="s">
        <v>278</v>
      </c>
      <c r="AA3" s="217" t="s">
        <v>284</v>
      </c>
      <c r="AB3" s="217" t="s">
        <v>0</v>
      </c>
      <c r="AC3" s="217" t="s">
        <v>279</v>
      </c>
      <c r="AD3" s="218" t="str">
        <f>BASE_YEAR</f>
        <v>2017</v>
      </c>
      <c r="AF3" s="130" t="s">
        <v>33</v>
      </c>
      <c r="AG3" s="217" t="s">
        <v>278</v>
      </c>
      <c r="AH3" s="217" t="s">
        <v>284</v>
      </c>
      <c r="AI3" s="217" t="s">
        <v>0</v>
      </c>
      <c r="AJ3" s="217" t="s">
        <v>279</v>
      </c>
      <c r="AK3" s="218" t="str">
        <f>BASE_YEAR</f>
        <v>2017</v>
      </c>
      <c r="AN3" s="99" t="s">
        <v>792</v>
      </c>
      <c r="AO3" s="99" t="s">
        <v>791</v>
      </c>
      <c r="AP3" s="99" t="s">
        <v>801</v>
      </c>
    </row>
    <row r="4" spans="2:42" ht="42" thickBot="1" x14ac:dyDescent="0.3">
      <c r="B4" s="135" t="s">
        <v>150</v>
      </c>
      <c r="C4" s="135" t="s">
        <v>152</v>
      </c>
      <c r="D4" s="135"/>
      <c r="E4" s="135" t="s">
        <v>280</v>
      </c>
      <c r="F4" s="135" t="s">
        <v>281</v>
      </c>
      <c r="G4" s="136" t="s">
        <v>282</v>
      </c>
      <c r="I4" s="135" t="s">
        <v>150</v>
      </c>
      <c r="J4" s="135" t="s">
        <v>152</v>
      </c>
      <c r="K4" s="135"/>
      <c r="L4" s="135" t="s">
        <v>280</v>
      </c>
      <c r="M4" s="135" t="s">
        <v>281</v>
      </c>
      <c r="N4" s="136" t="s">
        <v>282</v>
      </c>
      <c r="Q4" s="135" t="s">
        <v>150</v>
      </c>
      <c r="R4" s="135" t="s">
        <v>152</v>
      </c>
      <c r="S4" s="135"/>
      <c r="T4" s="135" t="s">
        <v>280</v>
      </c>
      <c r="U4" s="135" t="s">
        <v>281</v>
      </c>
      <c r="V4" s="136" t="s">
        <v>282</v>
      </c>
      <c r="W4" s="138"/>
      <c r="Y4" s="135" t="s">
        <v>150</v>
      </c>
      <c r="Z4" s="135" t="s">
        <v>152</v>
      </c>
      <c r="AA4" s="135"/>
      <c r="AB4" s="135" t="s">
        <v>280</v>
      </c>
      <c r="AC4" s="135" t="s">
        <v>281</v>
      </c>
      <c r="AD4" s="136" t="s">
        <v>282</v>
      </c>
      <c r="AF4" s="135" t="s">
        <v>150</v>
      </c>
      <c r="AG4" s="135" t="s">
        <v>152</v>
      </c>
      <c r="AH4" s="135"/>
      <c r="AI4" s="135" t="s">
        <v>280</v>
      </c>
      <c r="AJ4" s="135" t="s">
        <v>281</v>
      </c>
      <c r="AK4" s="136" t="s">
        <v>282</v>
      </c>
      <c r="AN4" s="99" t="s">
        <v>793</v>
      </c>
      <c r="AO4" s="334"/>
      <c r="AP4" s="335"/>
    </row>
    <row r="5" spans="2:42" ht="14.4" thickBot="1" x14ac:dyDescent="0.3">
      <c r="B5" s="135" t="s">
        <v>152</v>
      </c>
      <c r="C5" s="135" t="s">
        <v>48</v>
      </c>
      <c r="D5" s="135"/>
      <c r="E5" s="135"/>
      <c r="F5" s="135"/>
      <c r="G5" s="136" t="str">
        <f>General!$B$6</f>
        <v>Mt</v>
      </c>
      <c r="I5" s="135" t="s">
        <v>152</v>
      </c>
      <c r="J5" s="135" t="s">
        <v>48</v>
      </c>
      <c r="K5" s="135"/>
      <c r="L5" s="135"/>
      <c r="M5" s="135"/>
      <c r="N5" s="136" t="str">
        <f>General!$B$6</f>
        <v>Mt</v>
      </c>
      <c r="Q5" s="135" t="s">
        <v>152</v>
      </c>
      <c r="R5" s="135" t="s">
        <v>48</v>
      </c>
      <c r="S5" s="135"/>
      <c r="T5" s="135"/>
      <c r="U5" s="135"/>
      <c r="V5" s="136" t="str">
        <f>General!$B$6</f>
        <v>Mt</v>
      </c>
      <c r="W5" s="138"/>
      <c r="Y5" s="135" t="s">
        <v>152</v>
      </c>
      <c r="Z5" s="135" t="s">
        <v>48</v>
      </c>
      <c r="AA5" s="135"/>
      <c r="AB5" s="135"/>
      <c r="AC5" s="135"/>
      <c r="AD5" s="136" t="str">
        <f>General!$B$6</f>
        <v>Mt</v>
      </c>
      <c r="AF5" s="135" t="s">
        <v>152</v>
      </c>
      <c r="AG5" s="135" t="s">
        <v>48</v>
      </c>
      <c r="AH5" s="135"/>
      <c r="AI5" s="135"/>
      <c r="AJ5" s="135"/>
      <c r="AK5" s="136" t="str">
        <f>General!$B$6</f>
        <v>Mt</v>
      </c>
      <c r="AN5" s="99" t="s">
        <v>794</v>
      </c>
      <c r="AO5" s="334"/>
      <c r="AP5" s="335"/>
    </row>
    <row r="6" spans="2:42" x14ac:dyDescent="0.25">
      <c r="B6" s="104"/>
      <c r="C6" s="311" t="s">
        <v>277</v>
      </c>
      <c r="D6" s="104" t="str">
        <f>Commodities!Z8</f>
        <v>Aluminium</v>
      </c>
      <c r="E6" s="104" t="str">
        <f>Commodities!Y8</f>
        <v>INDALU</v>
      </c>
      <c r="F6" s="104" t="s">
        <v>844</v>
      </c>
      <c r="G6" s="336">
        <f>(AO7)/10^3</f>
        <v>0.56799999999999995</v>
      </c>
      <c r="I6" s="104"/>
      <c r="J6" s="311" t="s">
        <v>277</v>
      </c>
      <c r="K6" s="104" t="str">
        <f>NFM_BAL!B12</f>
        <v>Finished Copper</v>
      </c>
      <c r="L6" s="104" t="str">
        <f>NFM_BAL!C12</f>
        <v>INDCOP</v>
      </c>
      <c r="M6" s="104" t="str">
        <f>F6</f>
        <v>kt</v>
      </c>
      <c r="N6" s="316">
        <f>AO10/10^3</f>
        <v>2.0625</v>
      </c>
      <c r="Q6" s="104"/>
      <c r="R6" s="311" t="s">
        <v>277</v>
      </c>
      <c r="S6" s="104" t="str">
        <f>NFM_BAL!B13</f>
        <v>Lead</v>
      </c>
      <c r="T6" s="104" t="str">
        <f>NFM_BAL!C13</f>
        <v>INDLED</v>
      </c>
      <c r="U6" s="104" t="str">
        <f>M6</f>
        <v>kt</v>
      </c>
      <c r="V6" s="219">
        <f>AO8/10^3</f>
        <v>0</v>
      </c>
      <c r="W6" s="211"/>
      <c r="Y6" s="104"/>
      <c r="Z6" s="311" t="s">
        <v>277</v>
      </c>
      <c r="AA6" s="104" t="str">
        <f>NFM_BAL!B14</f>
        <v>Zinc</v>
      </c>
      <c r="AB6" s="104" t="str">
        <f>NFM_BAL!C14</f>
        <v>INDZNC</v>
      </c>
      <c r="AC6" s="104" t="str">
        <f>U6</f>
        <v>kt</v>
      </c>
      <c r="AD6" s="219">
        <f>AO9/10^3</f>
        <v>0</v>
      </c>
      <c r="AF6" s="104"/>
      <c r="AG6" s="311" t="s">
        <v>277</v>
      </c>
      <c r="AH6" s="104" t="str">
        <f>NFM_BAL!B15</f>
        <v>Other Non Ferrous</v>
      </c>
      <c r="AI6" s="104" t="str">
        <f>NFM_BAL!C15</f>
        <v>INDONF</v>
      </c>
      <c r="AJ6" s="104" t="str">
        <f>AC6</f>
        <v>kt</v>
      </c>
      <c r="AK6" s="316">
        <f>((AO4+AO5)/10^6+AO11/10^3)</f>
        <v>7.0957000000000006E-2</v>
      </c>
      <c r="AN6" s="99" t="s">
        <v>795</v>
      </c>
      <c r="AO6" s="334"/>
      <c r="AP6" s="335"/>
    </row>
    <row r="7" spans="2:42" x14ac:dyDescent="0.25">
      <c r="C7" s="104"/>
      <c r="D7" s="104"/>
      <c r="F7" s="119"/>
      <c r="AN7" s="99" t="s">
        <v>796</v>
      </c>
      <c r="AO7" s="334">
        <f t="shared" ref="AO7" si="0">0.000568*10^6</f>
        <v>568</v>
      </c>
      <c r="AP7" s="335"/>
    </row>
    <row r="8" spans="2:42" x14ac:dyDescent="0.25">
      <c r="B8" s="293"/>
      <c r="C8" s="234"/>
      <c r="D8" s="234"/>
      <c r="AN8" s="99" t="s">
        <v>797</v>
      </c>
      <c r="AO8" s="334"/>
      <c r="AP8" s="335"/>
    </row>
    <row r="9" spans="2:42" x14ac:dyDescent="0.25">
      <c r="B9" s="108" t="s">
        <v>385</v>
      </c>
      <c r="T9" s="109"/>
      <c r="U9" s="109" t="s">
        <v>149</v>
      </c>
      <c r="AN9" s="99" t="s">
        <v>798</v>
      </c>
      <c r="AO9" s="334"/>
      <c r="AP9" s="335"/>
    </row>
    <row r="10" spans="2:42" x14ac:dyDescent="0.25">
      <c r="AN10" s="99" t="s">
        <v>799</v>
      </c>
      <c r="AO10" s="334">
        <v>2062.5</v>
      </c>
      <c r="AP10" s="335"/>
    </row>
    <row r="11" spans="2:42" x14ac:dyDescent="0.25">
      <c r="B11" s="108" t="s">
        <v>618</v>
      </c>
      <c r="E11" s="108" t="s">
        <v>377</v>
      </c>
      <c r="F11" s="108" t="s">
        <v>378</v>
      </c>
      <c r="G11" s="108" t="s">
        <v>372</v>
      </c>
      <c r="H11" s="108" t="s">
        <v>371</v>
      </c>
      <c r="I11" s="108" t="s">
        <v>386</v>
      </c>
      <c r="J11" s="108" t="s">
        <v>387</v>
      </c>
      <c r="L11" s="294"/>
      <c r="M11" s="124"/>
      <c r="N11" s="124"/>
      <c r="O11" s="124"/>
      <c r="P11" s="124"/>
      <c r="W11" s="111"/>
      <c r="X11" s="111"/>
      <c r="Y11" s="111"/>
      <c r="Z11" s="111"/>
      <c r="AA11" s="111"/>
      <c r="AN11" s="99" t="s">
        <v>800</v>
      </c>
      <c r="AO11" s="334">
        <f>0.000070957*10^6</f>
        <v>70.957000000000008</v>
      </c>
      <c r="AP11" s="335"/>
    </row>
    <row r="12" spans="2:42" x14ac:dyDescent="0.25">
      <c r="B12" s="108"/>
      <c r="C12" s="123"/>
      <c r="E12" s="122"/>
      <c r="F12" s="122"/>
      <c r="G12" s="122"/>
      <c r="I12" s="294"/>
      <c r="J12" s="294"/>
      <c r="K12" s="124"/>
      <c r="L12" s="124"/>
      <c r="M12" s="124"/>
      <c r="N12" s="124"/>
      <c r="O12" s="124"/>
      <c r="P12" s="124"/>
      <c r="Z12" s="111"/>
      <c r="AA12" s="111"/>
      <c r="AB12" s="111"/>
      <c r="AC12" s="111"/>
      <c r="AD12" s="111"/>
    </row>
    <row r="13" spans="2:42" x14ac:dyDescent="0.25">
      <c r="F13" s="126" t="s">
        <v>15</v>
      </c>
      <c r="G13" s="127"/>
      <c r="H13" s="165"/>
      <c r="I13" s="127"/>
      <c r="J13" s="127"/>
      <c r="K13" s="129"/>
      <c r="V13" s="110" t="s">
        <v>18</v>
      </c>
      <c r="W13" s="110"/>
      <c r="X13" s="111"/>
      <c r="Y13" s="111"/>
      <c r="Z13" s="111"/>
      <c r="AA13" s="111"/>
      <c r="AB13" s="111"/>
      <c r="AC13" s="111"/>
      <c r="AD13" s="111"/>
    </row>
    <row r="14" spans="2:42" ht="21" customHeight="1" x14ac:dyDescent="0.25">
      <c r="B14" s="130" t="s">
        <v>33</v>
      </c>
      <c r="C14" s="130" t="s">
        <v>1</v>
      </c>
      <c r="D14" s="131" t="s">
        <v>41</v>
      </c>
      <c r="E14" s="130" t="s">
        <v>7</v>
      </c>
      <c r="F14" s="132" t="s">
        <v>8</v>
      </c>
      <c r="G14" s="133" t="s">
        <v>17</v>
      </c>
      <c r="H14" s="133" t="s">
        <v>302</v>
      </c>
      <c r="I14" s="133" t="s">
        <v>285</v>
      </c>
      <c r="J14" s="133" t="s">
        <v>3</v>
      </c>
      <c r="K14" s="133" t="s">
        <v>6</v>
      </c>
      <c r="L14" s="220" t="s">
        <v>358</v>
      </c>
      <c r="M14" s="220" t="s">
        <v>359</v>
      </c>
      <c r="N14" s="220" t="s">
        <v>835</v>
      </c>
      <c r="O14" s="220" t="s">
        <v>834</v>
      </c>
      <c r="P14" s="170"/>
      <c r="U14" s="113" t="s">
        <v>13</v>
      </c>
      <c r="V14" s="113" t="s">
        <v>33</v>
      </c>
      <c r="W14" s="113" t="s">
        <v>1</v>
      </c>
      <c r="X14" s="113" t="s">
        <v>2</v>
      </c>
      <c r="Y14" s="113" t="s">
        <v>19</v>
      </c>
      <c r="Z14" s="113" t="s">
        <v>20</v>
      </c>
      <c r="AA14" s="113" t="s">
        <v>21</v>
      </c>
      <c r="AB14" s="113" t="s">
        <v>22</v>
      </c>
      <c r="AC14" s="113" t="s">
        <v>23</v>
      </c>
    </row>
    <row r="15" spans="2:42" ht="29.25" customHeight="1" thickBot="1" x14ac:dyDescent="0.3">
      <c r="B15" s="135" t="s">
        <v>150</v>
      </c>
      <c r="C15" s="136" t="s">
        <v>24</v>
      </c>
      <c r="D15" s="136" t="s">
        <v>25</v>
      </c>
      <c r="E15" s="136" t="s">
        <v>35</v>
      </c>
      <c r="F15" s="137" t="s">
        <v>36</v>
      </c>
      <c r="G15" s="136" t="s">
        <v>37</v>
      </c>
      <c r="H15" s="136"/>
      <c r="I15" s="136" t="s">
        <v>286</v>
      </c>
      <c r="J15" s="136" t="s">
        <v>40</v>
      </c>
      <c r="K15" s="136" t="s">
        <v>39</v>
      </c>
      <c r="L15" s="136" t="s">
        <v>431</v>
      </c>
      <c r="M15" s="136"/>
      <c r="N15" s="136"/>
      <c r="O15" s="136"/>
      <c r="P15" s="138"/>
      <c r="U15" s="139" t="s">
        <v>43</v>
      </c>
      <c r="V15" s="139" t="s">
        <v>34</v>
      </c>
      <c r="W15" s="139" t="s">
        <v>24</v>
      </c>
      <c r="X15" s="139" t="s">
        <v>25</v>
      </c>
      <c r="Y15" s="139" t="s">
        <v>26</v>
      </c>
      <c r="Z15" s="139" t="s">
        <v>27</v>
      </c>
      <c r="AA15" s="139" t="s">
        <v>47</v>
      </c>
      <c r="AB15" s="139" t="s">
        <v>46</v>
      </c>
      <c r="AC15" s="139" t="s">
        <v>28</v>
      </c>
    </row>
    <row r="16" spans="2:42" ht="12.75" customHeight="1" x14ac:dyDescent="0.25">
      <c r="B16" s="140" t="s">
        <v>152</v>
      </c>
      <c r="C16" s="140"/>
      <c r="D16" s="141"/>
      <c r="E16" s="141" t="s">
        <v>48</v>
      </c>
      <c r="F16" s="172"/>
      <c r="G16" s="141" t="s">
        <v>330</v>
      </c>
      <c r="H16" s="141"/>
      <c r="I16" s="141" t="s">
        <v>845</v>
      </c>
      <c r="J16" s="337" t="s">
        <v>846</v>
      </c>
      <c r="K16" s="337" t="s">
        <v>847</v>
      </c>
      <c r="L16" s="141" t="s">
        <v>848</v>
      </c>
      <c r="M16" s="141" t="s">
        <v>844</v>
      </c>
      <c r="N16" s="141"/>
      <c r="O16" s="141"/>
      <c r="P16" s="138"/>
      <c r="Q16" s="99" t="s">
        <v>754</v>
      </c>
      <c r="R16" s="99" t="s">
        <v>763</v>
      </c>
      <c r="U16" s="99" t="s">
        <v>774</v>
      </c>
      <c r="W16" s="99" t="s">
        <v>619</v>
      </c>
      <c r="X16" s="99" t="s">
        <v>803</v>
      </c>
      <c r="Y16" s="99" t="s">
        <v>844</v>
      </c>
      <c r="Z16" s="99" t="s">
        <v>849</v>
      </c>
      <c r="AA16" s="99" t="s">
        <v>126</v>
      </c>
    </row>
    <row r="17" spans="2:27" x14ac:dyDescent="0.25">
      <c r="C17" s="99" t="str">
        <f>$W$16</f>
        <v>INDNFMHRAE_00</v>
      </c>
      <c r="D17" s="99" t="str">
        <f>$X$16</f>
        <v>Hall Heroult Regular Aluminium (smelting)</v>
      </c>
      <c r="E17" s="99" t="str">
        <f>Commodities!$D$77</f>
        <v>INDELC</v>
      </c>
      <c r="F17" s="147"/>
      <c r="G17" s="234"/>
      <c r="H17" s="292">
        <v>1</v>
      </c>
      <c r="I17" s="251">
        <f>G6*1.1</f>
        <v>0.62480000000000002</v>
      </c>
      <c r="J17" s="118"/>
      <c r="K17" s="118"/>
      <c r="L17" s="234">
        <f>60.7*(1/1000)</f>
        <v>6.0700000000000004E-2</v>
      </c>
      <c r="M17" s="118"/>
      <c r="N17" s="219">
        <v>0</v>
      </c>
      <c r="O17" s="219">
        <v>0.7</v>
      </c>
      <c r="P17" s="219"/>
      <c r="Q17" s="205"/>
      <c r="R17" s="338">
        <f>SUM(R18:R21)</f>
        <v>67.371139352913914</v>
      </c>
      <c r="U17" s="99" t="s">
        <v>774</v>
      </c>
      <c r="W17" s="99" t="s">
        <v>620</v>
      </c>
      <c r="X17" s="99" t="s">
        <v>804</v>
      </c>
      <c r="Y17" s="99" t="s">
        <v>844</v>
      </c>
      <c r="Z17" s="99" t="s">
        <v>849</v>
      </c>
      <c r="AA17" s="99" t="s">
        <v>126</v>
      </c>
    </row>
    <row r="18" spans="2:27" x14ac:dyDescent="0.25">
      <c r="E18" s="99" t="str">
        <f>Commodities!$D$89</f>
        <v>INDNFMHTH</v>
      </c>
      <c r="F18" s="154"/>
      <c r="G18" s="234"/>
      <c r="H18" s="292"/>
      <c r="I18" s="251"/>
      <c r="J18" s="118"/>
      <c r="K18" s="118"/>
      <c r="L18" s="234">
        <f>0*(1/1000)</f>
        <v>0</v>
      </c>
      <c r="M18" s="118"/>
      <c r="N18" s="118"/>
      <c r="O18" s="118"/>
      <c r="P18" s="118"/>
      <c r="Q18" s="210"/>
      <c r="R18" s="339">
        <v>60.739008472506093</v>
      </c>
      <c r="S18" s="99" t="s">
        <v>190</v>
      </c>
      <c r="U18" s="99" t="s">
        <v>774</v>
      </c>
      <c r="W18" s="99" t="s">
        <v>622</v>
      </c>
      <c r="X18" s="99" t="s">
        <v>621</v>
      </c>
      <c r="Y18" s="99" t="s">
        <v>844</v>
      </c>
      <c r="Z18" s="99" t="s">
        <v>849</v>
      </c>
      <c r="AA18" s="99" t="s">
        <v>126</v>
      </c>
    </row>
    <row r="19" spans="2:27" x14ac:dyDescent="0.25">
      <c r="D19" s="216"/>
      <c r="E19" s="99" t="str">
        <f>Commodities!$D$46</f>
        <v>INDCOABIC</v>
      </c>
      <c r="F19" s="154"/>
      <c r="G19" s="234"/>
      <c r="H19" s="292"/>
      <c r="I19" s="251"/>
      <c r="J19" s="118"/>
      <c r="K19" s="118"/>
      <c r="L19" s="234">
        <f>7*(1/1000)</f>
        <v>7.0000000000000001E-3</v>
      </c>
      <c r="M19" s="118"/>
      <c r="N19" s="118"/>
      <c r="O19" s="118"/>
      <c r="P19" s="118"/>
      <c r="Q19" s="210"/>
      <c r="R19" s="339">
        <v>6.2819007225878467</v>
      </c>
      <c r="S19" s="99" t="s">
        <v>749</v>
      </c>
      <c r="U19" s="99" t="s">
        <v>774</v>
      </c>
      <c r="W19" s="99" t="s">
        <v>490</v>
      </c>
      <c r="X19" s="99" t="s">
        <v>388</v>
      </c>
      <c r="Y19" s="99" t="s">
        <v>844</v>
      </c>
      <c r="Z19" s="99" t="s">
        <v>849</v>
      </c>
      <c r="AA19" s="99" t="s">
        <v>126</v>
      </c>
    </row>
    <row r="20" spans="2:27" x14ac:dyDescent="0.25">
      <c r="D20" s="216"/>
      <c r="E20" s="99" t="str">
        <f>Commodities!$D$56</f>
        <v>INDOILHFO</v>
      </c>
      <c r="F20" s="154"/>
      <c r="G20" s="234"/>
      <c r="H20" s="292"/>
      <c r="I20" s="251"/>
      <c r="J20" s="118"/>
      <c r="K20" s="118"/>
      <c r="L20" s="234">
        <f>0.5*(1/1000)</f>
        <v>5.0000000000000001E-4</v>
      </c>
      <c r="M20" s="118"/>
      <c r="N20" s="118"/>
      <c r="O20" s="118"/>
      <c r="P20" s="118"/>
      <c r="Q20" s="210"/>
      <c r="R20" s="339"/>
      <c r="S20" s="99" t="s">
        <v>747</v>
      </c>
      <c r="U20" s="99" t="s">
        <v>774</v>
      </c>
      <c r="W20" s="99" t="s">
        <v>491</v>
      </c>
      <c r="X20" s="99" t="s">
        <v>389</v>
      </c>
      <c r="Y20" s="99" t="s">
        <v>844</v>
      </c>
      <c r="Z20" s="99" t="s">
        <v>849</v>
      </c>
      <c r="AA20" s="99" t="s">
        <v>126</v>
      </c>
    </row>
    <row r="21" spans="2:27" x14ac:dyDescent="0.25">
      <c r="D21" s="216"/>
      <c r="E21" s="99" t="str">
        <f>Commodities!$D$61</f>
        <v>INDGASNAT</v>
      </c>
      <c r="F21" s="154"/>
      <c r="G21" s="234"/>
      <c r="H21" s="292"/>
      <c r="I21" s="251"/>
      <c r="J21" s="118"/>
      <c r="K21" s="118"/>
      <c r="L21" s="234">
        <f>0*(1/1000)</f>
        <v>0</v>
      </c>
      <c r="M21" s="118"/>
      <c r="N21" s="118"/>
      <c r="O21" s="118"/>
      <c r="P21" s="118"/>
      <c r="Q21" s="340"/>
      <c r="R21" s="341">
        <v>0.35023015781997807</v>
      </c>
      <c r="S21" s="99" t="s">
        <v>761</v>
      </c>
      <c r="U21" s="99" t="s">
        <v>275</v>
      </c>
      <c r="W21" s="99" t="s">
        <v>738</v>
      </c>
      <c r="X21" s="99" t="s">
        <v>623</v>
      </c>
      <c r="Y21" s="99" t="s">
        <v>844</v>
      </c>
      <c r="Z21" s="99" t="s">
        <v>849</v>
      </c>
    </row>
    <row r="22" spans="2:27" x14ac:dyDescent="0.25">
      <c r="D22" s="216"/>
      <c r="E22" s="99" t="str">
        <f>Commodities!AI21</f>
        <v>MATBAU</v>
      </c>
      <c r="F22" s="154"/>
      <c r="G22" s="234"/>
      <c r="H22" s="292"/>
      <c r="I22" s="251"/>
      <c r="J22" s="118"/>
      <c r="K22" s="118"/>
      <c r="L22" s="118">
        <v>1</v>
      </c>
      <c r="M22" s="118"/>
      <c r="N22" s="118"/>
      <c r="O22" s="118"/>
      <c r="P22" s="118"/>
      <c r="R22" s="99" t="s">
        <v>802</v>
      </c>
      <c r="W22" s="99" t="s">
        <v>739</v>
      </c>
      <c r="X22" s="99" t="s">
        <v>386</v>
      </c>
      <c r="Y22" s="99" t="s">
        <v>844</v>
      </c>
      <c r="Z22" s="99" t="s">
        <v>849</v>
      </c>
    </row>
    <row r="23" spans="2:27" x14ac:dyDescent="0.25">
      <c r="B23" s="149"/>
      <c r="C23" s="149"/>
      <c r="D23" s="225"/>
      <c r="E23" s="149"/>
      <c r="F23" s="150" t="str">
        <f>Commodities!AI22</f>
        <v>MATCAL</v>
      </c>
      <c r="G23" s="155"/>
      <c r="H23" s="342"/>
      <c r="I23" s="295"/>
      <c r="J23" s="152"/>
      <c r="K23" s="152"/>
      <c r="L23" s="152"/>
      <c r="M23" s="155">
        <v>1</v>
      </c>
      <c r="N23" s="152"/>
      <c r="O23" s="152"/>
      <c r="P23" s="146"/>
      <c r="W23" s="99" t="s">
        <v>740</v>
      </c>
      <c r="X23" s="99" t="s">
        <v>390</v>
      </c>
      <c r="Y23" s="99" t="s">
        <v>844</v>
      </c>
      <c r="Z23" s="99" t="s">
        <v>849</v>
      </c>
    </row>
    <row r="24" spans="2:27" x14ac:dyDescent="0.25">
      <c r="C24" s="99" t="str">
        <f>$W$17</f>
        <v>INDNFMHAAE_00</v>
      </c>
      <c r="D24" s="99" t="str">
        <f>$X$17</f>
        <v>Hall Heroult.Point Feeders (Advanced) Aluminium (smelting)</v>
      </c>
      <c r="E24" s="99" t="str">
        <f>Commodities!$D$77</f>
        <v>INDELC</v>
      </c>
      <c r="F24" s="147"/>
      <c r="G24" s="234"/>
      <c r="H24" s="292">
        <v>1</v>
      </c>
      <c r="I24" s="251">
        <v>0</v>
      </c>
      <c r="J24" s="118"/>
      <c r="K24" s="118"/>
      <c r="L24" s="234">
        <f>45*(1/1000)</f>
        <v>4.4999999999999998E-2</v>
      </c>
      <c r="M24" s="234"/>
      <c r="N24" s="219">
        <f>I24</f>
        <v>0</v>
      </c>
      <c r="O24" s="219">
        <v>0.7</v>
      </c>
      <c r="P24" s="219"/>
      <c r="W24" s="99" t="s">
        <v>741</v>
      </c>
      <c r="X24" s="99" t="s">
        <v>391</v>
      </c>
      <c r="Y24" s="99" t="s">
        <v>844</v>
      </c>
      <c r="Z24" s="99" t="s">
        <v>849</v>
      </c>
    </row>
    <row r="25" spans="2:27" x14ac:dyDescent="0.25">
      <c r="E25" s="99" t="str">
        <f>Commodities!$D$89</f>
        <v>INDNFMHTH</v>
      </c>
      <c r="F25" s="154"/>
      <c r="G25" s="234"/>
      <c r="H25" s="292"/>
      <c r="I25" s="251"/>
      <c r="J25" s="118"/>
      <c r="K25" s="118"/>
      <c r="L25" s="234">
        <f>0*(1/1000)</f>
        <v>0</v>
      </c>
      <c r="M25" s="234"/>
      <c r="N25" s="118"/>
      <c r="O25" s="118"/>
      <c r="P25" s="118"/>
      <c r="W25" s="99" t="s">
        <v>742</v>
      </c>
      <c r="X25" s="99" t="s">
        <v>820</v>
      </c>
      <c r="Y25" s="99" t="s">
        <v>844</v>
      </c>
      <c r="Z25" s="99" t="s">
        <v>849</v>
      </c>
    </row>
    <row r="26" spans="2:27" x14ac:dyDescent="0.25">
      <c r="D26" s="216"/>
      <c r="E26" s="99" t="str">
        <f>Commodities!$D$56</f>
        <v>INDOILHFO</v>
      </c>
      <c r="F26" s="154"/>
      <c r="G26" s="234"/>
      <c r="H26" s="292"/>
      <c r="I26" s="251"/>
      <c r="J26" s="118"/>
      <c r="K26" s="118"/>
      <c r="L26" s="234">
        <f>3*(1/1000)</f>
        <v>3.0000000000000001E-3</v>
      </c>
      <c r="M26" s="234"/>
      <c r="N26" s="118"/>
      <c r="O26" s="118"/>
      <c r="P26" s="118"/>
    </row>
    <row r="27" spans="2:27" x14ac:dyDescent="0.25">
      <c r="D27" s="216"/>
      <c r="E27" s="99" t="str">
        <f>Commodities!$D$61</f>
        <v>INDGASNAT</v>
      </c>
      <c r="F27" s="154"/>
      <c r="G27" s="234"/>
      <c r="H27" s="292"/>
      <c r="I27" s="251"/>
      <c r="J27" s="118"/>
      <c r="K27" s="118"/>
      <c r="L27" s="234">
        <f>12*(1/1000)</f>
        <v>1.2E-2</v>
      </c>
      <c r="M27" s="234"/>
      <c r="N27" s="118"/>
      <c r="O27" s="118"/>
      <c r="P27" s="118"/>
    </row>
    <row r="28" spans="2:27" x14ac:dyDescent="0.25">
      <c r="D28" s="216"/>
      <c r="E28" s="99" t="str">
        <f>Commodities!AI21</f>
        <v>MATBAU</v>
      </c>
      <c r="F28" s="154"/>
      <c r="G28" s="234"/>
      <c r="H28" s="292"/>
      <c r="I28" s="251"/>
      <c r="J28" s="118"/>
      <c r="K28" s="118"/>
      <c r="L28" s="118">
        <v>1</v>
      </c>
      <c r="M28" s="234"/>
      <c r="N28" s="118"/>
      <c r="O28" s="118"/>
      <c r="P28" s="118"/>
    </row>
    <row r="29" spans="2:27" x14ac:dyDescent="0.25">
      <c r="B29" s="149"/>
      <c r="C29" s="149"/>
      <c r="D29" s="225"/>
      <c r="E29" s="149"/>
      <c r="F29" s="150" t="str">
        <f>Commodities!AI22</f>
        <v>MATCAL</v>
      </c>
      <c r="G29" s="155"/>
      <c r="H29" s="342"/>
      <c r="I29" s="295"/>
      <c r="J29" s="152"/>
      <c r="K29" s="152"/>
      <c r="L29" s="152"/>
      <c r="M29" s="155">
        <v>1</v>
      </c>
      <c r="N29" s="152"/>
      <c r="O29" s="152"/>
      <c r="P29" s="146"/>
      <c r="R29" s="99" t="s">
        <v>762</v>
      </c>
    </row>
    <row r="30" spans="2:27" x14ac:dyDescent="0.25">
      <c r="C30" s="99" t="str">
        <f>$W$18</f>
        <v>INDNFMRCAE_00</v>
      </c>
      <c r="D30" s="99" t="str">
        <f>$X$18</f>
        <v>Recycled Production Aluminium</v>
      </c>
      <c r="E30" s="99" t="str">
        <f>Commodities!$D$77</f>
        <v>INDELC</v>
      </c>
      <c r="F30" s="147"/>
      <c r="G30" s="234"/>
      <c r="H30" s="292">
        <v>1</v>
      </c>
      <c r="I30" s="251">
        <v>0</v>
      </c>
      <c r="J30" s="118"/>
      <c r="K30" s="118"/>
      <c r="L30" s="234">
        <f>4*(1/1000)</f>
        <v>4.0000000000000001E-3</v>
      </c>
      <c r="M30" s="234"/>
      <c r="N30" s="219">
        <f>I30</f>
        <v>0</v>
      </c>
      <c r="O30" s="219">
        <v>0.7</v>
      </c>
      <c r="P30" s="219"/>
      <c r="Q30" s="343">
        <v>4.1027329517683171</v>
      </c>
      <c r="R30" s="344">
        <v>3.1037019874823799</v>
      </c>
      <c r="S30" s="99" t="s">
        <v>190</v>
      </c>
    </row>
    <row r="31" spans="2:27" x14ac:dyDescent="0.25">
      <c r="E31" s="99" t="str">
        <f>Commodities!$D$61</f>
        <v>INDGASNAT</v>
      </c>
      <c r="F31" s="154"/>
      <c r="G31" s="234"/>
      <c r="H31" s="292"/>
      <c r="I31" s="251"/>
      <c r="J31" s="118"/>
      <c r="K31" s="118"/>
      <c r="L31" s="234">
        <f>0*(1/1000)</f>
        <v>0</v>
      </c>
      <c r="M31" s="234"/>
      <c r="N31" s="118"/>
      <c r="O31" s="118"/>
      <c r="P31" s="118"/>
      <c r="Q31" s="345">
        <v>2.0825494350518432</v>
      </c>
      <c r="R31" s="339">
        <v>5.0026863205140337</v>
      </c>
      <c r="S31" s="99" t="s">
        <v>749</v>
      </c>
    </row>
    <row r="32" spans="2:27" x14ac:dyDescent="0.25">
      <c r="E32" s="99" t="str">
        <f>Commodities!$D$46</f>
        <v>INDCOABIC</v>
      </c>
      <c r="F32" s="154"/>
      <c r="G32" s="234"/>
      <c r="H32" s="292"/>
      <c r="I32" s="251"/>
      <c r="J32" s="118"/>
      <c r="K32" s="118"/>
      <c r="L32" s="234">
        <f>5.5*(1/1000)</f>
        <v>5.4999999999999997E-3</v>
      </c>
      <c r="M32" s="234"/>
      <c r="N32" s="118"/>
      <c r="O32" s="118"/>
      <c r="P32" s="118"/>
      <c r="Q32" s="345"/>
      <c r="R32" s="339"/>
    </row>
    <row r="33" spans="1:19" x14ac:dyDescent="0.25">
      <c r="E33" s="99" t="str">
        <f>Commodities!$D$56</f>
        <v>INDOILHFO</v>
      </c>
      <c r="F33" s="154"/>
      <c r="G33" s="234"/>
      <c r="H33" s="292"/>
      <c r="I33" s="251"/>
      <c r="J33" s="118"/>
      <c r="K33" s="118"/>
      <c r="L33" s="234">
        <f>0.4*(1/1000)</f>
        <v>4.0000000000000002E-4</v>
      </c>
      <c r="M33" s="234"/>
      <c r="N33" s="118"/>
      <c r="O33" s="118"/>
      <c r="P33" s="118"/>
      <c r="Q33" s="345"/>
      <c r="R33" s="339"/>
    </row>
    <row r="34" spans="1:19" x14ac:dyDescent="0.25">
      <c r="D34" s="216"/>
      <c r="E34" s="99" t="str">
        <f>Commodities!AI23</f>
        <v>MATSCR</v>
      </c>
      <c r="F34" s="154"/>
      <c r="G34" s="234"/>
      <c r="H34" s="292"/>
      <c r="I34" s="251"/>
      <c r="J34" s="118"/>
      <c r="K34" s="118"/>
      <c r="L34" s="292">
        <v>1</v>
      </c>
      <c r="M34" s="234"/>
      <c r="N34" s="118"/>
      <c r="O34" s="118"/>
      <c r="P34" s="118"/>
      <c r="Q34" s="345">
        <v>0.11804602524285281</v>
      </c>
      <c r="R34" s="339">
        <v>0.16006427500521436</v>
      </c>
      <c r="S34" s="99" t="s">
        <v>747</v>
      </c>
    </row>
    <row r="35" spans="1:19" x14ac:dyDescent="0.25">
      <c r="D35" s="216"/>
      <c r="E35" s="99" t="str">
        <f>Commodities!AI21</f>
        <v>MATBAU</v>
      </c>
      <c r="F35" s="154"/>
      <c r="G35" s="234"/>
      <c r="H35" s="292"/>
      <c r="I35" s="251"/>
      <c r="J35" s="118"/>
      <c r="K35" s="118"/>
      <c r="L35" s="118">
        <v>0.1</v>
      </c>
      <c r="M35" s="234"/>
      <c r="N35" s="118"/>
      <c r="O35" s="118"/>
      <c r="P35" s="118"/>
      <c r="Q35" s="345">
        <v>0.24654395901043144</v>
      </c>
      <c r="R35" s="339">
        <v>0.24665885285894665</v>
      </c>
      <c r="S35" s="99" t="s">
        <v>163</v>
      </c>
    </row>
    <row r="36" spans="1:19" x14ac:dyDescent="0.25">
      <c r="B36" s="149"/>
      <c r="C36" s="149"/>
      <c r="D36" s="225"/>
      <c r="E36" s="149"/>
      <c r="F36" s="150" t="str">
        <f>E6</f>
        <v>INDALU</v>
      </c>
      <c r="G36" s="155"/>
      <c r="H36" s="342"/>
      <c r="I36" s="295"/>
      <c r="J36" s="152"/>
      <c r="K36" s="152"/>
      <c r="L36" s="152"/>
      <c r="M36" s="155">
        <v>1</v>
      </c>
      <c r="N36" s="152"/>
      <c r="O36" s="152"/>
      <c r="P36" s="118"/>
      <c r="Q36" s="346">
        <v>0.29143831401454184</v>
      </c>
      <c r="R36" s="341">
        <v>8.5201580502266117E-2</v>
      </c>
      <c r="S36" s="99" t="s">
        <v>760</v>
      </c>
    </row>
    <row r="37" spans="1:19" x14ac:dyDescent="0.25">
      <c r="C37" s="99" t="str">
        <f>$W$21</f>
        <v>INDDEMNFMFALE_00</v>
      </c>
      <c r="D37" s="99" t="str">
        <f>$X$21</f>
        <v>Finishing Aluminium</v>
      </c>
      <c r="E37" s="99" t="str">
        <f>Commodities!$D$77</f>
        <v>INDELC</v>
      </c>
      <c r="F37" s="147"/>
      <c r="G37" s="234"/>
      <c r="H37" s="292">
        <v>1</v>
      </c>
      <c r="I37" s="251">
        <f>I17</f>
        <v>0.62480000000000002</v>
      </c>
      <c r="J37" s="118"/>
      <c r="K37" s="118"/>
      <c r="L37" s="251">
        <f>0.5*(1/1000)</f>
        <v>5.0000000000000001E-4</v>
      </c>
      <c r="M37" s="234"/>
      <c r="N37" s="219">
        <v>0</v>
      </c>
      <c r="O37" s="219">
        <f>1/1.1</f>
        <v>0.90909090909090906</v>
      </c>
      <c r="P37" s="146"/>
    </row>
    <row r="38" spans="1:19" x14ac:dyDescent="0.25">
      <c r="E38" s="99" t="str">
        <f>Commodities!$D$89</f>
        <v>INDNFMHTH</v>
      </c>
      <c r="F38" s="154"/>
      <c r="G38" s="234"/>
      <c r="H38" s="219"/>
      <c r="I38" s="219"/>
      <c r="J38" s="118"/>
      <c r="K38" s="118"/>
      <c r="L38" s="251">
        <f>0*(1/1000)</f>
        <v>0</v>
      </c>
      <c r="M38" s="234"/>
      <c r="N38" s="118"/>
      <c r="O38" s="118"/>
      <c r="P38" s="219"/>
      <c r="Q38" s="347">
        <f>SUM(Q39:Q43)</f>
        <v>5.7253458113371041</v>
      </c>
      <c r="R38" s="348">
        <f>SUM(R39:R43)</f>
        <v>8.8231077325507332</v>
      </c>
    </row>
    <row r="39" spans="1:19" x14ac:dyDescent="0.25">
      <c r="D39" s="216"/>
      <c r="E39" s="99" t="str">
        <f>Commodities!$D$56</f>
        <v>INDOILHFO</v>
      </c>
      <c r="F39" s="154"/>
      <c r="G39" s="234"/>
      <c r="H39" s="219"/>
      <c r="I39" s="219"/>
      <c r="J39" s="118"/>
      <c r="K39" s="118"/>
      <c r="L39" s="251">
        <f>0.55*(1/1000)</f>
        <v>5.5000000000000003E-4</v>
      </c>
      <c r="M39" s="234"/>
      <c r="N39" s="118"/>
      <c r="O39" s="118"/>
      <c r="P39" s="146"/>
      <c r="Q39" s="349">
        <v>0.50506952643327896</v>
      </c>
      <c r="R39" s="350">
        <v>0.14978731019069957</v>
      </c>
      <c r="S39" s="99" t="s">
        <v>190</v>
      </c>
    </row>
    <row r="40" spans="1:19" x14ac:dyDescent="0.25">
      <c r="D40" s="216"/>
      <c r="E40" s="99" t="str">
        <f>Commodities!$D$61</f>
        <v>INDGASNAT</v>
      </c>
      <c r="F40" s="154"/>
      <c r="G40" s="234"/>
      <c r="H40" s="219"/>
      <c r="I40" s="219"/>
      <c r="J40" s="118"/>
      <c r="K40" s="118"/>
      <c r="L40" s="251">
        <f>0*(1/1000)</f>
        <v>0</v>
      </c>
      <c r="M40" s="234"/>
      <c r="N40" s="118"/>
      <c r="O40" s="118"/>
      <c r="P40" s="146"/>
      <c r="Q40" s="349">
        <v>3.9142905752105142</v>
      </c>
      <c r="R40" s="350">
        <v>7.748842618013299</v>
      </c>
      <c r="S40" s="99" t="s">
        <v>749</v>
      </c>
    </row>
    <row r="41" spans="1:19" x14ac:dyDescent="0.25">
      <c r="D41" s="216"/>
      <c r="E41" s="99" t="str">
        <f>Commodities!$D$46</f>
        <v>INDCOABIC</v>
      </c>
      <c r="F41" s="154"/>
      <c r="G41" s="234"/>
      <c r="H41" s="219"/>
      <c r="I41" s="219"/>
      <c r="J41" s="118"/>
      <c r="K41" s="118"/>
      <c r="L41" s="251">
        <f>5*(1/1000)</f>
        <v>5.0000000000000001E-3</v>
      </c>
      <c r="M41" s="234"/>
      <c r="N41" s="118"/>
      <c r="O41" s="118"/>
      <c r="P41" s="146"/>
      <c r="Q41" s="349"/>
      <c r="R41" s="350"/>
    </row>
    <row r="42" spans="1:19" x14ac:dyDescent="0.25">
      <c r="D42" s="216"/>
      <c r="E42" s="99" t="str">
        <f>F29</f>
        <v>MATCAL</v>
      </c>
      <c r="F42" s="154"/>
      <c r="G42" s="234"/>
      <c r="H42" s="219"/>
      <c r="I42" s="219"/>
      <c r="J42" s="118"/>
      <c r="K42" s="118"/>
      <c r="L42" s="118">
        <v>1</v>
      </c>
      <c r="M42" s="234"/>
      <c r="N42" s="118"/>
      <c r="O42" s="118"/>
      <c r="P42" s="146"/>
      <c r="Q42" s="349">
        <v>0.33108925433472963</v>
      </c>
      <c r="R42" s="350">
        <v>0.54941424502221126</v>
      </c>
      <c r="S42" s="99" t="s">
        <v>747</v>
      </c>
    </row>
    <row r="43" spans="1:19" ht="14.4" thickBot="1" x14ac:dyDescent="0.3">
      <c r="A43" s="351"/>
      <c r="B43" s="351"/>
      <c r="C43" s="351"/>
      <c r="D43" s="352"/>
      <c r="E43" s="351"/>
      <c r="F43" s="353" t="str">
        <f>Commodities!Y8</f>
        <v>INDALU</v>
      </c>
      <c r="G43" s="354"/>
      <c r="H43" s="355"/>
      <c r="I43" s="355"/>
      <c r="J43" s="356"/>
      <c r="K43" s="356"/>
      <c r="L43" s="356"/>
      <c r="M43" s="354">
        <v>1</v>
      </c>
      <c r="N43" s="356"/>
      <c r="O43" s="356"/>
      <c r="P43" s="146"/>
      <c r="Q43" s="357">
        <v>0.97489645535858127</v>
      </c>
      <c r="R43" s="358">
        <v>0.37506355932452268</v>
      </c>
      <c r="S43" s="99" t="s">
        <v>761</v>
      </c>
    </row>
    <row r="44" spans="1:19" ht="14.4" thickTop="1" x14ac:dyDescent="0.25">
      <c r="C44" s="99" t="str">
        <f>$W$19</f>
        <v>INDNFMPCPE_00</v>
      </c>
      <c r="D44" s="99" t="str">
        <f>$X$19</f>
        <v>Primary Copper Production</v>
      </c>
      <c r="E44" s="99" t="str">
        <f>Commodities!$D$71</f>
        <v>INDBIOCHR</v>
      </c>
      <c r="F44" s="154"/>
      <c r="G44" s="234"/>
      <c r="H44" s="292">
        <v>1</v>
      </c>
      <c r="I44" s="219">
        <f>N6*1.1*2/3</f>
        <v>1.5125000000000002</v>
      </c>
      <c r="J44" s="118"/>
      <c r="K44" s="118"/>
      <c r="L44" s="219">
        <v>0</v>
      </c>
      <c r="M44" s="234"/>
      <c r="N44" s="219">
        <v>0</v>
      </c>
      <c r="O44" s="219">
        <v>0.7</v>
      </c>
      <c r="P44" s="219"/>
    </row>
    <row r="45" spans="1:19" x14ac:dyDescent="0.25">
      <c r="E45" s="99" t="str">
        <f>Commodities!$D$89</f>
        <v>INDNFMHTH</v>
      </c>
      <c r="F45" s="154"/>
      <c r="G45" s="234"/>
      <c r="H45" s="292"/>
      <c r="I45" s="219"/>
      <c r="J45" s="118"/>
      <c r="K45" s="118"/>
      <c r="L45" s="219">
        <f>R50/1000</f>
        <v>1E-3</v>
      </c>
      <c r="M45" s="234"/>
      <c r="N45" s="118"/>
      <c r="O45" s="118"/>
      <c r="P45" s="118"/>
    </row>
    <row r="46" spans="1:19" x14ac:dyDescent="0.25">
      <c r="D46" s="216"/>
      <c r="E46" s="99" t="str">
        <f>Commodities!$D$56</f>
        <v>INDOILHFO</v>
      </c>
      <c r="F46" s="154"/>
      <c r="G46" s="234"/>
      <c r="H46" s="292"/>
      <c r="I46" s="219"/>
      <c r="J46" s="118"/>
      <c r="K46" s="118"/>
      <c r="L46" s="219">
        <f>R49/1000</f>
        <v>3.0000000000000001E-3</v>
      </c>
      <c r="M46" s="234"/>
      <c r="N46" s="118"/>
      <c r="O46" s="118"/>
      <c r="P46" s="118"/>
      <c r="Q46" s="359"/>
      <c r="R46" s="338">
        <f>SUM(R47:R50)</f>
        <v>26</v>
      </c>
    </row>
    <row r="47" spans="1:19" x14ac:dyDescent="0.25">
      <c r="D47" s="216"/>
      <c r="E47" s="99" t="str">
        <f>Commodities!$D$61</f>
        <v>INDGASNAT</v>
      </c>
      <c r="F47" s="154"/>
      <c r="G47" s="234"/>
      <c r="H47" s="292"/>
      <c r="I47" s="219"/>
      <c r="J47" s="118"/>
      <c r="K47" s="118"/>
      <c r="L47" s="219">
        <v>0</v>
      </c>
      <c r="M47" s="234"/>
      <c r="N47" s="118"/>
      <c r="O47" s="118"/>
      <c r="P47" s="118"/>
      <c r="Q47" s="345"/>
      <c r="R47" s="339">
        <v>10</v>
      </c>
      <c r="S47" s="99" t="s">
        <v>190</v>
      </c>
    </row>
    <row r="48" spans="1:19" x14ac:dyDescent="0.25">
      <c r="D48" s="216"/>
      <c r="E48" s="99" t="str">
        <f>Commodities!$D$77</f>
        <v>INDELC</v>
      </c>
      <c r="F48" s="154"/>
      <c r="G48" s="234"/>
      <c r="H48" s="292"/>
      <c r="I48" s="219"/>
      <c r="J48" s="118"/>
      <c r="K48" s="118"/>
      <c r="L48" s="219">
        <f>R47/1000</f>
        <v>0.01</v>
      </c>
      <c r="M48" s="234"/>
      <c r="N48" s="118"/>
      <c r="O48" s="118"/>
      <c r="P48" s="118"/>
      <c r="Q48" s="345"/>
      <c r="R48" s="339">
        <v>12</v>
      </c>
      <c r="S48" s="99" t="s">
        <v>174</v>
      </c>
    </row>
    <row r="49" spans="2:19" x14ac:dyDescent="0.25">
      <c r="D49" s="216"/>
      <c r="E49" s="99" t="str">
        <f>Commodities!$D$46</f>
        <v>INDCOABIC</v>
      </c>
      <c r="F49" s="154"/>
      <c r="G49" s="234"/>
      <c r="H49" s="292"/>
      <c r="I49" s="219"/>
      <c r="J49" s="118"/>
      <c r="K49" s="118"/>
      <c r="L49" s="219">
        <f>12/1000</f>
        <v>1.2E-2</v>
      </c>
      <c r="M49" s="234"/>
      <c r="N49" s="118"/>
      <c r="O49" s="118"/>
      <c r="P49" s="118"/>
      <c r="Q49" s="345"/>
      <c r="R49" s="339">
        <v>3</v>
      </c>
      <c r="S49" s="99" t="s">
        <v>761</v>
      </c>
    </row>
    <row r="50" spans="2:19" x14ac:dyDescent="0.25">
      <c r="D50" s="216"/>
      <c r="E50" s="99" t="str">
        <f>Commodities!$D$49</f>
        <v>INDCOACOC</v>
      </c>
      <c r="F50" s="154"/>
      <c r="G50" s="234"/>
      <c r="H50" s="292"/>
      <c r="I50" s="219"/>
      <c r="J50" s="118"/>
      <c r="K50" s="118"/>
      <c r="L50" s="219">
        <v>0</v>
      </c>
      <c r="M50" s="234"/>
      <c r="N50" s="118"/>
      <c r="O50" s="118"/>
      <c r="P50" s="118"/>
      <c r="Q50" s="346"/>
      <c r="R50" s="341">
        <v>1</v>
      </c>
      <c r="S50" s="99" t="s">
        <v>812</v>
      </c>
    </row>
    <row r="51" spans="2:19" x14ac:dyDescent="0.25">
      <c r="D51" s="216"/>
      <c r="E51" s="99" t="str">
        <f>Commodities!AI12</f>
        <v>MATCRE</v>
      </c>
      <c r="F51" s="154"/>
      <c r="G51" s="234"/>
      <c r="H51" s="292"/>
      <c r="I51" s="219"/>
      <c r="J51" s="118"/>
      <c r="K51" s="118"/>
      <c r="L51" s="118">
        <v>3.3</v>
      </c>
      <c r="M51" s="234"/>
      <c r="N51" s="118"/>
      <c r="O51" s="118"/>
      <c r="P51" s="118"/>
    </row>
    <row r="52" spans="2:19" x14ac:dyDescent="0.25">
      <c r="B52" s="149"/>
      <c r="C52" s="149"/>
      <c r="D52" s="225"/>
      <c r="E52" s="149"/>
      <c r="F52" s="150" t="str">
        <f>Commodities!AI13</f>
        <v>MATPCP</v>
      </c>
      <c r="G52" s="155"/>
      <c r="H52" s="342"/>
      <c r="I52" s="226"/>
      <c r="J52" s="152"/>
      <c r="K52" s="152"/>
      <c r="L52" s="152"/>
      <c r="M52" s="155">
        <v>1</v>
      </c>
      <c r="N52" s="152"/>
      <c r="O52" s="152"/>
      <c r="P52" s="146"/>
    </row>
    <row r="53" spans="2:19" x14ac:dyDescent="0.25">
      <c r="C53" s="99" t="str">
        <f>$W$20</f>
        <v>INDNFMSCPE_00</v>
      </c>
      <c r="D53" s="99" t="str">
        <f>$X$20</f>
        <v>Secondary Copper Production</v>
      </c>
      <c r="E53" s="99" t="str">
        <f>E44</f>
        <v>INDBIOCHR</v>
      </c>
      <c r="F53" s="154"/>
      <c r="G53" s="118"/>
      <c r="H53" s="292">
        <v>1</v>
      </c>
      <c r="I53" s="219">
        <f>N6*1/3*1.1</f>
        <v>0.75625000000000009</v>
      </c>
      <c r="J53" s="118"/>
      <c r="K53" s="118"/>
      <c r="L53" s="251">
        <f>0*(1/1000)</f>
        <v>0</v>
      </c>
      <c r="M53" s="234"/>
      <c r="N53" s="219">
        <v>0</v>
      </c>
      <c r="O53" s="219">
        <v>0.7</v>
      </c>
      <c r="P53" s="146"/>
    </row>
    <row r="54" spans="2:19" x14ac:dyDescent="0.25">
      <c r="E54" s="99" t="str">
        <f t="shared" ref="E54:E59" si="1">E45</f>
        <v>INDNFMHTH</v>
      </c>
      <c r="F54" s="154"/>
      <c r="G54" s="118"/>
      <c r="H54" s="292"/>
      <c r="I54" s="219"/>
      <c r="J54" s="118"/>
      <c r="K54" s="118"/>
      <c r="L54" s="251">
        <f>1*(1/1000)</f>
        <v>1E-3</v>
      </c>
      <c r="M54" s="234"/>
      <c r="N54" s="118"/>
      <c r="O54" s="118"/>
      <c r="Q54" s="359"/>
      <c r="R54" s="338">
        <f>SUM(R55:R58)</f>
        <v>9</v>
      </c>
    </row>
    <row r="55" spans="2:19" x14ac:dyDescent="0.25">
      <c r="E55" s="99" t="str">
        <f t="shared" si="1"/>
        <v>INDOILHFO</v>
      </c>
      <c r="F55" s="154"/>
      <c r="G55" s="118"/>
      <c r="H55" s="292"/>
      <c r="I55" s="219"/>
      <c r="J55" s="118"/>
      <c r="K55" s="118"/>
      <c r="L55" s="251">
        <f>2*(1/1000)</f>
        <v>2E-3</v>
      </c>
      <c r="M55" s="234"/>
      <c r="N55" s="118"/>
      <c r="O55" s="118"/>
      <c r="Q55" s="345"/>
      <c r="R55" s="339">
        <v>1.5</v>
      </c>
      <c r="S55" s="99" t="s">
        <v>190</v>
      </c>
    </row>
    <row r="56" spans="2:19" x14ac:dyDescent="0.25">
      <c r="E56" s="99" t="str">
        <f t="shared" si="1"/>
        <v>INDGASNAT</v>
      </c>
      <c r="F56" s="154"/>
      <c r="G56" s="118"/>
      <c r="H56" s="292"/>
      <c r="I56" s="219"/>
      <c r="J56" s="118"/>
      <c r="K56" s="118"/>
      <c r="L56" s="251">
        <f>0*(1/1000)</f>
        <v>0</v>
      </c>
      <c r="M56" s="234"/>
      <c r="N56" s="118"/>
      <c r="O56" s="118"/>
      <c r="Q56" s="345"/>
      <c r="R56" s="339">
        <v>4.5</v>
      </c>
      <c r="S56" s="99" t="s">
        <v>174</v>
      </c>
    </row>
    <row r="57" spans="2:19" x14ac:dyDescent="0.25">
      <c r="E57" s="99" t="str">
        <f t="shared" si="1"/>
        <v>INDELC</v>
      </c>
      <c r="F57" s="154"/>
      <c r="G57" s="118"/>
      <c r="H57" s="292"/>
      <c r="I57" s="219"/>
      <c r="J57" s="118"/>
      <c r="K57" s="118"/>
      <c r="L57" s="251">
        <f>2*(1/1000)</f>
        <v>2E-3</v>
      </c>
      <c r="M57" s="234"/>
      <c r="N57" s="118"/>
      <c r="O57" s="118"/>
      <c r="Q57" s="345"/>
      <c r="R57" s="339">
        <v>2</v>
      </c>
      <c r="S57" s="99" t="s">
        <v>761</v>
      </c>
    </row>
    <row r="58" spans="2:19" x14ac:dyDescent="0.25">
      <c r="E58" s="99" t="str">
        <f t="shared" si="1"/>
        <v>INDCOABIC</v>
      </c>
      <c r="F58" s="154"/>
      <c r="G58" s="118"/>
      <c r="H58" s="292"/>
      <c r="I58" s="219"/>
      <c r="J58" s="118"/>
      <c r="K58" s="118"/>
      <c r="L58" s="251">
        <f>5*(1/1000)</f>
        <v>5.0000000000000001E-3</v>
      </c>
      <c r="M58" s="234"/>
      <c r="N58" s="118"/>
      <c r="O58" s="118"/>
      <c r="Q58" s="346"/>
      <c r="R58" s="341">
        <v>1</v>
      </c>
      <c r="S58" s="99" t="s">
        <v>812</v>
      </c>
    </row>
    <row r="59" spans="2:19" x14ac:dyDescent="0.25">
      <c r="E59" s="99" t="str">
        <f t="shared" si="1"/>
        <v>INDCOACOC</v>
      </c>
      <c r="F59" s="154"/>
      <c r="G59" s="118"/>
      <c r="H59" s="292"/>
      <c r="I59" s="219"/>
      <c r="J59" s="118"/>
      <c r="K59" s="118"/>
      <c r="L59" s="251">
        <f>0*(1/1000)</f>
        <v>0</v>
      </c>
      <c r="M59" s="234"/>
      <c r="N59" s="118"/>
      <c r="O59" s="118"/>
    </row>
    <row r="60" spans="2:19" x14ac:dyDescent="0.25">
      <c r="E60" s="99" t="str">
        <f>Commodities!AI17</f>
        <v>MATCSR</v>
      </c>
      <c r="F60" s="154"/>
      <c r="G60" s="118"/>
      <c r="H60" s="292"/>
      <c r="I60" s="219"/>
      <c r="J60" s="118"/>
      <c r="K60" s="118"/>
      <c r="L60" s="118">
        <v>1.05</v>
      </c>
      <c r="M60" s="234"/>
      <c r="N60" s="118"/>
      <c r="O60" s="118"/>
    </row>
    <row r="61" spans="2:19" x14ac:dyDescent="0.25">
      <c r="B61" s="149"/>
      <c r="C61" s="149"/>
      <c r="D61" s="149"/>
      <c r="E61" s="149"/>
      <c r="F61" s="150" t="str">
        <f>Commodities!AI14</f>
        <v>MATSCP</v>
      </c>
      <c r="G61" s="152"/>
      <c r="H61" s="342"/>
      <c r="I61" s="226"/>
      <c r="J61" s="152"/>
      <c r="K61" s="152"/>
      <c r="L61" s="152"/>
      <c r="M61" s="155">
        <v>1</v>
      </c>
      <c r="N61" s="152"/>
      <c r="O61" s="152"/>
    </row>
    <row r="62" spans="2:19" x14ac:dyDescent="0.25">
      <c r="C62" s="99" t="str">
        <f>$W$22</f>
        <v>INDDEMNFMFCPE_00</v>
      </c>
      <c r="D62" s="99" t="str">
        <f>$X$22</f>
        <v>Finishing Copper</v>
      </c>
      <c r="E62" s="104" t="str">
        <f>E53</f>
        <v>INDBIOCHR</v>
      </c>
      <c r="F62" s="154"/>
      <c r="G62" s="146"/>
      <c r="H62" s="360">
        <v>1</v>
      </c>
      <c r="I62" s="219">
        <f>SUM(I44:I53)</f>
        <v>2.2687500000000003</v>
      </c>
      <c r="J62" s="146"/>
      <c r="K62" s="146"/>
      <c r="L62" s="251">
        <v>0</v>
      </c>
      <c r="M62" s="234"/>
      <c r="N62" s="219">
        <v>0</v>
      </c>
      <c r="O62" s="219">
        <f>1/1.1</f>
        <v>0.90909090909090906</v>
      </c>
    </row>
    <row r="63" spans="2:19" x14ac:dyDescent="0.25">
      <c r="C63" s="104"/>
      <c r="D63" s="104"/>
      <c r="E63" s="104" t="str">
        <f t="shared" ref="E63:E68" si="2">E54</f>
        <v>INDNFMHTH</v>
      </c>
      <c r="F63" s="154"/>
      <c r="G63" s="146"/>
      <c r="H63" s="223"/>
      <c r="I63" s="223"/>
      <c r="J63" s="146"/>
      <c r="K63" s="146"/>
      <c r="L63" s="251">
        <v>0</v>
      </c>
      <c r="M63" s="234"/>
      <c r="N63" s="118"/>
      <c r="O63" s="118"/>
    </row>
    <row r="64" spans="2:19" x14ac:dyDescent="0.25">
      <c r="C64" s="104"/>
      <c r="D64" s="104"/>
      <c r="E64" s="104" t="str">
        <f t="shared" si="2"/>
        <v>INDOILHFO</v>
      </c>
      <c r="F64" s="154"/>
      <c r="G64" s="146"/>
      <c r="H64" s="223"/>
      <c r="I64" s="223"/>
      <c r="J64" s="146"/>
      <c r="K64" s="146"/>
      <c r="L64" s="251">
        <v>0</v>
      </c>
      <c r="M64" s="234"/>
      <c r="N64" s="118"/>
      <c r="O64" s="118"/>
    </row>
    <row r="65" spans="1:19" x14ac:dyDescent="0.25">
      <c r="C65" s="104"/>
      <c r="D65" s="104"/>
      <c r="E65" s="104" t="str">
        <f t="shared" si="2"/>
        <v>INDGASNAT</v>
      </c>
      <c r="F65" s="154"/>
      <c r="G65" s="146"/>
      <c r="H65" s="223"/>
      <c r="I65" s="223"/>
      <c r="J65" s="146"/>
      <c r="K65" s="146"/>
      <c r="L65" s="251">
        <v>0</v>
      </c>
      <c r="M65" s="234"/>
      <c r="N65" s="118"/>
      <c r="O65" s="118"/>
    </row>
    <row r="66" spans="1:19" x14ac:dyDescent="0.25">
      <c r="C66" s="104"/>
      <c r="D66" s="104"/>
      <c r="E66" s="104" t="str">
        <f t="shared" si="2"/>
        <v>INDELC</v>
      </c>
      <c r="F66" s="154"/>
      <c r="G66" s="146"/>
      <c r="H66" s="223"/>
      <c r="I66" s="223"/>
      <c r="J66" s="146"/>
      <c r="K66" s="146"/>
      <c r="L66" s="251">
        <v>0</v>
      </c>
      <c r="M66" s="234"/>
      <c r="N66" s="118"/>
      <c r="O66" s="118"/>
    </row>
    <row r="67" spans="1:19" x14ac:dyDescent="0.25">
      <c r="C67" s="104"/>
      <c r="D67" s="104"/>
      <c r="E67" s="104" t="str">
        <f t="shared" si="2"/>
        <v>INDCOABIC</v>
      </c>
      <c r="F67" s="154"/>
      <c r="G67" s="146"/>
      <c r="H67" s="223"/>
      <c r="I67" s="223"/>
      <c r="J67" s="146"/>
      <c r="K67" s="146"/>
      <c r="L67" s="251">
        <v>0</v>
      </c>
      <c r="M67" s="234"/>
      <c r="N67" s="118"/>
      <c r="O67" s="118"/>
    </row>
    <row r="68" spans="1:19" x14ac:dyDescent="0.25">
      <c r="C68" s="104"/>
      <c r="D68" s="104"/>
      <c r="E68" s="104" t="str">
        <f t="shared" si="2"/>
        <v>INDCOACOC</v>
      </c>
      <c r="F68" s="154"/>
      <c r="G68" s="146"/>
      <c r="H68" s="223"/>
      <c r="I68" s="223"/>
      <c r="J68" s="146"/>
      <c r="K68" s="146"/>
      <c r="L68" s="251">
        <v>0</v>
      </c>
      <c r="M68" s="234"/>
      <c r="N68" s="118"/>
      <c r="O68" s="118"/>
    </row>
    <row r="69" spans="1:19" x14ac:dyDescent="0.25">
      <c r="C69" s="104"/>
      <c r="D69" s="104"/>
      <c r="E69" s="104" t="str">
        <f>F61</f>
        <v>MATSCP</v>
      </c>
      <c r="F69" s="154"/>
      <c r="G69" s="146"/>
      <c r="H69" s="223"/>
      <c r="I69" s="223"/>
      <c r="J69" s="146"/>
      <c r="K69" s="146"/>
      <c r="L69" s="251">
        <f>1/3</f>
        <v>0.33333333333333331</v>
      </c>
      <c r="M69" s="234"/>
      <c r="N69" s="118"/>
      <c r="O69" s="118"/>
    </row>
    <row r="70" spans="1:19" x14ac:dyDescent="0.25">
      <c r="C70" s="104"/>
      <c r="D70" s="104"/>
      <c r="E70" s="104" t="str">
        <f>F52</f>
        <v>MATPCP</v>
      </c>
      <c r="F70" s="154"/>
      <c r="G70" s="146"/>
      <c r="H70" s="223"/>
      <c r="I70" s="223"/>
      <c r="J70" s="146"/>
      <c r="K70" s="146"/>
      <c r="L70" s="251">
        <f>2/3</f>
        <v>0.66666666666666663</v>
      </c>
      <c r="M70" s="234"/>
      <c r="N70" s="118"/>
      <c r="O70" s="118"/>
    </row>
    <row r="71" spans="1:19" ht="14.4" thickBot="1" x14ac:dyDescent="0.3">
      <c r="A71" s="351"/>
      <c r="B71" s="351"/>
      <c r="C71" s="351"/>
      <c r="D71" s="351"/>
      <c r="E71" s="351"/>
      <c r="F71" s="353" t="str">
        <f>Commodities!Y9</f>
        <v>INDCOP</v>
      </c>
      <c r="G71" s="356"/>
      <c r="H71" s="355"/>
      <c r="I71" s="355"/>
      <c r="J71" s="356"/>
      <c r="K71" s="356"/>
      <c r="L71" s="356"/>
      <c r="M71" s="354">
        <v>1</v>
      </c>
      <c r="N71" s="356"/>
      <c r="O71" s="356"/>
      <c r="P71" s="104"/>
    </row>
    <row r="72" spans="1:19" ht="14.4" thickTop="1" x14ac:dyDescent="0.25">
      <c r="C72" s="104" t="str">
        <f>$W$23</f>
        <v>INDDEMNFMLEDE_00</v>
      </c>
      <c r="D72" s="104" t="str">
        <f>$X$23</f>
        <v>Lead Production</v>
      </c>
      <c r="E72" s="104" t="str">
        <f t="shared" ref="E72:E78" si="3">E62</f>
        <v>INDBIOCHR</v>
      </c>
      <c r="F72" s="154"/>
      <c r="G72" s="146"/>
      <c r="H72" s="360">
        <v>1</v>
      </c>
      <c r="I72" s="219">
        <f>V6*1.1</f>
        <v>0</v>
      </c>
      <c r="J72" s="146"/>
      <c r="K72" s="146"/>
      <c r="L72" s="219">
        <f>0*(1/1000)</f>
        <v>0</v>
      </c>
      <c r="M72" s="153"/>
      <c r="N72" s="219">
        <v>0</v>
      </c>
      <c r="O72" s="219">
        <f>1/1.1</f>
        <v>0.90909090909090906</v>
      </c>
    </row>
    <row r="73" spans="1:19" x14ac:dyDescent="0.25">
      <c r="C73" s="104"/>
      <c r="D73" s="104"/>
      <c r="E73" s="104" t="str">
        <f t="shared" si="3"/>
        <v>INDNFMHTH</v>
      </c>
      <c r="F73" s="154"/>
      <c r="G73" s="146"/>
      <c r="H73" s="360"/>
      <c r="I73" s="223"/>
      <c r="J73" s="146"/>
      <c r="K73" s="146"/>
      <c r="L73" s="219">
        <f>0*(1/1000)</f>
        <v>0</v>
      </c>
      <c r="M73" s="153"/>
      <c r="N73" s="146"/>
      <c r="O73" s="146"/>
      <c r="Q73" s="359">
        <f>SUM(Q74:Q77)</f>
        <v>12.506643100420712</v>
      </c>
      <c r="R73" s="338">
        <f>SUM(R74:R77)</f>
        <v>15.49540102990097</v>
      </c>
    </row>
    <row r="74" spans="1:19" x14ac:dyDescent="0.25">
      <c r="C74" s="104"/>
      <c r="D74" s="104"/>
      <c r="E74" s="104" t="str">
        <f t="shared" si="3"/>
        <v>INDOILHFO</v>
      </c>
      <c r="F74" s="154"/>
      <c r="G74" s="146"/>
      <c r="H74" s="360"/>
      <c r="I74" s="223"/>
      <c r="J74" s="146"/>
      <c r="K74" s="146"/>
      <c r="L74" s="219">
        <f>1*(1/1000)</f>
        <v>1E-3</v>
      </c>
      <c r="M74" s="153"/>
      <c r="N74" s="146"/>
      <c r="O74" s="146"/>
      <c r="Q74" s="345">
        <v>5.8376124109090757</v>
      </c>
      <c r="R74" s="339">
        <v>5.4933298691801005</v>
      </c>
      <c r="S74" s="99" t="s">
        <v>190</v>
      </c>
    </row>
    <row r="75" spans="1:19" x14ac:dyDescent="0.25">
      <c r="C75" s="104"/>
      <c r="D75" s="104"/>
      <c r="E75" s="104" t="str">
        <f t="shared" si="3"/>
        <v>INDGASNAT</v>
      </c>
      <c r="F75" s="154"/>
      <c r="G75" s="146"/>
      <c r="H75" s="360"/>
      <c r="I75" s="223"/>
      <c r="J75" s="146"/>
      <c r="K75" s="146"/>
      <c r="L75" s="219">
        <f>0*(1/1000)</f>
        <v>0</v>
      </c>
      <c r="M75" s="153"/>
      <c r="N75" s="146"/>
      <c r="O75" s="146"/>
      <c r="Q75" s="345">
        <v>5.4205643847031935</v>
      </c>
      <c r="R75" s="339">
        <v>9.2991161050963669</v>
      </c>
      <c r="S75" s="99" t="s">
        <v>174</v>
      </c>
    </row>
    <row r="76" spans="1:19" x14ac:dyDescent="0.25">
      <c r="C76" s="104"/>
      <c r="D76" s="104"/>
      <c r="E76" s="104" t="str">
        <f t="shared" si="3"/>
        <v>INDELC</v>
      </c>
      <c r="F76" s="154"/>
      <c r="G76" s="146"/>
      <c r="H76" s="360"/>
      <c r="I76" s="223"/>
      <c r="J76" s="146"/>
      <c r="K76" s="146"/>
      <c r="L76" s="219">
        <f>(R74)*(1/1000)</f>
        <v>5.4933298691801002E-3</v>
      </c>
      <c r="M76" s="153"/>
      <c r="N76" s="146"/>
      <c r="O76" s="146"/>
      <c r="Q76" s="345">
        <v>1.0703022635957611</v>
      </c>
      <c r="R76" s="339">
        <v>0.64514537381114567</v>
      </c>
      <c r="S76" s="99" t="s">
        <v>761</v>
      </c>
    </row>
    <row r="77" spans="1:19" x14ac:dyDescent="0.25">
      <c r="C77" s="104"/>
      <c r="D77" s="104"/>
      <c r="E77" s="104" t="str">
        <f t="shared" si="3"/>
        <v>INDCOABIC</v>
      </c>
      <c r="F77" s="154"/>
      <c r="G77" s="146"/>
      <c r="H77" s="360"/>
      <c r="I77" s="223"/>
      <c r="J77" s="146"/>
      <c r="K77" s="146"/>
      <c r="L77" s="219">
        <f>9*(1/1000)</f>
        <v>9.0000000000000011E-3</v>
      </c>
      <c r="M77" s="153"/>
      <c r="N77" s="146"/>
      <c r="O77" s="146"/>
      <c r="Q77" s="346">
        <v>0.1781640412126837</v>
      </c>
      <c r="R77" s="341">
        <v>5.7809681813357307E-2</v>
      </c>
      <c r="S77" s="99" t="s">
        <v>747</v>
      </c>
    </row>
    <row r="78" spans="1:19" x14ac:dyDescent="0.25">
      <c r="C78" s="104"/>
      <c r="D78" s="104"/>
      <c r="E78" s="104" t="str">
        <f t="shared" si="3"/>
        <v>INDCOACOC</v>
      </c>
      <c r="F78" s="154"/>
      <c r="G78" s="146"/>
      <c r="H78" s="360"/>
      <c r="I78" s="223"/>
      <c r="J78" s="146"/>
      <c r="K78" s="146"/>
      <c r="L78" s="219">
        <f>0*(1/1000)</f>
        <v>0</v>
      </c>
      <c r="M78" s="153"/>
      <c r="N78" s="146"/>
      <c r="O78" s="146"/>
    </row>
    <row r="79" spans="1:19" x14ac:dyDescent="0.25">
      <c r="C79" s="104"/>
      <c r="D79" s="104"/>
      <c r="E79" s="104" t="str">
        <f>Commodities!AI16</f>
        <v>MATLRE</v>
      </c>
      <c r="F79" s="154"/>
      <c r="G79" s="146"/>
      <c r="H79" s="360"/>
      <c r="I79" s="223"/>
      <c r="J79" s="146"/>
      <c r="K79" s="146"/>
      <c r="L79" s="251">
        <v>1</v>
      </c>
      <c r="M79" s="153"/>
      <c r="N79" s="146"/>
      <c r="O79" s="146"/>
    </row>
    <row r="80" spans="1:19" ht="14.4" thickBot="1" x14ac:dyDescent="0.3">
      <c r="A80" s="351"/>
      <c r="B80" s="351"/>
      <c r="C80" s="351"/>
      <c r="D80" s="351"/>
      <c r="E80" s="351"/>
      <c r="F80" s="353" t="str">
        <f>Commodities!Y11</f>
        <v>INDLED</v>
      </c>
      <c r="G80" s="356"/>
      <c r="H80" s="361"/>
      <c r="I80" s="355"/>
      <c r="J80" s="356"/>
      <c r="K80" s="356"/>
      <c r="L80" s="362"/>
      <c r="M80" s="354">
        <v>1</v>
      </c>
      <c r="N80" s="356"/>
      <c r="O80" s="356"/>
      <c r="P80" s="104"/>
    </row>
    <row r="81" spans="1:19" ht="14.4" thickTop="1" x14ac:dyDescent="0.25">
      <c r="C81" s="99" t="str">
        <f>$W$24</f>
        <v>INDDEMNFMZNCE_00</v>
      </c>
      <c r="D81" s="99" t="str">
        <f>$X$24</f>
        <v>Zinc production</v>
      </c>
      <c r="E81" s="99" t="str">
        <f t="shared" ref="E81:E87" si="4">E44</f>
        <v>INDBIOCHR</v>
      </c>
      <c r="F81" s="154"/>
      <c r="G81" s="234"/>
      <c r="H81" s="292">
        <v>1</v>
      </c>
      <c r="I81" s="219">
        <f>AD6*1.1</f>
        <v>0</v>
      </c>
      <c r="J81" s="118"/>
      <c r="K81" s="118"/>
      <c r="L81" s="234">
        <v>0</v>
      </c>
      <c r="M81" s="234"/>
      <c r="N81" s="219">
        <v>0</v>
      </c>
      <c r="O81" s="219">
        <f>1/1.1</f>
        <v>0.90909090909090906</v>
      </c>
    </row>
    <row r="82" spans="1:19" x14ac:dyDescent="0.25">
      <c r="E82" s="99" t="str">
        <f t="shared" si="4"/>
        <v>INDNFMHTH</v>
      </c>
      <c r="F82" s="154"/>
      <c r="G82" s="234"/>
      <c r="H82" s="292"/>
      <c r="I82" s="219"/>
      <c r="J82" s="118"/>
      <c r="K82" s="118"/>
      <c r="L82" s="234">
        <v>0</v>
      </c>
      <c r="M82" s="234"/>
      <c r="N82" s="118"/>
      <c r="O82" s="118"/>
    </row>
    <row r="83" spans="1:19" x14ac:dyDescent="0.25">
      <c r="D83" s="216"/>
      <c r="E83" s="99" t="str">
        <f t="shared" si="4"/>
        <v>INDOILHFO</v>
      </c>
      <c r="F83" s="154"/>
      <c r="G83" s="234"/>
      <c r="H83" s="292"/>
      <c r="I83" s="219"/>
      <c r="J83" s="118"/>
      <c r="K83" s="118"/>
      <c r="L83" s="234">
        <v>0</v>
      </c>
      <c r="M83" s="234"/>
      <c r="N83" s="118"/>
      <c r="O83" s="118"/>
    </row>
    <row r="84" spans="1:19" x14ac:dyDescent="0.25">
      <c r="D84" s="216"/>
      <c r="E84" s="99" t="str">
        <f t="shared" si="4"/>
        <v>INDGASNAT</v>
      </c>
      <c r="F84" s="154"/>
      <c r="G84" s="234"/>
      <c r="H84" s="292"/>
      <c r="I84" s="219"/>
      <c r="J84" s="118"/>
      <c r="K84" s="118"/>
      <c r="L84" s="234">
        <v>0</v>
      </c>
      <c r="M84" s="234"/>
      <c r="N84" s="118"/>
      <c r="O84" s="118"/>
    </row>
    <row r="85" spans="1:19" x14ac:dyDescent="0.25">
      <c r="D85" s="216"/>
      <c r="E85" s="99" t="str">
        <f t="shared" si="4"/>
        <v>INDELC</v>
      </c>
      <c r="F85" s="154"/>
      <c r="G85" s="234"/>
      <c r="H85" s="292"/>
      <c r="I85" s="219"/>
      <c r="J85" s="118"/>
      <c r="K85" s="118"/>
      <c r="L85" s="234">
        <f>Q85*3.6/1000</f>
        <v>1.26E-2</v>
      </c>
      <c r="M85" s="234"/>
      <c r="N85" s="118"/>
      <c r="O85" s="118"/>
      <c r="Q85" s="99">
        <v>3.5</v>
      </c>
      <c r="R85" s="99" t="s">
        <v>816</v>
      </c>
      <c r="S85" s="99" t="s">
        <v>817</v>
      </c>
    </row>
    <row r="86" spans="1:19" x14ac:dyDescent="0.25">
      <c r="D86" s="216"/>
      <c r="E86" s="99" t="str">
        <f t="shared" si="4"/>
        <v>INDCOABIC</v>
      </c>
      <c r="F86" s="154"/>
      <c r="G86" s="234"/>
      <c r="H86" s="292"/>
      <c r="I86" s="219"/>
      <c r="J86" s="118"/>
      <c r="K86" s="118"/>
      <c r="L86" s="234">
        <v>0</v>
      </c>
      <c r="M86" s="234"/>
      <c r="N86" s="118"/>
      <c r="O86" s="118"/>
    </row>
    <row r="87" spans="1:19" x14ac:dyDescent="0.25">
      <c r="D87" s="216"/>
      <c r="E87" s="99" t="str">
        <f t="shared" si="4"/>
        <v>INDCOACOC</v>
      </c>
      <c r="F87" s="154"/>
      <c r="G87" s="234"/>
      <c r="H87" s="292"/>
      <c r="I87" s="219"/>
      <c r="J87" s="118"/>
      <c r="K87" s="118"/>
      <c r="L87" s="234">
        <v>0</v>
      </c>
      <c r="M87" s="234"/>
      <c r="N87" s="118"/>
      <c r="O87" s="118"/>
    </row>
    <row r="88" spans="1:19" x14ac:dyDescent="0.25">
      <c r="D88" s="216"/>
      <c r="E88" s="99" t="str">
        <f>Commodities!AI15</f>
        <v>MATZRE</v>
      </c>
      <c r="F88" s="154"/>
      <c r="G88" s="234"/>
      <c r="H88" s="292"/>
      <c r="I88" s="219"/>
      <c r="J88" s="118"/>
      <c r="K88" s="118"/>
      <c r="L88" s="292">
        <v>1</v>
      </c>
      <c r="M88" s="234"/>
      <c r="N88" s="118"/>
      <c r="O88" s="118"/>
    </row>
    <row r="89" spans="1:19" ht="14.4" thickBot="1" x14ac:dyDescent="0.3">
      <c r="A89" s="351"/>
      <c r="B89" s="351"/>
      <c r="C89" s="351"/>
      <c r="D89" s="352"/>
      <c r="E89" s="351"/>
      <c r="F89" s="353" t="str">
        <f>Commodities!Y10</f>
        <v>INDZNC</v>
      </c>
      <c r="G89" s="354"/>
      <c r="H89" s="361"/>
      <c r="I89" s="355"/>
      <c r="J89" s="356"/>
      <c r="K89" s="356"/>
      <c r="L89" s="356"/>
      <c r="M89" s="354">
        <v>1</v>
      </c>
      <c r="N89" s="356"/>
      <c r="O89" s="356"/>
      <c r="P89" s="104"/>
    </row>
    <row r="90" spans="1:19" ht="14.4" thickTop="1" x14ac:dyDescent="0.25">
      <c r="C90" s="99" t="str">
        <f>$W$25</f>
        <v>INDDEMNFMONFE_00</v>
      </c>
      <c r="D90" s="99" t="str">
        <f>$X$25</f>
        <v>Other Non-Ferrous Production</v>
      </c>
      <c r="E90" s="99" t="str">
        <f>E81</f>
        <v>INDBIOCHR</v>
      </c>
      <c r="F90" s="154"/>
      <c r="G90" s="118"/>
      <c r="H90" s="292">
        <v>1</v>
      </c>
      <c r="I90" s="219">
        <f>AK6*1.1</f>
        <v>7.8052700000000017E-2</v>
      </c>
      <c r="J90" s="118"/>
      <c r="K90" s="118"/>
      <c r="L90" s="234">
        <v>0</v>
      </c>
      <c r="M90" s="234"/>
      <c r="N90" s="219">
        <v>0</v>
      </c>
      <c r="O90" s="219">
        <f>1/1.1</f>
        <v>0.90909090909090906</v>
      </c>
    </row>
    <row r="91" spans="1:19" x14ac:dyDescent="0.25">
      <c r="E91" s="99" t="str">
        <f t="shared" ref="E91:E96" si="5">E82</f>
        <v>INDNFMHTH</v>
      </c>
      <c r="F91" s="154"/>
      <c r="G91" s="118"/>
      <c r="H91" s="219"/>
      <c r="I91" s="219"/>
      <c r="J91" s="118"/>
      <c r="K91" s="118"/>
      <c r="L91" s="234">
        <v>0</v>
      </c>
      <c r="M91" s="234"/>
      <c r="N91" s="118"/>
      <c r="O91" s="118"/>
      <c r="Q91" s="359"/>
      <c r="R91" s="338"/>
    </row>
    <row r="92" spans="1:19" x14ac:dyDescent="0.25">
      <c r="E92" s="99" t="str">
        <f t="shared" si="5"/>
        <v>INDOILHFO</v>
      </c>
      <c r="F92" s="154"/>
      <c r="G92" s="118"/>
      <c r="H92" s="219"/>
      <c r="I92" s="219"/>
      <c r="J92" s="118"/>
      <c r="K92" s="118"/>
      <c r="L92" s="234">
        <f>30/1000</f>
        <v>0.03</v>
      </c>
      <c r="M92" s="234"/>
      <c r="N92" s="118"/>
      <c r="O92" s="118"/>
      <c r="Q92" s="345" t="s">
        <v>819</v>
      </c>
      <c r="R92" s="339"/>
      <c r="S92" s="99" t="s">
        <v>190</v>
      </c>
    </row>
    <row r="93" spans="1:19" x14ac:dyDescent="0.25">
      <c r="E93" s="99" t="str">
        <f t="shared" si="5"/>
        <v>INDGASNAT</v>
      </c>
      <c r="F93" s="154"/>
      <c r="G93" s="118"/>
      <c r="H93" s="219"/>
      <c r="I93" s="219"/>
      <c r="J93" s="118"/>
      <c r="K93" s="118"/>
      <c r="L93" s="234">
        <v>0</v>
      </c>
      <c r="M93" s="234"/>
      <c r="N93" s="118"/>
      <c r="O93" s="118"/>
      <c r="Q93" s="345" t="s">
        <v>819</v>
      </c>
      <c r="R93" s="339"/>
      <c r="S93" s="99" t="s">
        <v>174</v>
      </c>
    </row>
    <row r="94" spans="1:19" x14ac:dyDescent="0.25">
      <c r="E94" s="99" t="str">
        <f t="shared" si="5"/>
        <v>INDELC</v>
      </c>
      <c r="F94" s="154"/>
      <c r="G94" s="118"/>
      <c r="H94" s="219"/>
      <c r="I94" s="219"/>
      <c r="J94" s="118"/>
      <c r="K94" s="118"/>
      <c r="L94" s="234">
        <f>450/1000</f>
        <v>0.45</v>
      </c>
      <c r="M94" s="234"/>
      <c r="N94" s="118"/>
      <c r="O94" s="118"/>
      <c r="Q94" s="345" t="s">
        <v>819</v>
      </c>
      <c r="R94" s="339"/>
      <c r="S94" s="99" t="s">
        <v>761</v>
      </c>
    </row>
    <row r="95" spans="1:19" x14ac:dyDescent="0.25">
      <c r="E95" s="99" t="str">
        <f t="shared" si="5"/>
        <v>INDCOABIC</v>
      </c>
      <c r="F95" s="154"/>
      <c r="G95" s="118"/>
      <c r="H95" s="219"/>
      <c r="I95" s="219"/>
      <c r="J95" s="118"/>
      <c r="K95" s="118"/>
      <c r="L95" s="234">
        <f>350/1000</f>
        <v>0.35</v>
      </c>
      <c r="M95" s="234"/>
      <c r="N95" s="118"/>
      <c r="O95" s="118"/>
      <c r="Q95" s="345" t="s">
        <v>819</v>
      </c>
      <c r="R95" s="339"/>
      <c r="S95" s="99" t="s">
        <v>747</v>
      </c>
    </row>
    <row r="96" spans="1:19" x14ac:dyDescent="0.25">
      <c r="E96" s="99" t="str">
        <f t="shared" si="5"/>
        <v>INDCOACOC</v>
      </c>
      <c r="F96" s="154"/>
      <c r="G96" s="118"/>
      <c r="H96" s="219"/>
      <c r="I96" s="219"/>
      <c r="J96" s="118"/>
      <c r="K96" s="118"/>
      <c r="L96" s="234">
        <v>0</v>
      </c>
      <c r="M96" s="234"/>
      <c r="N96" s="118"/>
      <c r="O96" s="118"/>
      <c r="Q96" s="346" t="s">
        <v>819</v>
      </c>
      <c r="R96" s="341"/>
      <c r="S96" s="99" t="s">
        <v>818</v>
      </c>
    </row>
    <row r="97" spans="1:16" x14ac:dyDescent="0.25">
      <c r="E97" s="99" t="str">
        <f>Commodities!AI18</f>
        <v>MATONF</v>
      </c>
      <c r="F97" s="154"/>
      <c r="G97" s="118"/>
      <c r="H97" s="219"/>
      <c r="I97" s="219"/>
      <c r="J97" s="118"/>
      <c r="K97" s="118"/>
      <c r="L97" s="292">
        <f>1</f>
        <v>1</v>
      </c>
      <c r="M97" s="234"/>
      <c r="N97" s="118"/>
      <c r="O97" s="118"/>
    </row>
    <row r="98" spans="1:16" ht="14.4" thickBot="1" x14ac:dyDescent="0.3">
      <c r="A98" s="351"/>
      <c r="B98" s="351"/>
      <c r="C98" s="351"/>
      <c r="D98" s="351"/>
      <c r="E98" s="351"/>
      <c r="F98" s="353" t="str">
        <f>Commodities!Y12</f>
        <v>INDONF</v>
      </c>
      <c r="G98" s="356"/>
      <c r="H98" s="355"/>
      <c r="I98" s="355"/>
      <c r="J98" s="356"/>
      <c r="K98" s="356"/>
      <c r="L98" s="356"/>
      <c r="M98" s="354">
        <v>1</v>
      </c>
      <c r="N98" s="356"/>
      <c r="O98" s="356"/>
      <c r="P98" s="104"/>
    </row>
    <row r="99" spans="1:16" ht="14.4" thickTop="1" x14ac:dyDescent="0.25">
      <c r="B99" s="104"/>
      <c r="C99" s="104"/>
      <c r="D99" s="104"/>
      <c r="E99" s="104"/>
      <c r="F99" s="104"/>
      <c r="G99" s="146"/>
      <c r="H99" s="223"/>
      <c r="I99" s="223"/>
      <c r="J99" s="146"/>
      <c r="K99" s="146"/>
      <c r="L99" s="146"/>
      <c r="M99" s="211"/>
      <c r="N99" s="146"/>
      <c r="O99" s="146"/>
    </row>
  </sheetData>
  <pageMargins left="0.7" right="0.7" top="0.75" bottom="0.75" header="0.3" footer="0.3"/>
  <pageSetup orientation="portrait" horizontalDpi="4294967292" r:id="rId1"/>
  <headerFooter alignWithMargins="0"/>
  <legacy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9D370-5B6C-4F3F-9F28-598EB0B47650}">
  <dimension ref="A1:AC30"/>
  <sheetViews>
    <sheetView topLeftCell="B1" zoomScale="70" zoomScaleNormal="70" workbookViewId="0">
      <selection activeCell="B1" sqref="A1:XFD1048576"/>
    </sheetView>
  </sheetViews>
  <sheetFormatPr defaultColWidth="13.44140625" defaultRowHeight="13.8" x14ac:dyDescent="0.25"/>
  <cols>
    <col min="1" max="1" width="13.33203125" style="99" bestFit="1" customWidth="1"/>
    <col min="2" max="2" width="40.6640625" style="99" customWidth="1"/>
    <col min="3" max="3" width="15.6640625" style="99" bestFit="1" customWidth="1"/>
    <col min="4" max="4" width="22.44140625" style="99" bestFit="1" customWidth="1"/>
    <col min="5" max="5" width="20.109375" style="99" bestFit="1" customWidth="1"/>
    <col min="6" max="6" width="16.6640625" style="99" bestFit="1" customWidth="1"/>
    <col min="7" max="7" width="15.88671875" style="99" bestFit="1" customWidth="1"/>
    <col min="8" max="8" width="14.5546875" style="99" bestFit="1" customWidth="1"/>
    <col min="9" max="9" width="24.33203125" style="99" bestFit="1" customWidth="1"/>
    <col min="10" max="10" width="23.44140625" style="99" bestFit="1" customWidth="1"/>
    <col min="11" max="11" width="14.5546875" style="99" bestFit="1" customWidth="1"/>
    <col min="12" max="12" width="16.44140625" style="99" bestFit="1" customWidth="1"/>
    <col min="13" max="13" width="15.88671875" style="99" bestFit="1" customWidth="1"/>
    <col min="14" max="14" width="15.6640625" style="99" bestFit="1" customWidth="1"/>
    <col min="15" max="15" width="18.109375" style="99" bestFit="1" customWidth="1"/>
    <col min="16" max="16" width="15" style="99" bestFit="1" customWidth="1"/>
    <col min="17" max="17" width="14.88671875" style="99" bestFit="1" customWidth="1"/>
    <col min="18" max="18" width="15" style="99" bestFit="1" customWidth="1"/>
    <col min="19" max="19" width="13.109375" style="99" bestFit="1" customWidth="1"/>
    <col min="20" max="20" width="13" style="99" bestFit="1" customWidth="1"/>
    <col min="21" max="21" width="13.6640625" style="99" bestFit="1" customWidth="1"/>
    <col min="22" max="22" width="13.44140625" style="99"/>
    <col min="23" max="24" width="17.5546875" style="99" customWidth="1"/>
    <col min="25" max="26" width="16.6640625" style="99" customWidth="1"/>
    <col min="27" max="27" width="16.44140625" style="99" customWidth="1"/>
    <col min="28" max="16384" width="13.44140625" style="99"/>
  </cols>
  <sheetData>
    <row r="1" spans="1:29" ht="17.399999999999999" x14ac:dyDescent="0.3">
      <c r="A1" s="121"/>
      <c r="B1" s="121" t="s">
        <v>679</v>
      </c>
      <c r="C1" s="121"/>
      <c r="D1" s="121"/>
    </row>
    <row r="4" spans="1:29" s="275" customFormat="1" x14ac:dyDescent="0.25">
      <c r="A4" s="108"/>
      <c r="B4" s="108"/>
      <c r="D4" s="108"/>
    </row>
    <row r="5" spans="1:29" s="275" customFormat="1" ht="14.4" thickBot="1" x14ac:dyDescent="0.3">
      <c r="A5" s="108"/>
      <c r="B5" s="108"/>
      <c r="C5" s="229"/>
      <c r="D5" s="135"/>
      <c r="E5" s="135"/>
      <c r="F5" s="135"/>
      <c r="G5" s="229"/>
      <c r="H5" s="229"/>
      <c r="I5" s="229"/>
      <c r="J5" s="229"/>
      <c r="K5" s="229"/>
      <c r="L5" s="229"/>
      <c r="M5" s="229"/>
      <c r="N5" s="229"/>
      <c r="O5" s="229"/>
      <c r="P5" s="229"/>
      <c r="Q5" s="229"/>
      <c r="R5" s="229"/>
      <c r="S5" s="229"/>
      <c r="T5" s="229"/>
    </row>
    <row r="6" spans="1:29" s="275" customFormat="1" ht="19.5" customHeight="1" x14ac:dyDescent="0.25">
      <c r="A6" s="108"/>
      <c r="B6" s="108"/>
      <c r="C6" s="152"/>
      <c r="D6" s="152"/>
      <c r="E6" s="152"/>
      <c r="F6" s="152"/>
      <c r="G6" s="152"/>
      <c r="H6" s="152"/>
      <c r="I6" s="152"/>
      <c r="J6" s="152"/>
      <c r="K6" s="152"/>
      <c r="L6" s="152"/>
      <c r="M6" s="152"/>
      <c r="N6" s="152"/>
      <c r="O6" s="152"/>
      <c r="P6" s="152"/>
      <c r="Q6" s="152"/>
      <c r="R6" s="152"/>
      <c r="S6" s="152"/>
      <c r="T6" s="152"/>
      <c r="W6" s="276"/>
    </row>
    <row r="7" spans="1:29" s="301" customFormat="1" ht="31.5" customHeight="1" thickBot="1" x14ac:dyDescent="0.3">
      <c r="A7" s="108"/>
      <c r="B7" s="299" t="s">
        <v>270</v>
      </c>
      <c r="C7" s="135" t="s">
        <v>625</v>
      </c>
      <c r="D7" s="135" t="s">
        <v>626</v>
      </c>
      <c r="E7" s="135" t="s">
        <v>155</v>
      </c>
      <c r="F7" s="135" t="s">
        <v>57</v>
      </c>
      <c r="G7" s="135" t="s">
        <v>156</v>
      </c>
      <c r="H7" s="135" t="s">
        <v>163</v>
      </c>
      <c r="I7" s="135" t="s">
        <v>164</v>
      </c>
      <c r="J7" s="135" t="s">
        <v>168</v>
      </c>
      <c r="K7" s="135" t="s">
        <v>169</v>
      </c>
      <c r="L7" s="135" t="s">
        <v>77</v>
      </c>
      <c r="M7" s="135" t="s">
        <v>172</v>
      </c>
      <c r="N7" s="135" t="s">
        <v>174</v>
      </c>
      <c r="O7" s="135" t="s">
        <v>176</v>
      </c>
      <c r="P7" s="135" t="s">
        <v>182</v>
      </c>
      <c r="Q7" s="135" t="s">
        <v>94</v>
      </c>
      <c r="R7" s="135" t="s">
        <v>183</v>
      </c>
      <c r="S7" s="135" t="s">
        <v>189</v>
      </c>
      <c r="T7" s="135" t="s">
        <v>190</v>
      </c>
      <c r="U7" s="275"/>
      <c r="V7" s="300"/>
      <c r="W7" s="300"/>
      <c r="X7" s="215"/>
      <c r="Y7" s="138"/>
      <c r="Z7" s="215"/>
      <c r="AA7" s="138"/>
      <c r="AB7" s="296"/>
      <c r="AC7" s="138"/>
    </row>
    <row r="8" spans="1:29" x14ac:dyDescent="0.25">
      <c r="A8" s="108"/>
      <c r="B8" s="328" t="s">
        <v>680</v>
      </c>
      <c r="C8" s="329">
        <f>'En.Bal-Final_Energy'!K21/1000*41.868</f>
        <v>0</v>
      </c>
      <c r="D8" s="329">
        <f>'En.Bal-Final_Energy'!L21/1000*41.868</f>
        <v>0</v>
      </c>
      <c r="E8" s="329">
        <f>'En.Bal-Final_Energy'!M21/1000*41.868</f>
        <v>0</v>
      </c>
      <c r="F8" s="329"/>
      <c r="G8" s="329"/>
      <c r="H8" s="329">
        <f>'En.Bal-Final_Energy'!X21/1000*41.868</f>
        <v>0</v>
      </c>
      <c r="I8" s="329">
        <f>'En.Bal-Final_Energy'!Y21/1000*41.868</f>
        <v>0</v>
      </c>
      <c r="J8" s="329">
        <f>'En.Bal-Final_Energy'!AE21/1000*41.868</f>
        <v>0</v>
      </c>
      <c r="K8" s="329"/>
      <c r="L8" s="329"/>
      <c r="M8" s="329"/>
      <c r="N8" s="329">
        <f>'En.Bal-Final_Energy'!AN21/1000*41.868</f>
        <v>5.8615200000000005</v>
      </c>
      <c r="O8" s="329"/>
      <c r="P8" s="329"/>
      <c r="Q8" s="329"/>
      <c r="R8" s="329"/>
      <c r="S8" s="329">
        <f>'En.Bal-Final_Energy'!BD21/1000*41.868</f>
        <v>0</v>
      </c>
      <c r="T8" s="329">
        <f>'En.Bal-Final_Energy'!BE21/1000*41.868</f>
        <v>2.0934000000000004</v>
      </c>
      <c r="U8" s="330">
        <f>SUM(C8:T8)</f>
        <v>7.9549200000000013</v>
      </c>
      <c r="V8" s="331">
        <f>'En.Bal-Final_Energy'!BG21</f>
        <v>13.816440000000002</v>
      </c>
      <c r="W8" s="332"/>
      <c r="X8" s="307"/>
      <c r="Y8" s="307"/>
      <c r="Z8" s="307"/>
      <c r="AA8" s="307"/>
      <c r="AB8" s="296"/>
      <c r="AC8" s="307"/>
    </row>
    <row r="9" spans="1:29" ht="14.4" thickBot="1" x14ac:dyDescent="0.3">
      <c r="C9" s="308" t="s">
        <v>100</v>
      </c>
      <c r="D9" s="308" t="s">
        <v>616</v>
      </c>
      <c r="E9" s="308" t="s">
        <v>612</v>
      </c>
      <c r="F9" s="308" t="s">
        <v>101</v>
      </c>
      <c r="G9" s="308" t="s">
        <v>103</v>
      </c>
      <c r="H9" s="308" t="s">
        <v>106</v>
      </c>
      <c r="I9" s="308" t="s">
        <v>105</v>
      </c>
      <c r="J9" s="308" t="s">
        <v>104</v>
      </c>
      <c r="K9" s="308" t="s">
        <v>449</v>
      </c>
      <c r="L9" s="308" t="s">
        <v>110</v>
      </c>
      <c r="M9" s="308" t="s">
        <v>111</v>
      </c>
      <c r="N9" s="308" t="s">
        <v>112</v>
      </c>
      <c r="O9" s="308" t="s">
        <v>113</v>
      </c>
      <c r="P9" s="308" t="s">
        <v>114</v>
      </c>
      <c r="Q9" s="308" t="s">
        <v>121</v>
      </c>
      <c r="R9" s="308" t="s">
        <v>119</v>
      </c>
      <c r="S9" s="308" t="s">
        <v>340</v>
      </c>
      <c r="T9" s="308" t="s">
        <v>129</v>
      </c>
      <c r="U9" s="275"/>
      <c r="V9" s="104"/>
      <c r="W9" s="104"/>
      <c r="X9" s="104"/>
      <c r="Y9" s="104"/>
      <c r="Z9" s="104"/>
      <c r="AA9" s="104"/>
      <c r="AB9" s="104"/>
      <c r="AC9" s="104"/>
    </row>
    <row r="10" spans="1:29" x14ac:dyDescent="0.25">
      <c r="U10" s="275"/>
      <c r="W10" s="108"/>
      <c r="X10" s="108"/>
      <c r="Y10" s="108"/>
      <c r="Z10" s="275"/>
      <c r="AA10" s="275"/>
    </row>
    <row r="11" spans="1:29" x14ac:dyDescent="0.25">
      <c r="U11" s="275"/>
      <c r="W11" s="108"/>
      <c r="X11" s="108"/>
      <c r="Y11" s="108"/>
      <c r="Z11" s="275"/>
      <c r="AA11" s="275"/>
    </row>
    <row r="12" spans="1:29" x14ac:dyDescent="0.25">
      <c r="W12" s="108"/>
      <c r="X12" s="108"/>
      <c r="Y12" s="108"/>
      <c r="Z12" s="275"/>
      <c r="AA12" s="275"/>
    </row>
    <row r="15" spans="1:29" x14ac:dyDescent="0.25">
      <c r="B15" s="217" t="s">
        <v>681</v>
      </c>
      <c r="C15" s="217"/>
      <c r="D15" s="217"/>
      <c r="E15" s="217"/>
      <c r="F15" s="217"/>
      <c r="G15" s="217"/>
      <c r="H15" s="217"/>
      <c r="I15" s="217"/>
      <c r="J15" s="217"/>
      <c r="K15" s="217"/>
      <c r="L15" s="217"/>
      <c r="M15" s="217"/>
      <c r="N15" s="217"/>
      <c r="O15" s="217"/>
      <c r="P15" s="217"/>
      <c r="Q15" s="217"/>
      <c r="R15" s="217"/>
      <c r="S15" s="217"/>
      <c r="T15" s="217"/>
      <c r="U15" s="274"/>
    </row>
    <row r="16" spans="1:29" ht="14.4" thickBot="1" x14ac:dyDescent="0.3">
      <c r="B16" s="283" t="s">
        <v>395</v>
      </c>
      <c r="C16" s="284" t="str">
        <f>C$9</f>
        <v>INDCOABIC</v>
      </c>
      <c r="D16" s="284" t="str">
        <f t="shared" ref="D16:T16" si="0">D$9</f>
        <v>INDCOASUB</v>
      </c>
      <c r="E16" s="284" t="str">
        <f t="shared" si="0"/>
        <v>INDCOABCO</v>
      </c>
      <c r="F16" s="284" t="str">
        <f t="shared" si="0"/>
        <v>INDCOACOC</v>
      </c>
      <c r="G16" s="284" t="str">
        <f t="shared" si="0"/>
        <v>INDCOABKB</v>
      </c>
      <c r="H16" s="284" t="str">
        <f t="shared" si="0"/>
        <v>INDOILLPG</v>
      </c>
      <c r="I16" s="284" t="str">
        <f t="shared" si="0"/>
        <v>INDOILGSL</v>
      </c>
      <c r="J16" s="284" t="str">
        <f t="shared" si="0"/>
        <v>INDOILDSL</v>
      </c>
      <c r="K16" s="284" t="str">
        <f t="shared" si="0"/>
        <v>INDOILHFO</v>
      </c>
      <c r="L16" s="284" t="str">
        <f t="shared" si="0"/>
        <v>INDOILPCK</v>
      </c>
      <c r="M16" s="284" t="str">
        <f t="shared" si="0"/>
        <v>INDOILOTH</v>
      </c>
      <c r="N16" s="284" t="str">
        <f t="shared" si="0"/>
        <v>INDGASNAT</v>
      </c>
      <c r="O16" s="284" t="str">
        <f t="shared" si="0"/>
        <v>INDGASBFG</v>
      </c>
      <c r="P16" s="284" t="str">
        <f t="shared" si="0"/>
        <v>INDBIOLOG</v>
      </c>
      <c r="Q16" s="284" t="str">
        <f t="shared" si="0"/>
        <v>INDBIOCHR</v>
      </c>
      <c r="R16" s="284" t="str">
        <f t="shared" si="0"/>
        <v>INDBIOBGS</v>
      </c>
      <c r="S16" s="284" t="str">
        <f t="shared" si="0"/>
        <v>INDHTH</v>
      </c>
      <c r="T16" s="284" t="str">
        <f t="shared" si="0"/>
        <v>INDELC</v>
      </c>
      <c r="V16" s="285"/>
    </row>
    <row r="17" spans="1:22" ht="15" customHeight="1" x14ac:dyDescent="0.25">
      <c r="A17" s="99" t="s">
        <v>682</v>
      </c>
      <c r="B17" s="99" t="s">
        <v>640</v>
      </c>
      <c r="C17" s="278">
        <v>0.5</v>
      </c>
      <c r="D17" s="278">
        <v>0.5</v>
      </c>
      <c r="E17" s="278">
        <v>0.5</v>
      </c>
      <c r="F17" s="278"/>
      <c r="G17" s="278"/>
      <c r="H17" s="278">
        <v>0.5</v>
      </c>
      <c r="I17" s="278">
        <v>0.5</v>
      </c>
      <c r="J17" s="278">
        <v>0.5</v>
      </c>
      <c r="K17" s="278">
        <v>0.5</v>
      </c>
      <c r="L17" s="278"/>
      <c r="M17" s="278"/>
      <c r="N17" s="278">
        <v>0.6</v>
      </c>
      <c r="O17" s="278"/>
      <c r="P17" s="278"/>
      <c r="Q17" s="278"/>
      <c r="R17" s="278"/>
      <c r="S17" s="278">
        <v>1</v>
      </c>
      <c r="T17" s="278">
        <v>0</v>
      </c>
      <c r="V17" s="99" t="s">
        <v>682</v>
      </c>
    </row>
    <row r="18" spans="1:22" ht="15" customHeight="1" x14ac:dyDescent="0.25">
      <c r="A18" s="99" t="s">
        <v>451</v>
      </c>
      <c r="B18" s="99" t="s">
        <v>642</v>
      </c>
      <c r="C18" s="278">
        <v>0.5</v>
      </c>
      <c r="D18" s="278">
        <v>0.5</v>
      </c>
      <c r="E18" s="278">
        <v>0.5</v>
      </c>
      <c r="F18" s="278"/>
      <c r="G18" s="278"/>
      <c r="H18" s="278">
        <v>0.5</v>
      </c>
      <c r="I18" s="278">
        <v>0.5</v>
      </c>
      <c r="J18" s="278">
        <v>0.5</v>
      </c>
      <c r="K18" s="278">
        <v>0.5</v>
      </c>
      <c r="L18" s="278"/>
      <c r="M18" s="278"/>
      <c r="N18" s="278">
        <v>0.4</v>
      </c>
      <c r="O18" s="278"/>
      <c r="P18" s="278"/>
      <c r="Q18" s="278"/>
      <c r="R18" s="278"/>
      <c r="S18" s="278">
        <v>0</v>
      </c>
      <c r="T18" s="278">
        <v>0.1</v>
      </c>
      <c r="V18" s="99" t="s">
        <v>451</v>
      </c>
    </row>
    <row r="19" spans="1:22" ht="15" customHeight="1" x14ac:dyDescent="0.25">
      <c r="A19" s="99" t="s">
        <v>453</v>
      </c>
      <c r="B19" s="99" t="s">
        <v>396</v>
      </c>
      <c r="C19" s="278"/>
      <c r="D19" s="278"/>
      <c r="E19" s="278"/>
      <c r="F19" s="278"/>
      <c r="G19" s="278"/>
      <c r="H19" s="278"/>
      <c r="I19" s="278"/>
      <c r="J19" s="278">
        <v>0</v>
      </c>
      <c r="K19" s="278"/>
      <c r="L19" s="278"/>
      <c r="M19" s="278"/>
      <c r="N19" s="278"/>
      <c r="O19" s="278"/>
      <c r="P19" s="278"/>
      <c r="Q19" s="278"/>
      <c r="R19" s="278"/>
      <c r="S19" s="278"/>
      <c r="T19" s="278">
        <v>0.8</v>
      </c>
      <c r="V19" s="99" t="s">
        <v>453</v>
      </c>
    </row>
    <row r="20" spans="1:22" ht="15" customHeight="1" x14ac:dyDescent="0.25">
      <c r="A20" s="99" t="s">
        <v>455</v>
      </c>
      <c r="B20" s="149" t="s">
        <v>400</v>
      </c>
      <c r="C20" s="286"/>
      <c r="D20" s="286"/>
      <c r="E20" s="286"/>
      <c r="F20" s="286"/>
      <c r="G20" s="286"/>
      <c r="H20" s="286"/>
      <c r="I20" s="286"/>
      <c r="J20" s="286"/>
      <c r="K20" s="286"/>
      <c r="L20" s="286"/>
      <c r="M20" s="286"/>
      <c r="N20" s="286"/>
      <c r="O20" s="286"/>
      <c r="P20" s="286"/>
      <c r="Q20" s="286"/>
      <c r="R20" s="286"/>
      <c r="S20" s="286"/>
      <c r="T20" s="286">
        <v>0.1</v>
      </c>
      <c r="V20" s="99" t="s">
        <v>455</v>
      </c>
    </row>
    <row r="21" spans="1:22" ht="15" customHeight="1" x14ac:dyDescent="0.25">
      <c r="B21" s="287" t="s">
        <v>645</v>
      </c>
      <c r="C21" s="288" t="str">
        <f>IF(AND(C8&lt;&gt;0,SUM(C17:C20)&lt;&gt;1),"ERROR","")</f>
        <v/>
      </c>
      <c r="D21" s="288" t="str">
        <f t="shared" ref="D21:T21" si="1">IF(AND(D8&lt;&gt;0,SUM(D17:D20)&lt;&gt;1),"ERROR","")</f>
        <v/>
      </c>
      <c r="E21" s="288" t="str">
        <f t="shared" si="1"/>
        <v/>
      </c>
      <c r="F21" s="288" t="str">
        <f t="shared" si="1"/>
        <v/>
      </c>
      <c r="G21" s="288" t="str">
        <f t="shared" si="1"/>
        <v/>
      </c>
      <c r="H21" s="288" t="str">
        <f t="shared" si="1"/>
        <v/>
      </c>
      <c r="I21" s="288" t="str">
        <f t="shared" si="1"/>
        <v/>
      </c>
      <c r="J21" s="288" t="str">
        <f t="shared" si="1"/>
        <v/>
      </c>
      <c r="K21" s="288" t="str">
        <f t="shared" si="1"/>
        <v/>
      </c>
      <c r="L21" s="288" t="str">
        <f t="shared" si="1"/>
        <v/>
      </c>
      <c r="M21" s="288" t="str">
        <f t="shared" si="1"/>
        <v/>
      </c>
      <c r="N21" s="288" t="str">
        <f t="shared" si="1"/>
        <v/>
      </c>
      <c r="O21" s="288" t="str">
        <f t="shared" si="1"/>
        <v/>
      </c>
      <c r="P21" s="288" t="str">
        <f t="shared" si="1"/>
        <v/>
      </c>
      <c r="Q21" s="288" t="str">
        <f t="shared" si="1"/>
        <v/>
      </c>
      <c r="R21" s="288" t="str">
        <f t="shared" si="1"/>
        <v/>
      </c>
      <c r="S21" s="288" t="str">
        <f t="shared" si="1"/>
        <v/>
      </c>
      <c r="T21" s="288" t="str">
        <f t="shared" si="1"/>
        <v/>
      </c>
    </row>
    <row r="22" spans="1:22" x14ac:dyDescent="0.25">
      <c r="B22" s="217" t="s">
        <v>646</v>
      </c>
      <c r="C22" s="217"/>
      <c r="D22" s="217"/>
      <c r="E22" s="217"/>
      <c r="F22" s="217"/>
      <c r="G22" s="217"/>
      <c r="H22" s="217"/>
      <c r="I22" s="217"/>
      <c r="J22" s="217"/>
      <c r="K22" s="217"/>
      <c r="L22" s="217"/>
      <c r="M22" s="217"/>
      <c r="N22" s="217"/>
      <c r="O22" s="217"/>
      <c r="P22" s="217"/>
      <c r="Q22" s="217"/>
      <c r="R22" s="217"/>
      <c r="S22" s="217"/>
      <c r="T22" s="217"/>
      <c r="V22" s="274"/>
    </row>
    <row r="23" spans="1:22" ht="14.4" thickBot="1" x14ac:dyDescent="0.3">
      <c r="B23" s="283" t="s">
        <v>395</v>
      </c>
      <c r="C23" s="284" t="str">
        <f>C$9</f>
        <v>INDCOABIC</v>
      </c>
      <c r="D23" s="284" t="str">
        <f t="shared" ref="D23:T23" si="2">D$9</f>
        <v>INDCOASUB</v>
      </c>
      <c r="E23" s="284" t="str">
        <f t="shared" si="2"/>
        <v>INDCOABCO</v>
      </c>
      <c r="F23" s="284" t="str">
        <f t="shared" si="2"/>
        <v>INDCOACOC</v>
      </c>
      <c r="G23" s="284" t="str">
        <f t="shared" si="2"/>
        <v>INDCOABKB</v>
      </c>
      <c r="H23" s="284" t="str">
        <f t="shared" si="2"/>
        <v>INDOILLPG</v>
      </c>
      <c r="I23" s="284" t="str">
        <f t="shared" si="2"/>
        <v>INDOILGSL</v>
      </c>
      <c r="J23" s="284" t="str">
        <f t="shared" si="2"/>
        <v>INDOILDSL</v>
      </c>
      <c r="K23" s="284" t="str">
        <f t="shared" si="2"/>
        <v>INDOILHFO</v>
      </c>
      <c r="L23" s="284" t="str">
        <f t="shared" si="2"/>
        <v>INDOILPCK</v>
      </c>
      <c r="M23" s="284" t="str">
        <f t="shared" si="2"/>
        <v>INDOILOTH</v>
      </c>
      <c r="N23" s="284" t="str">
        <f t="shared" si="2"/>
        <v>INDGASNAT</v>
      </c>
      <c r="O23" s="284" t="str">
        <f t="shared" si="2"/>
        <v>INDGASBFG</v>
      </c>
      <c r="P23" s="284" t="str">
        <f t="shared" si="2"/>
        <v>INDBIOLOG</v>
      </c>
      <c r="Q23" s="284" t="str">
        <f t="shared" si="2"/>
        <v>INDBIOCHR</v>
      </c>
      <c r="R23" s="284" t="str">
        <f t="shared" si="2"/>
        <v>INDBIOBGS</v>
      </c>
      <c r="S23" s="284" t="str">
        <f t="shared" si="2"/>
        <v>INDHTH</v>
      </c>
      <c r="T23" s="284" t="str">
        <f t="shared" si="2"/>
        <v>INDELC</v>
      </c>
      <c r="V23" s="285"/>
    </row>
    <row r="24" spans="1:22" ht="15" customHeight="1" x14ac:dyDescent="0.25">
      <c r="A24" s="99" t="s">
        <v>682</v>
      </c>
      <c r="B24" s="99" t="s">
        <v>640</v>
      </c>
      <c r="C24" s="278">
        <f>C$8*C17</f>
        <v>0</v>
      </c>
      <c r="D24" s="278">
        <f t="shared" ref="D24:S27" si="3">D$8*D17</f>
        <v>0</v>
      </c>
      <c r="E24" s="278">
        <f t="shared" si="3"/>
        <v>0</v>
      </c>
      <c r="F24" s="278">
        <f t="shared" si="3"/>
        <v>0</v>
      </c>
      <c r="G24" s="278">
        <f t="shared" si="3"/>
        <v>0</v>
      </c>
      <c r="H24" s="278">
        <f t="shared" si="3"/>
        <v>0</v>
      </c>
      <c r="I24" s="278">
        <f t="shared" si="3"/>
        <v>0</v>
      </c>
      <c r="J24" s="278">
        <f t="shared" si="3"/>
        <v>0</v>
      </c>
      <c r="K24" s="278">
        <f t="shared" si="3"/>
        <v>0</v>
      </c>
      <c r="L24" s="278">
        <f t="shared" si="3"/>
        <v>0</v>
      </c>
      <c r="M24" s="278">
        <f t="shared" si="3"/>
        <v>0</v>
      </c>
      <c r="N24" s="278">
        <f t="shared" si="3"/>
        <v>3.516912</v>
      </c>
      <c r="O24" s="278">
        <f t="shared" si="3"/>
        <v>0</v>
      </c>
      <c r="P24" s="278">
        <f t="shared" si="3"/>
        <v>0</v>
      </c>
      <c r="Q24" s="278">
        <f t="shared" si="3"/>
        <v>0</v>
      </c>
      <c r="R24" s="278">
        <f t="shared" si="3"/>
        <v>0</v>
      </c>
      <c r="S24" s="278">
        <f t="shared" si="3"/>
        <v>0</v>
      </c>
      <c r="T24" s="278">
        <f>T$8*T17</f>
        <v>0</v>
      </c>
      <c r="U24" s="289">
        <f>SUM(C24:T24)</f>
        <v>3.516912</v>
      </c>
      <c r="V24" s="99" t="s">
        <v>682</v>
      </c>
    </row>
    <row r="25" spans="1:22" ht="15" customHeight="1" x14ac:dyDescent="0.25">
      <c r="A25" s="99" t="s">
        <v>451</v>
      </c>
      <c r="B25" s="99" t="s">
        <v>642</v>
      </c>
      <c r="C25" s="278">
        <f>C$8*C18</f>
        <v>0</v>
      </c>
      <c r="D25" s="278">
        <f t="shared" si="3"/>
        <v>0</v>
      </c>
      <c r="E25" s="278">
        <f t="shared" si="3"/>
        <v>0</v>
      </c>
      <c r="F25" s="278">
        <f t="shared" si="3"/>
        <v>0</v>
      </c>
      <c r="G25" s="278">
        <f t="shared" si="3"/>
        <v>0</v>
      </c>
      <c r="H25" s="278">
        <f t="shared" si="3"/>
        <v>0</v>
      </c>
      <c r="I25" s="278">
        <f t="shared" si="3"/>
        <v>0</v>
      </c>
      <c r="J25" s="278">
        <f t="shared" si="3"/>
        <v>0</v>
      </c>
      <c r="K25" s="278">
        <f t="shared" si="3"/>
        <v>0</v>
      </c>
      <c r="L25" s="278">
        <f t="shared" si="3"/>
        <v>0</v>
      </c>
      <c r="M25" s="278">
        <f t="shared" si="3"/>
        <v>0</v>
      </c>
      <c r="N25" s="278">
        <f t="shared" si="3"/>
        <v>2.3446080000000005</v>
      </c>
      <c r="O25" s="278">
        <f t="shared" si="3"/>
        <v>0</v>
      </c>
      <c r="P25" s="278">
        <f t="shared" si="3"/>
        <v>0</v>
      </c>
      <c r="Q25" s="278">
        <f t="shared" si="3"/>
        <v>0</v>
      </c>
      <c r="R25" s="278">
        <f t="shared" si="3"/>
        <v>0</v>
      </c>
      <c r="S25" s="278">
        <f t="shared" si="3"/>
        <v>0</v>
      </c>
      <c r="T25" s="278">
        <f>T$8*T18</f>
        <v>0.20934000000000005</v>
      </c>
      <c r="U25" s="289">
        <f t="shared" ref="U25:U27" si="4">SUM(C25:T25)</f>
        <v>2.5539480000000006</v>
      </c>
      <c r="V25" s="99" t="s">
        <v>451</v>
      </c>
    </row>
    <row r="26" spans="1:22" ht="15" customHeight="1" x14ac:dyDescent="0.25">
      <c r="A26" s="99" t="s">
        <v>453</v>
      </c>
      <c r="B26" s="99" t="s">
        <v>396</v>
      </c>
      <c r="C26" s="278">
        <f>C$8*C19</f>
        <v>0</v>
      </c>
      <c r="D26" s="278">
        <f t="shared" si="3"/>
        <v>0</v>
      </c>
      <c r="E26" s="278">
        <f t="shared" si="3"/>
        <v>0</v>
      </c>
      <c r="F26" s="278">
        <f t="shared" si="3"/>
        <v>0</v>
      </c>
      <c r="G26" s="278">
        <f t="shared" si="3"/>
        <v>0</v>
      </c>
      <c r="H26" s="278">
        <f t="shared" si="3"/>
        <v>0</v>
      </c>
      <c r="I26" s="278">
        <f t="shared" si="3"/>
        <v>0</v>
      </c>
      <c r="J26" s="278">
        <f t="shared" si="3"/>
        <v>0</v>
      </c>
      <c r="K26" s="278">
        <f t="shared" si="3"/>
        <v>0</v>
      </c>
      <c r="L26" s="278">
        <f t="shared" si="3"/>
        <v>0</v>
      </c>
      <c r="M26" s="278">
        <f t="shared" si="3"/>
        <v>0</v>
      </c>
      <c r="N26" s="278">
        <f t="shared" si="3"/>
        <v>0</v>
      </c>
      <c r="O26" s="278">
        <f t="shared" si="3"/>
        <v>0</v>
      </c>
      <c r="P26" s="278">
        <f t="shared" si="3"/>
        <v>0</v>
      </c>
      <c r="Q26" s="278">
        <f t="shared" si="3"/>
        <v>0</v>
      </c>
      <c r="R26" s="278">
        <f t="shared" si="3"/>
        <v>0</v>
      </c>
      <c r="S26" s="278">
        <f t="shared" si="3"/>
        <v>0</v>
      </c>
      <c r="T26" s="278">
        <f>T$8*T19</f>
        <v>1.6747200000000004</v>
      </c>
      <c r="U26" s="289">
        <f t="shared" si="4"/>
        <v>1.6747200000000004</v>
      </c>
      <c r="V26" s="99" t="s">
        <v>453</v>
      </c>
    </row>
    <row r="27" spans="1:22" ht="15" customHeight="1" x14ac:dyDescent="0.25">
      <c r="A27" s="99" t="s">
        <v>455</v>
      </c>
      <c r="B27" s="149" t="s">
        <v>400</v>
      </c>
      <c r="C27" s="286">
        <f>C$8*C20</f>
        <v>0</v>
      </c>
      <c r="D27" s="286">
        <f t="shared" si="3"/>
        <v>0</v>
      </c>
      <c r="E27" s="286">
        <f t="shared" si="3"/>
        <v>0</v>
      </c>
      <c r="F27" s="286">
        <f t="shared" si="3"/>
        <v>0</v>
      </c>
      <c r="G27" s="286">
        <f t="shared" si="3"/>
        <v>0</v>
      </c>
      <c r="H27" s="286">
        <f t="shared" si="3"/>
        <v>0</v>
      </c>
      <c r="I27" s="286">
        <f t="shared" si="3"/>
        <v>0</v>
      </c>
      <c r="J27" s="286">
        <f t="shared" si="3"/>
        <v>0</v>
      </c>
      <c r="K27" s="286">
        <f t="shared" si="3"/>
        <v>0</v>
      </c>
      <c r="L27" s="286">
        <f t="shared" si="3"/>
        <v>0</v>
      </c>
      <c r="M27" s="286">
        <f t="shared" si="3"/>
        <v>0</v>
      </c>
      <c r="N27" s="286">
        <f t="shared" si="3"/>
        <v>0</v>
      </c>
      <c r="O27" s="286">
        <f t="shared" si="3"/>
        <v>0</v>
      </c>
      <c r="P27" s="286">
        <f t="shared" si="3"/>
        <v>0</v>
      </c>
      <c r="Q27" s="286">
        <f t="shared" si="3"/>
        <v>0</v>
      </c>
      <c r="R27" s="286">
        <f t="shared" si="3"/>
        <v>0</v>
      </c>
      <c r="S27" s="286">
        <f t="shared" si="3"/>
        <v>0</v>
      </c>
      <c r="T27" s="286">
        <f>T$8*T20</f>
        <v>0.20934000000000005</v>
      </c>
      <c r="U27" s="289">
        <f t="shared" si="4"/>
        <v>0.20934000000000005</v>
      </c>
      <c r="V27" s="99" t="s">
        <v>455</v>
      </c>
    </row>
    <row r="28" spans="1:22" x14ac:dyDescent="0.25">
      <c r="B28" s="290"/>
      <c r="C28" s="291"/>
      <c r="D28" s="291"/>
      <c r="E28" s="291"/>
      <c r="F28" s="291"/>
      <c r="G28" s="291"/>
      <c r="H28" s="291"/>
      <c r="I28" s="291"/>
      <c r="J28" s="291"/>
      <c r="K28" s="291"/>
      <c r="L28" s="291"/>
      <c r="M28" s="291"/>
      <c r="N28" s="291"/>
      <c r="O28" s="291"/>
      <c r="P28" s="291"/>
      <c r="Q28" s="291"/>
      <c r="R28" s="291"/>
      <c r="S28" s="291"/>
      <c r="T28" s="291"/>
      <c r="U28" s="291"/>
    </row>
    <row r="29" spans="1:22" x14ac:dyDescent="0.25">
      <c r="B29" s="290"/>
      <c r="C29" s="291"/>
      <c r="D29" s="291"/>
      <c r="E29" s="291"/>
      <c r="F29" s="291"/>
      <c r="G29" s="291"/>
      <c r="H29" s="291"/>
      <c r="I29" s="291"/>
      <c r="J29" s="291"/>
      <c r="K29" s="291"/>
      <c r="L29" s="291"/>
      <c r="M29" s="291"/>
      <c r="N29" s="291"/>
      <c r="O29" s="291"/>
      <c r="P29" s="291"/>
      <c r="Q29" s="291"/>
      <c r="R29" s="291"/>
      <c r="S29" s="291"/>
      <c r="T29" s="291"/>
      <c r="U29" s="291"/>
    </row>
    <row r="30" spans="1:22" x14ac:dyDescent="0.25">
      <c r="B30" s="287"/>
      <c r="C30" s="108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</row>
  </sheetData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2882-C9BE-4CDB-8CFD-ACFC7BE411B5}">
  <dimension ref="A1:Y206"/>
  <sheetViews>
    <sheetView zoomScale="60" zoomScaleNormal="60" workbookViewId="0">
      <selection sqref="A1:XFD1048576"/>
    </sheetView>
  </sheetViews>
  <sheetFormatPr defaultColWidth="9.109375" defaultRowHeight="13.8" x14ac:dyDescent="0.25"/>
  <cols>
    <col min="1" max="1" width="5.88671875" style="99" customWidth="1"/>
    <col min="2" max="2" width="48.109375" style="99" bestFit="1" customWidth="1"/>
    <col min="3" max="3" width="50.33203125" style="99" bestFit="1" customWidth="1"/>
    <col min="4" max="4" width="17.88671875" style="99" customWidth="1"/>
    <col min="5" max="5" width="19.109375" style="99" bestFit="1" customWidth="1"/>
    <col min="6" max="7" width="24.33203125" style="99" bestFit="1" customWidth="1"/>
    <col min="8" max="8" width="19.88671875" style="99" customWidth="1"/>
    <col min="9" max="9" width="23.5546875" style="99" customWidth="1"/>
    <col min="10" max="10" width="20" style="99" customWidth="1"/>
    <col min="11" max="11" width="16.6640625" style="99" customWidth="1"/>
    <col min="12" max="17" width="16.88671875" style="99" customWidth="1"/>
    <col min="18" max="18" width="19.44140625" style="99" bestFit="1" customWidth="1"/>
    <col min="19" max="19" width="27.6640625" style="99" customWidth="1"/>
    <col min="20" max="20" width="46.109375" style="99" bestFit="1" customWidth="1"/>
    <col min="21" max="21" width="42.6640625" style="99" customWidth="1"/>
    <col min="22" max="22" width="11.44140625" style="99" bestFit="1" customWidth="1"/>
    <col min="23" max="23" width="12.44140625" style="99" bestFit="1" customWidth="1"/>
    <col min="24" max="24" width="9.6640625" style="99" bestFit="1" customWidth="1"/>
    <col min="25" max="25" width="13" style="99" bestFit="1" customWidth="1"/>
    <col min="26" max="26" width="9.5546875" style="99" bestFit="1" customWidth="1"/>
    <col min="27" max="27" width="22" style="99" bestFit="1" customWidth="1"/>
    <col min="28" max="16384" width="9.109375" style="99"/>
  </cols>
  <sheetData>
    <row r="1" spans="1:25" ht="17.399999999999999" x14ac:dyDescent="0.3">
      <c r="A1" s="121"/>
      <c r="B1" s="121" t="s">
        <v>683</v>
      </c>
      <c r="C1" s="121"/>
      <c r="D1" s="121"/>
    </row>
    <row r="3" spans="1:25" x14ac:dyDescent="0.25">
      <c r="D3" s="108" t="s">
        <v>15</v>
      </c>
      <c r="E3" s="108"/>
    </row>
    <row r="4" spans="1:25" x14ac:dyDescent="0.25">
      <c r="B4" s="217" t="s">
        <v>278</v>
      </c>
      <c r="C4" s="217" t="s">
        <v>284</v>
      </c>
      <c r="D4" s="217" t="s">
        <v>0</v>
      </c>
      <c r="E4" s="217" t="s">
        <v>279</v>
      </c>
      <c r="F4" s="218" t="str">
        <f>BASE_YEAR</f>
        <v>2017</v>
      </c>
    </row>
    <row r="5" spans="1:25" ht="29.25" customHeight="1" thickBot="1" x14ac:dyDescent="0.3">
      <c r="B5" s="229" t="s">
        <v>152</v>
      </c>
      <c r="C5" s="229"/>
      <c r="D5" s="229" t="s">
        <v>280</v>
      </c>
      <c r="E5" s="229" t="s">
        <v>281</v>
      </c>
      <c r="F5" s="230" t="s">
        <v>282</v>
      </c>
      <c r="R5" s="99" t="s">
        <v>149</v>
      </c>
    </row>
    <row r="6" spans="1:25" ht="14.4" thickBot="1" x14ac:dyDescent="0.3">
      <c r="B6" s="229" t="s">
        <v>48</v>
      </c>
      <c r="C6" s="229"/>
      <c r="D6" s="229"/>
      <c r="E6" s="229"/>
      <c r="F6" s="230" t="s">
        <v>327</v>
      </c>
    </row>
    <row r="7" spans="1:25" x14ac:dyDescent="0.25">
      <c r="B7" s="231" t="s">
        <v>277</v>
      </c>
      <c r="C7" s="232" t="s">
        <v>228</v>
      </c>
      <c r="D7" s="232" t="s">
        <v>395</v>
      </c>
      <c r="E7" s="232" t="s">
        <v>327</v>
      </c>
      <c r="F7" s="233">
        <f>M22</f>
        <v>6.5542450909090917</v>
      </c>
      <c r="Q7" s="124"/>
      <c r="R7" s="111" t="s">
        <v>38</v>
      </c>
      <c r="S7" s="111" t="s">
        <v>283</v>
      </c>
      <c r="T7" s="111"/>
      <c r="U7" s="111"/>
      <c r="V7" s="111"/>
      <c r="W7" s="111"/>
      <c r="X7" s="111"/>
      <c r="Y7" s="111"/>
    </row>
    <row r="8" spans="1:25" x14ac:dyDescent="0.25">
      <c r="E8" s="119"/>
      <c r="Q8" s="124"/>
      <c r="R8" s="111"/>
      <c r="S8" s="111"/>
      <c r="T8" s="111"/>
      <c r="U8" s="111"/>
      <c r="V8" s="111"/>
      <c r="W8" s="111"/>
      <c r="X8" s="111"/>
      <c r="Y8" s="111"/>
    </row>
    <row r="9" spans="1:25" x14ac:dyDescent="0.25">
      <c r="B9" s="234"/>
      <c r="C9" s="234"/>
      <c r="R9" s="110" t="s">
        <v>18</v>
      </c>
      <c r="S9" s="111"/>
      <c r="T9" s="111"/>
      <c r="U9" s="111"/>
      <c r="V9" s="111"/>
      <c r="W9" s="111"/>
      <c r="X9" s="111"/>
      <c r="Y9" s="111"/>
    </row>
    <row r="10" spans="1:25" x14ac:dyDescent="0.25">
      <c r="Q10" s="235"/>
      <c r="R10" s="113" t="s">
        <v>13</v>
      </c>
      <c r="S10" s="113" t="s">
        <v>1</v>
      </c>
      <c r="T10" s="113" t="s">
        <v>2</v>
      </c>
      <c r="U10" s="113" t="s">
        <v>19</v>
      </c>
      <c r="V10" s="113" t="s">
        <v>20</v>
      </c>
      <c r="W10" s="113" t="s">
        <v>21</v>
      </c>
      <c r="X10" s="113" t="s">
        <v>22</v>
      </c>
      <c r="Y10" s="113" t="s">
        <v>23</v>
      </c>
    </row>
    <row r="11" spans="1:25" ht="27" customHeight="1" thickBot="1" x14ac:dyDescent="0.3">
      <c r="B11" s="108" t="s">
        <v>684</v>
      </c>
      <c r="Q11" s="236"/>
      <c r="R11" s="237" t="s">
        <v>43</v>
      </c>
      <c r="S11" s="237" t="s">
        <v>24</v>
      </c>
      <c r="T11" s="237" t="s">
        <v>25</v>
      </c>
      <c r="U11" s="237" t="s">
        <v>26</v>
      </c>
      <c r="V11" s="237" t="s">
        <v>27</v>
      </c>
      <c r="W11" s="237" t="s">
        <v>47</v>
      </c>
      <c r="X11" s="237" t="s">
        <v>46</v>
      </c>
      <c r="Y11" s="237" t="s">
        <v>28</v>
      </c>
    </row>
    <row r="12" spans="1:25" x14ac:dyDescent="0.25">
      <c r="B12" s="108" t="s">
        <v>648</v>
      </c>
      <c r="C12" s="108"/>
      <c r="D12" s="108"/>
      <c r="E12" s="108"/>
      <c r="F12" s="108"/>
      <c r="G12" s="108"/>
      <c r="H12" s="119"/>
      <c r="I12" s="124"/>
      <c r="J12" s="124"/>
      <c r="K12" s="124"/>
      <c r="L12" s="124"/>
      <c r="M12" s="124"/>
      <c r="N12" s="124"/>
      <c r="O12" s="124"/>
      <c r="P12" s="124"/>
      <c r="Q12" s="236"/>
      <c r="R12" s="99" t="s">
        <v>289</v>
      </c>
      <c r="S12" s="99" t="str">
        <f t="shared" ref="S12:S21" si="0">"INDFBTSTM"&amp;RIGHT(D30,6)&amp;"_00"</f>
        <v>INDFBTSTMCOASUB_00</v>
      </c>
      <c r="T12" s="99" t="str">
        <f>"Steam Boiler FBT Sub-bituminous"&amp;"_"&amp;$S$7&amp;"00"</f>
        <v>Steam Boiler FBT Sub-bituminous_E00</v>
      </c>
      <c r="U12" s="99" t="s">
        <v>327</v>
      </c>
      <c r="V12" s="99" t="s">
        <v>328</v>
      </c>
    </row>
    <row r="13" spans="1:25" x14ac:dyDescent="0.25">
      <c r="B13" s="238"/>
      <c r="D13" s="108"/>
      <c r="E13" s="108"/>
      <c r="F13" s="108"/>
      <c r="G13" s="119"/>
      <c r="H13" s="119"/>
      <c r="I13" s="124"/>
      <c r="J13" s="124"/>
      <c r="K13" s="124"/>
      <c r="L13" s="124"/>
      <c r="M13" s="124"/>
      <c r="N13" s="124"/>
      <c r="O13" s="124"/>
      <c r="P13" s="124"/>
      <c r="Q13" s="239"/>
      <c r="S13" s="99" t="str">
        <f t="shared" si="0"/>
        <v>INDFBTSTMCOABIC_00</v>
      </c>
      <c r="T13" s="99" t="str">
        <f>"Steam Boiler FBT Bituminous"&amp;"_"&amp;$S$7&amp;"00"</f>
        <v>Steam Boiler FBT Bituminous_E00</v>
      </c>
      <c r="U13" s="99" t="s">
        <v>327</v>
      </c>
      <c r="V13" s="99" t="s">
        <v>328</v>
      </c>
    </row>
    <row r="14" spans="1:25" x14ac:dyDescent="0.25">
      <c r="A14" s="108"/>
      <c r="C14" s="108"/>
      <c r="D14" s="108"/>
      <c r="E14" s="240" t="s">
        <v>15</v>
      </c>
      <c r="F14" s="216"/>
      <c r="G14" s="216"/>
      <c r="H14" s="216"/>
      <c r="I14" s="216"/>
      <c r="Q14" s="239"/>
      <c r="S14" s="99" t="str">
        <f t="shared" si="0"/>
        <v>INDFBTSTMCOABCO_00</v>
      </c>
      <c r="T14" s="99" t="str">
        <f>"Steam Boiler FBT Lignite"&amp;"_"&amp;$S$7&amp;"00"</f>
        <v>Steam Boiler FBT Lignite_E00</v>
      </c>
      <c r="U14" s="99" t="s">
        <v>327</v>
      </c>
      <c r="V14" s="99" t="s">
        <v>328</v>
      </c>
    </row>
    <row r="15" spans="1:25" x14ac:dyDescent="0.25">
      <c r="B15" s="217" t="s">
        <v>1</v>
      </c>
      <c r="C15" s="217" t="s">
        <v>41</v>
      </c>
      <c r="D15" s="217" t="s">
        <v>7</v>
      </c>
      <c r="E15" s="241" t="s">
        <v>8</v>
      </c>
      <c r="F15" s="241" t="s">
        <v>358</v>
      </c>
      <c r="G15" s="241" t="s">
        <v>359</v>
      </c>
      <c r="H15" s="241" t="s">
        <v>650</v>
      </c>
      <c r="J15" s="242"/>
      <c r="K15" s="235"/>
      <c r="L15" s="235"/>
      <c r="M15" s="241" t="s">
        <v>771</v>
      </c>
      <c r="N15" s="235"/>
      <c r="O15" s="235"/>
      <c r="P15" s="235"/>
      <c r="Q15" s="239"/>
      <c r="S15" s="99" t="str">
        <f t="shared" si="0"/>
        <v>INDFBTSTMOILDSL_00</v>
      </c>
      <c r="T15" s="99" t="str">
        <f>"Steam Boiler FBT Diesel"&amp;"_"&amp;$S$7&amp;"00"</f>
        <v>Steam Boiler FBT Diesel_E00</v>
      </c>
      <c r="U15" s="99" t="s">
        <v>327</v>
      </c>
      <c r="V15" s="99" t="s">
        <v>328</v>
      </c>
    </row>
    <row r="16" spans="1:25" ht="15.75" customHeight="1" thickBot="1" x14ac:dyDescent="0.3">
      <c r="B16" s="230" t="s">
        <v>651</v>
      </c>
      <c r="C16" s="230" t="s">
        <v>25</v>
      </c>
      <c r="D16" s="230" t="s">
        <v>35</v>
      </c>
      <c r="E16" s="243" t="s">
        <v>36</v>
      </c>
      <c r="F16" s="243"/>
      <c r="G16" s="243"/>
      <c r="H16" s="243"/>
      <c r="J16" s="236"/>
      <c r="K16" s="236"/>
      <c r="L16" s="236"/>
      <c r="M16" s="243" t="s">
        <v>652</v>
      </c>
      <c r="N16" s="236"/>
      <c r="O16" s="236"/>
      <c r="P16" s="236"/>
      <c r="Q16" s="239"/>
      <c r="S16" s="99" t="str">
        <f t="shared" si="0"/>
        <v>INDFBTSTMOILHFO_00</v>
      </c>
      <c r="T16" s="99" t="str">
        <f>"Steam Boiler FBT HFO"&amp;"_"&amp;$S$7&amp;"00"</f>
        <v>Steam Boiler FBT HFO_E00</v>
      </c>
      <c r="U16" s="99" t="s">
        <v>327</v>
      </c>
      <c r="V16" s="99" t="s">
        <v>328</v>
      </c>
    </row>
    <row r="17" spans="2:25" x14ac:dyDescent="0.25">
      <c r="B17" s="244" t="str">
        <f>S37</f>
        <v>INDDEMFBTE_00</v>
      </c>
      <c r="C17" s="244" t="str">
        <f>T37</f>
        <v>Food Beverage&amp;Tobacco Industry Demand Technology</v>
      </c>
      <c r="D17" s="216" t="s">
        <v>682</v>
      </c>
      <c r="E17" s="245"/>
      <c r="F17" s="246">
        <f>IF($M$22=0,0,M17/$M$22)</f>
        <v>0.42926829268292677</v>
      </c>
      <c r="G17" s="247"/>
      <c r="H17" s="327">
        <f>F17</f>
        <v>0.42926829268292677</v>
      </c>
      <c r="J17" s="236"/>
      <c r="K17" s="236"/>
      <c r="L17" s="236"/>
      <c r="M17" s="249">
        <f>N40</f>
        <v>2.8135295999999999</v>
      </c>
      <c r="N17" s="236"/>
      <c r="O17" s="236"/>
      <c r="P17" s="236"/>
      <c r="Q17" s="239"/>
      <c r="S17" s="99" t="str">
        <f t="shared" si="0"/>
        <v>INDFBTSTMOILPCK_00</v>
      </c>
      <c r="T17" s="99" t="str">
        <f>"Steam Boiler FBT PetCoke"&amp;"_"&amp;$S$7&amp;"00"</f>
        <v>Steam Boiler FBT PetCoke_E00</v>
      </c>
      <c r="U17" s="99" t="s">
        <v>327</v>
      </c>
      <c r="V17" s="99" t="s">
        <v>328</v>
      </c>
    </row>
    <row r="18" spans="2:25" x14ac:dyDescent="0.25">
      <c r="B18" s="216"/>
      <c r="C18" s="250"/>
      <c r="D18" s="216" t="s">
        <v>451</v>
      </c>
      <c r="E18" s="245"/>
      <c r="F18" s="246">
        <f>IF($M$22=0,0,M18/$M$22)</f>
        <v>0.31521486643437863</v>
      </c>
      <c r="G18" s="247"/>
      <c r="H18" s="327">
        <f t="shared" ref="H18:H20" si="1">F18</f>
        <v>0.31521486643437863</v>
      </c>
      <c r="J18" s="251"/>
      <c r="K18" s="239"/>
      <c r="L18" s="239"/>
      <c r="M18" s="249">
        <f>N60</f>
        <v>2.0659954909090912</v>
      </c>
      <c r="N18" s="239"/>
      <c r="O18" s="239"/>
      <c r="P18" s="239"/>
      <c r="Q18" s="239"/>
      <c r="S18" s="99" t="str">
        <f t="shared" si="0"/>
        <v>INDFBTSTMOILOTH_00</v>
      </c>
      <c r="T18" s="99" t="str">
        <f>"Steam Boiler FBT Other Oil Products"&amp;"_"&amp;$S$7&amp;"00"</f>
        <v>Steam Boiler FBT Other Oil Products_E00</v>
      </c>
      <c r="U18" s="99" t="s">
        <v>327</v>
      </c>
      <c r="V18" s="99" t="s">
        <v>328</v>
      </c>
    </row>
    <row r="19" spans="2:25" x14ac:dyDescent="0.25">
      <c r="B19" s="216"/>
      <c r="C19" s="250"/>
      <c r="D19" s="216" t="s">
        <v>453</v>
      </c>
      <c r="E19" s="245"/>
      <c r="F19" s="246">
        <f>IF($M$22=0,0,M19/$M$22)</f>
        <v>0.22996515679442511</v>
      </c>
      <c r="G19" s="247"/>
      <c r="H19" s="327">
        <f t="shared" si="1"/>
        <v>0.22996515679442511</v>
      </c>
      <c r="J19" s="118"/>
      <c r="K19" s="239"/>
      <c r="L19" s="239"/>
      <c r="M19" s="249">
        <f>N73</f>
        <v>1.5072480000000004</v>
      </c>
      <c r="N19" s="239"/>
      <c r="O19" s="239"/>
      <c r="P19" s="239"/>
      <c r="Q19" s="239"/>
      <c r="S19" s="99" t="str">
        <f t="shared" si="0"/>
        <v>INDFBTSTMGASNAT_00</v>
      </c>
      <c r="T19" s="99" t="str">
        <f>"Steam Boiler FBT N. Gas"&amp;"_"&amp;$S$7&amp;"00"</f>
        <v>Steam Boiler FBT N. Gas_E00</v>
      </c>
      <c r="U19" s="99" t="s">
        <v>327</v>
      </c>
      <c r="V19" s="99" t="s">
        <v>328</v>
      </c>
    </row>
    <row r="20" spans="2:25" x14ac:dyDescent="0.25">
      <c r="B20" s="216"/>
      <c r="C20" s="250"/>
      <c r="D20" s="216" t="s">
        <v>455</v>
      </c>
      <c r="E20" s="245"/>
      <c r="F20" s="246">
        <f>IF($M$22=0,0,M20/$M$22)</f>
        <v>2.5551684088269456E-2</v>
      </c>
      <c r="G20" s="247"/>
      <c r="H20" s="327">
        <f t="shared" si="1"/>
        <v>2.5551684088269456E-2</v>
      </c>
      <c r="J20" s="118"/>
      <c r="K20" s="239"/>
      <c r="L20" s="239"/>
      <c r="M20" s="249">
        <f>N83</f>
        <v>0.16747200000000004</v>
      </c>
      <c r="N20" s="239"/>
      <c r="O20" s="239"/>
      <c r="P20" s="239"/>
      <c r="Q20" s="239"/>
      <c r="S20" s="99" t="str">
        <f t="shared" si="0"/>
        <v>INDFBTSTMBIOLOG_00</v>
      </c>
      <c r="T20" s="99" t="str">
        <f>"Steam Boiler FBT Biomass"&amp;"_"&amp;$S$7&amp;"00"</f>
        <v>Steam Boiler FBT Biomass_E00</v>
      </c>
      <c r="U20" s="99" t="s">
        <v>327</v>
      </c>
      <c r="V20" s="99" t="s">
        <v>328</v>
      </c>
    </row>
    <row r="21" spans="2:25" x14ac:dyDescent="0.25">
      <c r="B21" s="216"/>
      <c r="C21" s="250"/>
      <c r="D21" s="250"/>
      <c r="E21" s="252" t="s">
        <v>395</v>
      </c>
      <c r="F21" s="248"/>
      <c r="G21" s="253">
        <v>1</v>
      </c>
      <c r="H21" s="248"/>
      <c r="J21" s="118"/>
      <c r="K21" s="239"/>
      <c r="L21" s="239"/>
      <c r="M21" s="246"/>
      <c r="N21" s="239"/>
      <c r="O21" s="239"/>
      <c r="P21" s="239"/>
      <c r="Q21" s="239"/>
      <c r="R21" s="149"/>
      <c r="S21" s="149" t="str">
        <f t="shared" si="0"/>
        <v>INDFBTSTMFBTHTH_00</v>
      </c>
      <c r="T21" s="149" t="str">
        <f>"Steam Boiler FBT Heat"&amp;"_"&amp;$S$7&amp;"00"</f>
        <v>Steam Boiler FBT Heat_E00</v>
      </c>
      <c r="U21" s="149" t="s">
        <v>327</v>
      </c>
      <c r="V21" s="149" t="s">
        <v>328</v>
      </c>
      <c r="W21" s="149"/>
      <c r="X21" s="149"/>
      <c r="Y21" s="149"/>
    </row>
    <row r="22" spans="2:25" ht="14.4" thickBot="1" x14ac:dyDescent="0.3">
      <c r="B22" s="254" t="s">
        <v>653</v>
      </c>
      <c r="C22" s="255"/>
      <c r="D22" s="255"/>
      <c r="E22" s="255"/>
      <c r="F22" s="256"/>
      <c r="G22" s="255"/>
      <c r="H22" s="255"/>
      <c r="J22" s="118"/>
      <c r="K22" s="239"/>
      <c r="L22" s="239"/>
      <c r="M22" s="257">
        <f>SUM(M17:M20)</f>
        <v>6.5542450909090917</v>
      </c>
      <c r="N22" s="239"/>
      <c r="O22" s="239"/>
      <c r="P22" s="239"/>
      <c r="Q22" s="118"/>
      <c r="S22" s="99" t="str">
        <f t="shared" ref="S22:S32" si="2">"INDFBTHPR"&amp;RIGHT(D49,6)&amp;"_00"</f>
        <v>INDFBTHPRCOASUB_00</v>
      </c>
      <c r="T22" s="99" t="str">
        <f>"Process Heat FBT Sub-bituminous"&amp;"_"&amp;$S$7&amp;"00"</f>
        <v>Process Heat FBT Sub-bituminous_E00</v>
      </c>
      <c r="U22" s="99" t="s">
        <v>327</v>
      </c>
      <c r="V22" s="99" t="s">
        <v>649</v>
      </c>
    </row>
    <row r="23" spans="2:25" x14ac:dyDescent="0.25">
      <c r="C23" s="216"/>
      <c r="F23" s="234"/>
      <c r="G23" s="219"/>
      <c r="H23" s="118"/>
      <c r="I23" s="118"/>
      <c r="J23" s="118"/>
      <c r="K23" s="239"/>
      <c r="L23" s="239"/>
      <c r="M23" s="239"/>
      <c r="N23" s="239"/>
      <c r="O23" s="239"/>
      <c r="P23" s="239"/>
      <c r="Q23" s="118"/>
      <c r="S23" s="99" t="str">
        <f t="shared" si="2"/>
        <v>INDFBTHPRCOABIC_00</v>
      </c>
      <c r="T23" s="99" t="str">
        <f>"Process Heat FBT Bituminous"&amp;"_"&amp;$S$7&amp;"00"</f>
        <v>Process Heat FBT Bituminous_E00</v>
      </c>
      <c r="U23" s="99" t="s">
        <v>327</v>
      </c>
      <c r="V23" s="99" t="s">
        <v>649</v>
      </c>
    </row>
    <row r="24" spans="2:25" x14ac:dyDescent="0.25">
      <c r="C24" s="216"/>
      <c r="F24" s="234"/>
      <c r="G24" s="219"/>
      <c r="H24" s="118"/>
      <c r="I24" s="118"/>
      <c r="J24" s="118"/>
      <c r="K24" s="239"/>
      <c r="L24" s="239"/>
      <c r="M24" s="239"/>
      <c r="N24" s="239"/>
      <c r="O24" s="239"/>
      <c r="P24" s="239"/>
      <c r="Q24" s="118"/>
      <c r="S24" s="99" t="str">
        <f t="shared" si="2"/>
        <v>INDFBTHPRCOABCO_00</v>
      </c>
      <c r="T24" s="99" t="str">
        <f>"Process Heat FBT Lignite"&amp;"_"&amp;$S$7&amp;"00"</f>
        <v>Process Heat FBT Lignite_E00</v>
      </c>
      <c r="U24" s="99" t="s">
        <v>327</v>
      </c>
      <c r="V24" s="99" t="s">
        <v>649</v>
      </c>
    </row>
    <row r="25" spans="2:25" x14ac:dyDescent="0.25">
      <c r="B25" s="108" t="s">
        <v>654</v>
      </c>
      <c r="C25" s="216"/>
      <c r="F25" s="234"/>
      <c r="G25" s="219"/>
      <c r="H25" s="118"/>
      <c r="I25" s="118"/>
      <c r="J25" s="118"/>
      <c r="K25" s="239"/>
      <c r="L25" s="239"/>
      <c r="M25" s="239"/>
      <c r="N25" s="239"/>
      <c r="O25" s="239"/>
      <c r="P25" s="239"/>
      <c r="Q25" s="118"/>
      <c r="S25" s="99" t="str">
        <f t="shared" si="2"/>
        <v>INDFBTHPROILDSL_00</v>
      </c>
      <c r="T25" s="99" t="str">
        <f>"Process Heat FBT Diesel"&amp;"_"&amp;$S$7&amp;"00"</f>
        <v>Process Heat FBT Diesel_E00</v>
      </c>
      <c r="U25" s="99" t="s">
        <v>327</v>
      </c>
      <c r="V25" s="99" t="s">
        <v>649</v>
      </c>
    </row>
    <row r="26" spans="2:25" x14ac:dyDescent="0.25">
      <c r="C26" s="216"/>
      <c r="F26" s="234"/>
      <c r="G26" s="219"/>
      <c r="H26" s="118"/>
      <c r="I26" s="118"/>
      <c r="J26" s="118"/>
      <c r="K26" s="239"/>
      <c r="L26" s="239"/>
      <c r="M26" s="239"/>
      <c r="N26" s="239"/>
      <c r="O26" s="239"/>
      <c r="P26" s="239"/>
      <c r="Q26" s="118"/>
      <c r="S26" s="99" t="str">
        <f t="shared" si="2"/>
        <v>INDFBTHPROILHFO_00</v>
      </c>
      <c r="T26" s="99" t="str">
        <f>"Process Heat FBT HFO"&amp;"_"&amp;$S$7&amp;"00"</f>
        <v>Process Heat FBT HFO_E00</v>
      </c>
      <c r="U26" s="99" t="s">
        <v>327</v>
      </c>
      <c r="V26" s="99" t="s">
        <v>649</v>
      </c>
    </row>
    <row r="27" spans="2:25" x14ac:dyDescent="0.25">
      <c r="B27" s="216"/>
      <c r="C27" s="216"/>
      <c r="D27" s="216"/>
      <c r="E27" s="258" t="s">
        <v>15</v>
      </c>
      <c r="F27" s="242" t="s">
        <v>464</v>
      </c>
      <c r="G27" s="242" t="s">
        <v>464</v>
      </c>
      <c r="H27" s="242" t="s">
        <v>464</v>
      </c>
      <c r="I27" s="242" t="s">
        <v>464</v>
      </c>
      <c r="J27" s="216"/>
      <c r="K27" s="216"/>
      <c r="L27" s="216"/>
      <c r="M27" s="216"/>
      <c r="N27" s="216"/>
      <c r="O27" s="216"/>
      <c r="P27" s="216"/>
      <c r="Q27" s="118"/>
      <c r="S27" s="99" t="str">
        <f t="shared" si="2"/>
        <v>INDFBTHPROILPCK_00</v>
      </c>
      <c r="T27" s="99" t="str">
        <f>"Process Heat FBT PetCoke"&amp;"_"&amp;$S$7&amp;"00"</f>
        <v>Process Heat FBT PetCoke_E00</v>
      </c>
      <c r="U27" s="99" t="s">
        <v>327</v>
      </c>
      <c r="V27" s="99" t="s">
        <v>649</v>
      </c>
    </row>
    <row r="28" spans="2:25" x14ac:dyDescent="0.25">
      <c r="B28" s="217" t="s">
        <v>1</v>
      </c>
      <c r="C28" s="217" t="s">
        <v>41</v>
      </c>
      <c r="D28" s="217" t="s">
        <v>7</v>
      </c>
      <c r="E28" s="241" t="s">
        <v>8</v>
      </c>
      <c r="F28" s="259" t="s">
        <v>358</v>
      </c>
      <c r="G28" s="259" t="s">
        <v>359</v>
      </c>
      <c r="H28" s="241" t="s">
        <v>657</v>
      </c>
      <c r="I28" s="241" t="s">
        <v>658</v>
      </c>
      <c r="J28" s="241" t="s">
        <v>659</v>
      </c>
      <c r="K28" s="241" t="s">
        <v>660</v>
      </c>
      <c r="L28" s="118"/>
      <c r="M28" s="241" t="s">
        <v>771</v>
      </c>
      <c r="N28" s="241" t="s">
        <v>771</v>
      </c>
      <c r="O28" s="118"/>
      <c r="P28" s="118"/>
      <c r="Q28" s="118"/>
      <c r="S28" s="99" t="str">
        <f t="shared" si="2"/>
        <v>INDFBTHPROILOTH_00</v>
      </c>
      <c r="T28" s="99" t="str">
        <f>"Process Heat FBT Other Oil Products"&amp;"_"&amp;$S$7&amp;"00"</f>
        <v>Process Heat FBT Other Oil Products_E00</v>
      </c>
      <c r="U28" s="99" t="s">
        <v>327</v>
      </c>
      <c r="V28" s="99" t="s">
        <v>649</v>
      </c>
    </row>
    <row r="29" spans="2:25" ht="18" customHeight="1" thickBot="1" x14ac:dyDescent="0.3">
      <c r="B29" s="230" t="s">
        <v>651</v>
      </c>
      <c r="C29" s="230" t="s">
        <v>25</v>
      </c>
      <c r="D29" s="230" t="s">
        <v>35</v>
      </c>
      <c r="E29" s="243" t="s">
        <v>36</v>
      </c>
      <c r="F29" s="243"/>
      <c r="G29" s="243"/>
      <c r="H29" s="243"/>
      <c r="I29" s="243"/>
      <c r="J29" s="243"/>
      <c r="K29" s="243"/>
      <c r="L29" s="118"/>
      <c r="M29" s="243" t="s">
        <v>661</v>
      </c>
      <c r="N29" s="243" t="s">
        <v>359</v>
      </c>
      <c r="O29" s="118"/>
      <c r="P29" s="118"/>
      <c r="Q29" s="118"/>
      <c r="S29" s="99" t="str">
        <f t="shared" si="2"/>
        <v>INDFBTHPRGASNAT_00</v>
      </c>
      <c r="T29" s="99" t="str">
        <f>"Process Heat FBT N. Gas"&amp;"_"&amp;$S$7&amp;"00"</f>
        <v>Process Heat FBT N. Gas_E00</v>
      </c>
      <c r="U29" s="99" t="s">
        <v>327</v>
      </c>
      <c r="V29" s="99" t="s">
        <v>649</v>
      </c>
    </row>
    <row r="30" spans="2:25" x14ac:dyDescent="0.25">
      <c r="B30" s="216" t="str">
        <f>S12</f>
        <v>INDFBTSTMCOASUB_00</v>
      </c>
      <c r="C30" s="216" t="str">
        <f>T12</f>
        <v>Steam Boiler FBT Sub-bituminous_E00</v>
      </c>
      <c r="D30" s="216" t="s">
        <v>616</v>
      </c>
      <c r="E30" s="260" t="s">
        <v>682</v>
      </c>
      <c r="F30" s="261">
        <f>1/0.7</f>
        <v>1.4285714285714286</v>
      </c>
      <c r="G30" s="253">
        <v>1</v>
      </c>
      <c r="H30" s="261">
        <f>N30/K30/J30</f>
        <v>0</v>
      </c>
      <c r="I30" s="262">
        <v>30</v>
      </c>
      <c r="J30" s="216">
        <v>31.536000000000001</v>
      </c>
      <c r="K30" s="216">
        <v>0.8</v>
      </c>
      <c r="L30" s="118"/>
      <c r="M30" s="261">
        <f>FBT_BAL!C24</f>
        <v>0</v>
      </c>
      <c r="N30" s="261">
        <f>M30/F30</f>
        <v>0</v>
      </c>
      <c r="O30" s="118"/>
      <c r="P30" s="118"/>
      <c r="Q30" s="118"/>
      <c r="S30" s="99" t="str">
        <f t="shared" si="2"/>
        <v>INDFBTHPRBIOLOG_00</v>
      </c>
      <c r="T30" s="99" t="str">
        <f>"Process Heat FBT Biomass"&amp;"_"&amp;$S$7&amp;"00"</f>
        <v>Process Heat FBT Biomass_E00</v>
      </c>
      <c r="U30" s="99" t="s">
        <v>327</v>
      </c>
      <c r="V30" s="99" t="s">
        <v>649</v>
      </c>
    </row>
    <row r="31" spans="2:25" x14ac:dyDescent="0.25">
      <c r="B31" s="216" t="str">
        <f t="shared" ref="B31:C39" si="3">S13</f>
        <v>INDFBTSTMCOABIC_00</v>
      </c>
      <c r="C31" s="216" t="str">
        <f t="shared" si="3"/>
        <v>Steam Boiler FBT Bituminous_E00</v>
      </c>
      <c r="D31" s="216" t="s">
        <v>100</v>
      </c>
      <c r="E31" s="260" t="str">
        <f>E30</f>
        <v>INDFBTSTM</v>
      </c>
      <c r="F31" s="261">
        <f t="shared" ref="F31:F32" si="4">1/0.7</f>
        <v>1.4285714285714286</v>
      </c>
      <c r="G31" s="253">
        <v>1</v>
      </c>
      <c r="H31" s="261">
        <f t="shared" ref="H31:H39" si="5">N31/K31/J31</f>
        <v>0</v>
      </c>
      <c r="I31" s="262">
        <v>30</v>
      </c>
      <c r="J31" s="216">
        <v>31.536000000000001</v>
      </c>
      <c r="K31" s="216">
        <v>0.8</v>
      </c>
      <c r="L31" s="118"/>
      <c r="M31" s="261">
        <f>FBT_BAL!D24</f>
        <v>0</v>
      </c>
      <c r="N31" s="261">
        <f t="shared" ref="N31:N37" si="6">M31/F31</f>
        <v>0</v>
      </c>
      <c r="O31" s="118"/>
      <c r="P31" s="118"/>
      <c r="Q31" s="118"/>
      <c r="S31" s="99" t="str">
        <f t="shared" si="2"/>
        <v>INDFBTHPRFBTHTH_00</v>
      </c>
      <c r="T31" s="99" t="str">
        <f>"Process Heat FBT Heat"&amp;"_"&amp;$S$7&amp;"00"</f>
        <v>Process Heat FBT Heat_E00</v>
      </c>
      <c r="U31" s="99" t="s">
        <v>327</v>
      </c>
      <c r="V31" s="99" t="s">
        <v>649</v>
      </c>
    </row>
    <row r="32" spans="2:25" x14ac:dyDescent="0.25">
      <c r="B32" s="216" t="str">
        <f t="shared" si="3"/>
        <v>INDFBTSTMCOABCO_00</v>
      </c>
      <c r="C32" s="216" t="str">
        <f t="shared" si="3"/>
        <v>Steam Boiler FBT Lignite_E00</v>
      </c>
      <c r="D32" s="216" t="s">
        <v>612</v>
      </c>
      <c r="E32" s="260" t="str">
        <f t="shared" ref="E32:E39" si="7">E31</f>
        <v>INDFBTSTM</v>
      </c>
      <c r="F32" s="261">
        <f t="shared" si="4"/>
        <v>1.4285714285714286</v>
      </c>
      <c r="G32" s="253">
        <v>1</v>
      </c>
      <c r="H32" s="261">
        <f t="shared" si="5"/>
        <v>0</v>
      </c>
      <c r="I32" s="262">
        <v>30</v>
      </c>
      <c r="J32" s="216">
        <v>31.536000000000001</v>
      </c>
      <c r="K32" s="216">
        <v>0.8</v>
      </c>
      <c r="L32" s="118"/>
      <c r="M32" s="261">
        <f>FBT_BAL!E24</f>
        <v>0</v>
      </c>
      <c r="N32" s="261">
        <f t="shared" si="6"/>
        <v>0</v>
      </c>
      <c r="O32" s="118"/>
      <c r="P32" s="118"/>
      <c r="Q32" s="118"/>
      <c r="R32" s="149"/>
      <c r="S32" s="149" t="str">
        <f t="shared" si="2"/>
        <v>INDFBTHPRINDELC_00</v>
      </c>
      <c r="T32" s="149" t="str">
        <f>"Process Heat FBT Electricity"&amp;"_"&amp;$S$7&amp;"00"</f>
        <v>Process Heat FBT Electricity_E00</v>
      </c>
      <c r="U32" s="149" t="s">
        <v>327</v>
      </c>
      <c r="V32" s="149" t="s">
        <v>649</v>
      </c>
      <c r="W32" s="149"/>
      <c r="X32" s="149"/>
      <c r="Y32" s="149"/>
    </row>
    <row r="33" spans="2:25" x14ac:dyDescent="0.25">
      <c r="B33" s="216" t="str">
        <f t="shared" si="3"/>
        <v>INDFBTSTMOILDSL_00</v>
      </c>
      <c r="C33" s="216" t="str">
        <f t="shared" si="3"/>
        <v>Steam Boiler FBT Diesel_E00</v>
      </c>
      <c r="D33" s="216" t="s">
        <v>104</v>
      </c>
      <c r="E33" s="260" t="str">
        <f t="shared" si="7"/>
        <v>INDFBTSTM</v>
      </c>
      <c r="F33" s="261">
        <f>1/0.78</f>
        <v>1.2820512820512819</v>
      </c>
      <c r="G33" s="253">
        <v>1</v>
      </c>
      <c r="H33" s="261">
        <f t="shared" si="5"/>
        <v>0</v>
      </c>
      <c r="I33" s="262">
        <v>30</v>
      </c>
      <c r="J33" s="216">
        <v>31.536000000000001</v>
      </c>
      <c r="K33" s="216">
        <v>0.8</v>
      </c>
      <c r="L33" s="118"/>
      <c r="M33" s="261">
        <f>FBT_BAL!J24</f>
        <v>0</v>
      </c>
      <c r="N33" s="261">
        <f t="shared" si="6"/>
        <v>0</v>
      </c>
      <c r="O33" s="118"/>
      <c r="P33" s="118"/>
      <c r="Q33" s="118"/>
      <c r="S33" s="99" t="str">
        <f>"INDFBTMCD"&amp;RIGHT(D70,6)&amp;"_00"</f>
        <v>INDFBTMCDOILDSL_00</v>
      </c>
      <c r="T33" s="99" t="str">
        <f>"Machine Drive FBT Diesel"&amp;"_"&amp;$S$7&amp;"00"</f>
        <v>Machine Drive FBT Diesel_E00</v>
      </c>
      <c r="U33" s="99" t="s">
        <v>327</v>
      </c>
      <c r="V33" s="99" t="s">
        <v>649</v>
      </c>
    </row>
    <row r="34" spans="2:25" x14ac:dyDescent="0.25">
      <c r="B34" s="216" t="str">
        <f t="shared" si="3"/>
        <v>INDFBTSTMOILHFO_00</v>
      </c>
      <c r="C34" s="216" t="str">
        <f t="shared" si="3"/>
        <v>Steam Boiler FBT HFO_E00</v>
      </c>
      <c r="D34" s="216" t="s">
        <v>449</v>
      </c>
      <c r="E34" s="260" t="str">
        <f t="shared" si="7"/>
        <v>INDFBTSTM</v>
      </c>
      <c r="F34" s="261">
        <f>1/0.78</f>
        <v>1.2820512820512819</v>
      </c>
      <c r="G34" s="253">
        <v>1</v>
      </c>
      <c r="H34" s="261">
        <f t="shared" si="5"/>
        <v>0</v>
      </c>
      <c r="I34" s="262">
        <v>30</v>
      </c>
      <c r="J34" s="216">
        <v>31.536000000000001</v>
      </c>
      <c r="K34" s="216">
        <v>0.8</v>
      </c>
      <c r="L34" s="118"/>
      <c r="M34" s="261">
        <f>FBT_BAL!K24</f>
        <v>0</v>
      </c>
      <c r="N34" s="261">
        <f t="shared" si="6"/>
        <v>0</v>
      </c>
      <c r="O34" s="118"/>
      <c r="P34" s="118"/>
      <c r="Q34" s="118"/>
      <c r="S34" s="99" t="str">
        <f>"INDFBTMCD"&amp;RIGHT(D71,6)&amp;"_00"</f>
        <v>INDFBTMCDGASNAT_00</v>
      </c>
      <c r="T34" s="99" t="str">
        <f>"Machine Drive FBT N. Gas"&amp;"_"&amp;$S$7&amp;"00"</f>
        <v>Machine Drive FBT N. Gas_E00</v>
      </c>
      <c r="U34" s="99" t="s">
        <v>327</v>
      </c>
      <c r="V34" s="99" t="s">
        <v>649</v>
      </c>
    </row>
    <row r="35" spans="2:25" x14ac:dyDescent="0.25">
      <c r="B35" s="216" t="str">
        <f t="shared" si="3"/>
        <v>INDFBTSTMOILPCK_00</v>
      </c>
      <c r="C35" s="216" t="str">
        <f t="shared" si="3"/>
        <v>Steam Boiler FBT PetCoke_E00</v>
      </c>
      <c r="D35" s="216" t="s">
        <v>110</v>
      </c>
      <c r="E35" s="260" t="str">
        <f t="shared" si="7"/>
        <v>INDFBTSTM</v>
      </c>
      <c r="F35" s="261">
        <f>1/0.7</f>
        <v>1.4285714285714286</v>
      </c>
      <c r="G35" s="253">
        <v>1</v>
      </c>
      <c r="H35" s="261">
        <f t="shared" si="5"/>
        <v>0</v>
      </c>
      <c r="I35" s="262">
        <v>30</v>
      </c>
      <c r="J35" s="216">
        <v>31.536000000000001</v>
      </c>
      <c r="K35" s="216">
        <v>0.8</v>
      </c>
      <c r="L35" s="118"/>
      <c r="M35" s="261">
        <f>FBT_BAL!L24</f>
        <v>0</v>
      </c>
      <c r="N35" s="261">
        <f t="shared" si="6"/>
        <v>0</v>
      </c>
      <c r="O35" s="118"/>
      <c r="P35" s="118"/>
      <c r="Q35" s="118"/>
      <c r="S35" s="99" t="str">
        <f>"INDFBTMCD"&amp;RIGHT(D72,6)&amp;"_00"</f>
        <v>INDFBTMCDINDELC_00</v>
      </c>
      <c r="T35" s="99" t="str">
        <f>"Machine Drive FBT Electricity"&amp;"_"&amp;$S$7&amp;"00"</f>
        <v>Machine Drive FBT Electricity_E00</v>
      </c>
      <c r="U35" s="99" t="s">
        <v>327</v>
      </c>
      <c r="V35" s="99" t="s">
        <v>649</v>
      </c>
    </row>
    <row r="36" spans="2:25" x14ac:dyDescent="0.25">
      <c r="B36" s="216" t="str">
        <f t="shared" si="3"/>
        <v>INDFBTSTMOILOTH_00</v>
      </c>
      <c r="C36" s="216" t="str">
        <f t="shared" si="3"/>
        <v>Steam Boiler FBT Other Oil Products_E00</v>
      </c>
      <c r="D36" s="216" t="s">
        <v>111</v>
      </c>
      <c r="E36" s="260" t="str">
        <f t="shared" si="7"/>
        <v>INDFBTSTM</v>
      </c>
      <c r="F36" s="261">
        <f>1/0.7</f>
        <v>1.4285714285714286</v>
      </c>
      <c r="G36" s="253">
        <v>1</v>
      </c>
      <c r="H36" s="261">
        <f t="shared" si="5"/>
        <v>0</v>
      </c>
      <c r="I36" s="262">
        <v>30</v>
      </c>
      <c r="J36" s="216">
        <v>31.536000000000001</v>
      </c>
      <c r="K36" s="216">
        <v>0.8</v>
      </c>
      <c r="L36" s="118"/>
      <c r="M36" s="261">
        <f>FBT_BAL!M24</f>
        <v>0</v>
      </c>
      <c r="N36" s="261">
        <f t="shared" si="6"/>
        <v>0</v>
      </c>
      <c r="O36" s="118"/>
      <c r="P36" s="118"/>
      <c r="Q36" s="118"/>
      <c r="R36" s="149"/>
      <c r="S36" s="149" t="str">
        <f>"INDFBTOEN"&amp;RIGHT(D82,6)&amp;"_00"</f>
        <v>INDFBTOENINDELC_00</v>
      </c>
      <c r="T36" s="149" t="str">
        <f>"Other Energy FBT Electricity"&amp;"_"&amp;$S$7&amp;"00"</f>
        <v>Other Energy FBT Electricity_E00</v>
      </c>
      <c r="U36" s="149" t="s">
        <v>327</v>
      </c>
      <c r="V36" s="149" t="s">
        <v>649</v>
      </c>
      <c r="W36" s="149"/>
      <c r="X36" s="149"/>
      <c r="Y36" s="149"/>
    </row>
    <row r="37" spans="2:25" x14ac:dyDescent="0.25">
      <c r="B37" s="216" t="str">
        <f t="shared" si="3"/>
        <v>INDFBTSTMGASNAT_00</v>
      </c>
      <c r="C37" s="216" t="str">
        <f t="shared" si="3"/>
        <v>Steam Boiler FBT N. Gas_E00</v>
      </c>
      <c r="D37" s="216" t="s">
        <v>112</v>
      </c>
      <c r="E37" s="260" t="str">
        <f t="shared" si="7"/>
        <v>INDFBTSTM</v>
      </c>
      <c r="F37" s="261">
        <f>1/0.8</f>
        <v>1.25</v>
      </c>
      <c r="G37" s="253">
        <v>1</v>
      </c>
      <c r="H37" s="261">
        <f t="shared" si="5"/>
        <v>0.11152054794520547</v>
      </c>
      <c r="I37" s="262">
        <v>30</v>
      </c>
      <c r="J37" s="216">
        <v>31.536000000000001</v>
      </c>
      <c r="K37" s="216">
        <v>0.8</v>
      </c>
      <c r="L37" s="118"/>
      <c r="M37" s="261">
        <f>FBT_BAL!N24</f>
        <v>3.516912</v>
      </c>
      <c r="N37" s="261">
        <f t="shared" si="6"/>
        <v>2.8135295999999999</v>
      </c>
      <c r="O37" s="118"/>
      <c r="P37" s="118"/>
      <c r="Q37" s="118"/>
      <c r="R37" s="149" t="s">
        <v>275</v>
      </c>
      <c r="S37" s="149" t="s">
        <v>492</v>
      </c>
      <c r="T37" s="149" t="s">
        <v>685</v>
      </c>
      <c r="U37" s="149" t="s">
        <v>327</v>
      </c>
      <c r="V37" s="149" t="s">
        <v>649</v>
      </c>
      <c r="W37" s="149"/>
      <c r="X37" s="149"/>
      <c r="Y37" s="149"/>
    </row>
    <row r="38" spans="2:25" x14ac:dyDescent="0.25">
      <c r="B38" s="216" t="str">
        <f t="shared" si="3"/>
        <v>INDFBTSTMBIOLOG_00</v>
      </c>
      <c r="C38" s="216" t="str">
        <f t="shared" si="3"/>
        <v>Steam Boiler FBT Biomass_E00</v>
      </c>
      <c r="D38" s="216" t="s">
        <v>114</v>
      </c>
      <c r="E38" s="260" t="str">
        <f t="shared" si="7"/>
        <v>INDFBTSTM</v>
      </c>
      <c r="F38" s="261">
        <f>1/0.7</f>
        <v>1.4285714285714286</v>
      </c>
      <c r="G38" s="253">
        <v>1</v>
      </c>
      <c r="H38" s="261">
        <f t="shared" si="5"/>
        <v>0</v>
      </c>
      <c r="I38" s="262">
        <v>30</v>
      </c>
      <c r="J38" s="216">
        <v>31.536000000000001</v>
      </c>
      <c r="K38" s="216">
        <v>0.8</v>
      </c>
      <c r="L38" s="118"/>
      <c r="M38" s="261">
        <f>FBT_BAL!P24</f>
        <v>0</v>
      </c>
      <c r="N38" s="261">
        <f>M38/F38</f>
        <v>0</v>
      </c>
      <c r="O38" s="118"/>
      <c r="P38" s="118"/>
      <c r="Q38" s="118"/>
      <c r="R38" s="149"/>
      <c r="S38" s="149"/>
      <c r="T38" s="149"/>
      <c r="U38" s="149"/>
      <c r="V38" s="149"/>
      <c r="W38" s="149"/>
      <c r="X38" s="149"/>
      <c r="Y38" s="149"/>
    </row>
    <row r="39" spans="2:25" x14ac:dyDescent="0.25">
      <c r="B39" s="216" t="str">
        <f t="shared" si="3"/>
        <v>INDFBTSTMFBTHTH_00</v>
      </c>
      <c r="C39" s="216" t="str">
        <f t="shared" si="3"/>
        <v>Steam Boiler FBT Heat_E00</v>
      </c>
      <c r="D39" s="216" t="str">
        <f>Auto_CHP!F34</f>
        <v>INDFBTHTH</v>
      </c>
      <c r="E39" s="260" t="str">
        <f t="shared" si="7"/>
        <v>INDFBTSTM</v>
      </c>
      <c r="F39" s="261">
        <v>1.2</v>
      </c>
      <c r="G39" s="253">
        <v>1</v>
      </c>
      <c r="H39" s="261">
        <f t="shared" si="5"/>
        <v>0</v>
      </c>
      <c r="I39" s="262">
        <v>30</v>
      </c>
      <c r="J39" s="216">
        <v>31.536000000000001</v>
      </c>
      <c r="K39" s="216">
        <v>0.8</v>
      </c>
      <c r="L39" s="118"/>
      <c r="M39" s="261">
        <f>FBT_BAL!S24</f>
        <v>0</v>
      </c>
      <c r="N39" s="261">
        <f>M39/F39</f>
        <v>0</v>
      </c>
      <c r="O39" s="118"/>
      <c r="P39" s="118"/>
      <c r="Q39" s="118"/>
    </row>
    <row r="40" spans="2:25" ht="14.4" thickBot="1" x14ac:dyDescent="0.3">
      <c r="B40" s="254" t="s">
        <v>653</v>
      </c>
      <c r="C40" s="255"/>
      <c r="D40" s="255"/>
      <c r="E40" s="266"/>
      <c r="F40" s="267"/>
      <c r="G40" s="267"/>
      <c r="H40" s="268">
        <f>SUM(H30:H39)</f>
        <v>0.11152054794520547</v>
      </c>
      <c r="I40" s="255"/>
      <c r="J40" s="255"/>
      <c r="K40" s="255"/>
      <c r="L40" s="118"/>
      <c r="M40" s="268">
        <f>SUM(M30:M39)</f>
        <v>3.516912</v>
      </c>
      <c r="N40" s="268">
        <f>SUM(N30:N39)</f>
        <v>2.8135295999999999</v>
      </c>
      <c r="O40" s="118"/>
      <c r="P40" s="118"/>
      <c r="Q40" s="118"/>
    </row>
    <row r="41" spans="2:25" x14ac:dyDescent="0.25">
      <c r="F41" s="118"/>
      <c r="G41" s="118"/>
      <c r="H41" s="118"/>
      <c r="I41" s="219"/>
      <c r="J41" s="118"/>
      <c r="K41" s="118"/>
      <c r="L41" s="269"/>
      <c r="M41" s="269"/>
      <c r="N41" s="269"/>
      <c r="O41" s="269"/>
      <c r="P41" s="269"/>
      <c r="Q41" s="269"/>
    </row>
    <row r="42" spans="2:25" x14ac:dyDescent="0.25">
      <c r="F42" s="118"/>
      <c r="G42" s="118"/>
      <c r="H42" s="118"/>
      <c r="I42" s="219"/>
      <c r="J42" s="118"/>
      <c r="K42" s="118"/>
      <c r="L42" s="269"/>
      <c r="M42" s="269"/>
      <c r="N42" s="269"/>
      <c r="O42" s="269"/>
      <c r="P42" s="269"/>
      <c r="Q42" s="269"/>
    </row>
    <row r="43" spans="2:25" x14ac:dyDescent="0.25">
      <c r="F43" s="118"/>
      <c r="G43" s="118"/>
      <c r="H43" s="118"/>
      <c r="I43" s="219"/>
      <c r="J43" s="118"/>
      <c r="K43" s="118"/>
      <c r="L43" s="118"/>
      <c r="M43" s="118"/>
      <c r="N43" s="118"/>
      <c r="O43" s="118"/>
      <c r="P43" s="118"/>
      <c r="Q43" s="269"/>
    </row>
    <row r="44" spans="2:25" x14ac:dyDescent="0.25">
      <c r="B44" s="108" t="s">
        <v>662</v>
      </c>
      <c r="C44" s="216"/>
      <c r="F44" s="118"/>
      <c r="G44" s="118"/>
      <c r="H44" s="118"/>
      <c r="I44" s="219"/>
      <c r="J44" s="118"/>
      <c r="K44" s="118"/>
      <c r="L44" s="118"/>
      <c r="M44" s="118"/>
      <c r="N44" s="118"/>
      <c r="O44" s="118"/>
      <c r="P44" s="118"/>
      <c r="Q44" s="118"/>
    </row>
    <row r="45" spans="2:25" x14ac:dyDescent="0.25">
      <c r="C45" s="216"/>
      <c r="F45" s="118"/>
      <c r="G45" s="118"/>
      <c r="H45" s="118"/>
      <c r="I45" s="219"/>
      <c r="J45" s="118"/>
      <c r="K45" s="118"/>
      <c r="L45" s="118"/>
      <c r="M45" s="118"/>
      <c r="N45" s="118"/>
      <c r="O45" s="118"/>
      <c r="P45" s="118"/>
      <c r="Q45" s="118"/>
    </row>
    <row r="46" spans="2:25" x14ac:dyDescent="0.25">
      <c r="B46" s="216"/>
      <c r="C46" s="216"/>
      <c r="D46" s="216"/>
      <c r="E46" s="258" t="s">
        <v>15</v>
      </c>
      <c r="F46" s="242" t="s">
        <v>464</v>
      </c>
      <c r="G46" s="242" t="s">
        <v>464</v>
      </c>
      <c r="H46" s="216"/>
      <c r="I46" s="216"/>
      <c r="J46" s="216"/>
      <c r="K46" s="269"/>
      <c r="L46" s="269"/>
      <c r="M46" s="269"/>
      <c r="N46" s="269"/>
      <c r="O46" s="269"/>
      <c r="P46" s="269"/>
      <c r="Q46" s="118"/>
    </row>
    <row r="47" spans="2:25" x14ac:dyDescent="0.25">
      <c r="B47" s="217" t="s">
        <v>1</v>
      </c>
      <c r="C47" s="217" t="s">
        <v>41</v>
      </c>
      <c r="D47" s="217" t="s">
        <v>7</v>
      </c>
      <c r="E47" s="241" t="s">
        <v>8</v>
      </c>
      <c r="F47" s="241" t="s">
        <v>358</v>
      </c>
      <c r="G47" s="241" t="s">
        <v>359</v>
      </c>
      <c r="H47" s="259" t="s">
        <v>657</v>
      </c>
      <c r="I47" s="259" t="s">
        <v>658</v>
      </c>
      <c r="J47" s="259" t="s">
        <v>660</v>
      </c>
      <c r="L47" s="269"/>
      <c r="M47" s="241" t="s">
        <v>771</v>
      </c>
      <c r="N47" s="241" t="s">
        <v>771</v>
      </c>
      <c r="O47" s="269"/>
      <c r="P47" s="269"/>
      <c r="Q47" s="118"/>
    </row>
    <row r="48" spans="2:25" ht="14.4" thickBot="1" x14ac:dyDescent="0.3">
      <c r="B48" s="230" t="s">
        <v>651</v>
      </c>
      <c r="C48" s="230" t="s">
        <v>25</v>
      </c>
      <c r="D48" s="230" t="s">
        <v>35</v>
      </c>
      <c r="E48" s="243" t="s">
        <v>36</v>
      </c>
      <c r="F48" s="243"/>
      <c r="G48" s="243"/>
      <c r="H48" s="243"/>
      <c r="I48" s="243"/>
      <c r="J48" s="243"/>
      <c r="L48" s="269"/>
      <c r="M48" s="243" t="s">
        <v>661</v>
      </c>
      <c r="N48" s="243" t="s">
        <v>359</v>
      </c>
      <c r="O48" s="269"/>
      <c r="P48" s="269"/>
      <c r="Q48" s="118"/>
    </row>
    <row r="49" spans="2:17" x14ac:dyDescent="0.25">
      <c r="B49" s="216" t="str">
        <f>S22</f>
        <v>INDFBTHPRCOASUB_00</v>
      </c>
      <c r="C49" s="216" t="str">
        <f>T22</f>
        <v>Process Heat FBT Sub-bituminous_E00</v>
      </c>
      <c r="D49" s="216" t="s">
        <v>616</v>
      </c>
      <c r="E49" s="260" t="s">
        <v>451</v>
      </c>
      <c r="F49" s="261">
        <f>1/0.7</f>
        <v>1.4285714285714286</v>
      </c>
      <c r="G49" s="253">
        <v>1</v>
      </c>
      <c r="H49" s="246">
        <f>N49/J49</f>
        <v>0</v>
      </c>
      <c r="I49" s="262">
        <v>30</v>
      </c>
      <c r="J49" s="262">
        <v>0.8</v>
      </c>
      <c r="L49" s="118"/>
      <c r="M49" s="247">
        <f>FBT_BAL!C25</f>
        <v>0</v>
      </c>
      <c r="N49" s="247">
        <f>M49/F49</f>
        <v>0</v>
      </c>
      <c r="O49" s="118"/>
      <c r="P49" s="118"/>
      <c r="Q49" s="118"/>
    </row>
    <row r="50" spans="2:17" x14ac:dyDescent="0.25">
      <c r="B50" s="216" t="str">
        <f t="shared" ref="B50:C59" si="8">S23</f>
        <v>INDFBTHPRCOABIC_00</v>
      </c>
      <c r="C50" s="216" t="str">
        <f t="shared" si="8"/>
        <v>Process Heat FBT Bituminous_E00</v>
      </c>
      <c r="D50" s="216" t="s">
        <v>100</v>
      </c>
      <c r="E50" s="260" t="str">
        <f>E49</f>
        <v>INDFBTHPR</v>
      </c>
      <c r="F50" s="261">
        <f>1/0.7</f>
        <v>1.4285714285714286</v>
      </c>
      <c r="G50" s="253">
        <v>1</v>
      </c>
      <c r="H50" s="246">
        <f t="shared" ref="H50:H58" si="9">N50/J50</f>
        <v>0</v>
      </c>
      <c r="I50" s="262">
        <v>30</v>
      </c>
      <c r="J50" s="262">
        <v>0.8</v>
      </c>
      <c r="L50" s="118"/>
      <c r="M50" s="247">
        <f>FBT_BAL!D25</f>
        <v>0</v>
      </c>
      <c r="N50" s="247">
        <f t="shared" ref="N50:N59" si="10">M50/F50</f>
        <v>0</v>
      </c>
      <c r="O50" s="118"/>
      <c r="P50" s="118"/>
      <c r="Q50" s="118"/>
    </row>
    <row r="51" spans="2:17" x14ac:dyDescent="0.25">
      <c r="B51" s="216" t="str">
        <f t="shared" si="8"/>
        <v>INDFBTHPRCOABCO_00</v>
      </c>
      <c r="C51" s="216" t="str">
        <f t="shared" si="8"/>
        <v>Process Heat FBT Lignite_E00</v>
      </c>
      <c r="D51" s="216" t="s">
        <v>612</v>
      </c>
      <c r="E51" s="260" t="str">
        <f t="shared" ref="E51:E59" si="11">E50</f>
        <v>INDFBTHPR</v>
      </c>
      <c r="F51" s="261">
        <f>1/0.7</f>
        <v>1.4285714285714286</v>
      </c>
      <c r="G51" s="253">
        <v>1</v>
      </c>
      <c r="H51" s="246">
        <f t="shared" si="9"/>
        <v>0</v>
      </c>
      <c r="I51" s="262">
        <v>30</v>
      </c>
      <c r="J51" s="262">
        <v>0.8</v>
      </c>
      <c r="L51" s="118"/>
      <c r="M51" s="247">
        <f>FBT_BAL!E25</f>
        <v>0</v>
      </c>
      <c r="N51" s="247">
        <f t="shared" si="10"/>
        <v>0</v>
      </c>
      <c r="O51" s="118"/>
      <c r="P51" s="118"/>
      <c r="Q51" s="118"/>
    </row>
    <row r="52" spans="2:17" x14ac:dyDescent="0.25">
      <c r="B52" s="216" t="str">
        <f t="shared" si="8"/>
        <v>INDFBTHPROILDSL_00</v>
      </c>
      <c r="C52" s="216" t="str">
        <f t="shared" si="8"/>
        <v>Process Heat FBT Diesel_E00</v>
      </c>
      <c r="D52" s="216" t="s">
        <v>104</v>
      </c>
      <c r="E52" s="260" t="str">
        <f t="shared" si="11"/>
        <v>INDFBTHPR</v>
      </c>
      <c r="F52" s="261">
        <f>1/0.78</f>
        <v>1.2820512820512819</v>
      </c>
      <c r="G52" s="253">
        <v>1</v>
      </c>
      <c r="H52" s="246">
        <f t="shared" si="9"/>
        <v>0</v>
      </c>
      <c r="I52" s="262">
        <v>30</v>
      </c>
      <c r="J52" s="262">
        <v>0.8</v>
      </c>
      <c r="L52" s="118"/>
      <c r="M52" s="247">
        <f>FBT_BAL!J25</f>
        <v>0</v>
      </c>
      <c r="N52" s="247">
        <f t="shared" si="10"/>
        <v>0</v>
      </c>
      <c r="O52" s="118"/>
      <c r="P52" s="118"/>
      <c r="Q52" s="118"/>
    </row>
    <row r="53" spans="2:17" x14ac:dyDescent="0.25">
      <c r="B53" s="216" t="str">
        <f t="shared" si="8"/>
        <v>INDFBTHPROILHFO_00</v>
      </c>
      <c r="C53" s="216" t="str">
        <f t="shared" si="8"/>
        <v>Process Heat FBT HFO_E00</v>
      </c>
      <c r="D53" s="216" t="s">
        <v>449</v>
      </c>
      <c r="E53" s="260" t="str">
        <f t="shared" si="11"/>
        <v>INDFBTHPR</v>
      </c>
      <c r="F53" s="261">
        <f>1/0.78</f>
        <v>1.2820512820512819</v>
      </c>
      <c r="G53" s="253">
        <v>1</v>
      </c>
      <c r="H53" s="246">
        <f t="shared" si="9"/>
        <v>0</v>
      </c>
      <c r="I53" s="262">
        <v>30</v>
      </c>
      <c r="J53" s="262">
        <v>0.8</v>
      </c>
      <c r="L53" s="118"/>
      <c r="M53" s="247">
        <f>FBT_BAL!K25</f>
        <v>0</v>
      </c>
      <c r="N53" s="247">
        <f t="shared" si="10"/>
        <v>0</v>
      </c>
      <c r="O53" s="118"/>
      <c r="P53" s="118"/>
      <c r="Q53" s="118"/>
    </row>
    <row r="54" spans="2:17" x14ac:dyDescent="0.25">
      <c r="B54" s="216" t="str">
        <f t="shared" si="8"/>
        <v>INDFBTHPROILPCK_00</v>
      </c>
      <c r="C54" s="216" t="str">
        <f t="shared" si="8"/>
        <v>Process Heat FBT PetCoke_E00</v>
      </c>
      <c r="D54" s="216" t="s">
        <v>110</v>
      </c>
      <c r="E54" s="260" t="str">
        <f t="shared" si="11"/>
        <v>INDFBTHPR</v>
      </c>
      <c r="F54" s="261">
        <f>1/0.7</f>
        <v>1.4285714285714286</v>
      </c>
      <c r="G54" s="253">
        <v>1</v>
      </c>
      <c r="H54" s="246">
        <f t="shared" si="9"/>
        <v>0</v>
      </c>
      <c r="I54" s="262">
        <v>30</v>
      </c>
      <c r="J54" s="262">
        <v>0.8</v>
      </c>
      <c r="L54" s="118"/>
      <c r="M54" s="247">
        <f>FBT_BAL!L25</f>
        <v>0</v>
      </c>
      <c r="N54" s="247">
        <f t="shared" si="10"/>
        <v>0</v>
      </c>
      <c r="O54" s="118"/>
      <c r="P54" s="118"/>
      <c r="Q54" s="118"/>
    </row>
    <row r="55" spans="2:17" x14ac:dyDescent="0.25">
      <c r="B55" s="216" t="str">
        <f t="shared" si="8"/>
        <v>INDFBTHPROILOTH_00</v>
      </c>
      <c r="C55" s="216" t="str">
        <f t="shared" si="8"/>
        <v>Process Heat FBT Other Oil Products_E00</v>
      </c>
      <c r="D55" s="216" t="s">
        <v>111</v>
      </c>
      <c r="E55" s="260" t="str">
        <f t="shared" si="11"/>
        <v>INDFBTHPR</v>
      </c>
      <c r="F55" s="261">
        <f>1/0.78</f>
        <v>1.2820512820512819</v>
      </c>
      <c r="G55" s="253">
        <v>1</v>
      </c>
      <c r="H55" s="246">
        <f t="shared" si="9"/>
        <v>0</v>
      </c>
      <c r="I55" s="262">
        <v>30</v>
      </c>
      <c r="J55" s="262">
        <v>0.8</v>
      </c>
      <c r="L55" s="118"/>
      <c r="M55" s="247">
        <f>FBT_BAL!M25</f>
        <v>0</v>
      </c>
      <c r="N55" s="247">
        <f t="shared" si="10"/>
        <v>0</v>
      </c>
      <c r="O55" s="118"/>
      <c r="P55" s="118"/>
      <c r="Q55" s="118"/>
    </row>
    <row r="56" spans="2:17" x14ac:dyDescent="0.25">
      <c r="B56" s="216" t="str">
        <f t="shared" si="8"/>
        <v>INDFBTHPRGASNAT_00</v>
      </c>
      <c r="C56" s="216" t="str">
        <f t="shared" si="8"/>
        <v>Process Heat FBT N. Gas_E00</v>
      </c>
      <c r="D56" s="216" t="s">
        <v>112</v>
      </c>
      <c r="E56" s="260" t="str">
        <f t="shared" si="11"/>
        <v>INDFBTHPR</v>
      </c>
      <c r="F56" s="261">
        <f t="shared" ref="F56" si="12">1/0.8</f>
        <v>1.25</v>
      </c>
      <c r="G56" s="253">
        <v>1</v>
      </c>
      <c r="H56" s="246">
        <f t="shared" si="9"/>
        <v>2.3446080000000005</v>
      </c>
      <c r="I56" s="262">
        <v>30</v>
      </c>
      <c r="J56" s="262">
        <v>0.8</v>
      </c>
      <c r="L56" s="118"/>
      <c r="M56" s="247">
        <f>FBT_BAL!N25</f>
        <v>2.3446080000000005</v>
      </c>
      <c r="N56" s="247">
        <f t="shared" si="10"/>
        <v>1.8756864000000004</v>
      </c>
      <c r="O56" s="118"/>
      <c r="P56" s="118"/>
      <c r="Q56" s="118"/>
    </row>
    <row r="57" spans="2:17" x14ac:dyDescent="0.25">
      <c r="B57" s="216" t="str">
        <f t="shared" si="8"/>
        <v>INDFBTHPRBIOLOG_00</v>
      </c>
      <c r="C57" s="216" t="str">
        <f t="shared" si="8"/>
        <v>Process Heat FBT Biomass_E00</v>
      </c>
      <c r="D57" s="216" t="s">
        <v>114</v>
      </c>
      <c r="E57" s="260" t="str">
        <f t="shared" si="11"/>
        <v>INDFBTHPR</v>
      </c>
      <c r="F57" s="261">
        <f>1/0.7</f>
        <v>1.4285714285714286</v>
      </c>
      <c r="G57" s="253">
        <v>1</v>
      </c>
      <c r="H57" s="246">
        <f t="shared" si="9"/>
        <v>0</v>
      </c>
      <c r="I57" s="262">
        <v>30</v>
      </c>
      <c r="J57" s="262">
        <v>0.8</v>
      </c>
      <c r="L57" s="118"/>
      <c r="M57" s="247">
        <f>FBT_BAL!P25</f>
        <v>0</v>
      </c>
      <c r="N57" s="247">
        <f t="shared" si="10"/>
        <v>0</v>
      </c>
      <c r="O57" s="118"/>
      <c r="P57" s="118"/>
      <c r="Q57" s="118"/>
    </row>
    <row r="58" spans="2:17" x14ac:dyDescent="0.25">
      <c r="B58" s="216" t="str">
        <f t="shared" si="8"/>
        <v>INDFBTHPRFBTHTH_00</v>
      </c>
      <c r="C58" s="216" t="str">
        <f t="shared" si="8"/>
        <v>Process Heat FBT Heat_E00</v>
      </c>
      <c r="D58" s="216" t="str">
        <f>D39</f>
        <v>INDFBTHTH</v>
      </c>
      <c r="E58" s="260" t="str">
        <f t="shared" si="11"/>
        <v>INDFBTHPR</v>
      </c>
      <c r="F58" s="261">
        <v>1.2</v>
      </c>
      <c r="G58" s="253">
        <v>1</v>
      </c>
      <c r="H58" s="246">
        <f t="shared" si="9"/>
        <v>0</v>
      </c>
      <c r="I58" s="262">
        <v>30</v>
      </c>
      <c r="J58" s="262">
        <v>0.8</v>
      </c>
      <c r="L58" s="118"/>
      <c r="M58" s="247">
        <f>FBT_BAL!S25</f>
        <v>0</v>
      </c>
      <c r="N58" s="247">
        <f t="shared" si="10"/>
        <v>0</v>
      </c>
      <c r="O58" s="118"/>
      <c r="P58" s="118"/>
      <c r="Q58" s="118"/>
    </row>
    <row r="59" spans="2:17" x14ac:dyDescent="0.25">
      <c r="B59" s="216" t="str">
        <f t="shared" si="8"/>
        <v>INDFBTHPRINDELC_00</v>
      </c>
      <c r="C59" s="216" t="str">
        <f t="shared" si="8"/>
        <v>Process Heat FBT Electricity_E00</v>
      </c>
      <c r="D59" s="216" t="s">
        <v>129</v>
      </c>
      <c r="E59" s="260" t="str">
        <f t="shared" si="11"/>
        <v>INDFBTHPR</v>
      </c>
      <c r="F59" s="261">
        <v>1.1000000000000001</v>
      </c>
      <c r="G59" s="253">
        <v>1</v>
      </c>
      <c r="H59" s="246">
        <f>N59/J59</f>
        <v>0.23788636363636367</v>
      </c>
      <c r="I59" s="262">
        <v>30</v>
      </c>
      <c r="J59" s="262">
        <v>0.8</v>
      </c>
      <c r="L59" s="118"/>
      <c r="M59" s="247">
        <f>FBT_BAL!T25</f>
        <v>0.20934000000000005</v>
      </c>
      <c r="N59" s="247">
        <f t="shared" si="10"/>
        <v>0.19030909090909096</v>
      </c>
      <c r="O59" s="118"/>
      <c r="P59" s="118"/>
      <c r="Q59" s="118"/>
    </row>
    <row r="60" spans="2:17" ht="14.4" thickBot="1" x14ac:dyDescent="0.3">
      <c r="B60" s="254" t="s">
        <v>653</v>
      </c>
      <c r="C60" s="255"/>
      <c r="D60" s="255"/>
      <c r="E60" s="266"/>
      <c r="F60" s="267"/>
      <c r="G60" s="267"/>
      <c r="H60" s="270">
        <f>SUM(H49:H59)</f>
        <v>2.5824943636363642</v>
      </c>
      <c r="I60" s="271"/>
      <c r="J60" s="271"/>
      <c r="L60" s="118"/>
      <c r="M60" s="272">
        <f>SUM(M49:M59)</f>
        <v>2.5539480000000006</v>
      </c>
      <c r="N60" s="272">
        <f>SUM(N49:N59)</f>
        <v>2.0659954909090912</v>
      </c>
      <c r="O60" s="118"/>
      <c r="P60" s="118"/>
      <c r="Q60" s="118"/>
    </row>
    <row r="61" spans="2:17" x14ac:dyDescent="0.25">
      <c r="C61" s="216"/>
      <c r="D61" s="216"/>
      <c r="F61" s="118"/>
      <c r="G61" s="118"/>
      <c r="H61" s="118"/>
      <c r="I61" s="219"/>
      <c r="J61" s="118"/>
      <c r="K61" s="118"/>
      <c r="L61" s="118"/>
      <c r="M61" s="118"/>
      <c r="N61" s="118"/>
      <c r="O61" s="118"/>
      <c r="P61" s="118"/>
      <c r="Q61" s="118"/>
    </row>
    <row r="62" spans="2:17" x14ac:dyDescent="0.25">
      <c r="C62" s="216"/>
      <c r="D62" s="216"/>
      <c r="F62" s="118"/>
      <c r="G62" s="118"/>
      <c r="H62" s="118"/>
      <c r="I62" s="219"/>
      <c r="J62" s="118"/>
      <c r="K62" s="118"/>
      <c r="L62" s="118"/>
      <c r="M62" s="118"/>
      <c r="N62" s="118"/>
      <c r="O62" s="118"/>
      <c r="P62" s="118"/>
      <c r="Q62" s="118"/>
    </row>
    <row r="63" spans="2:17" x14ac:dyDescent="0.25">
      <c r="C63" s="216"/>
      <c r="D63" s="216"/>
      <c r="F63" s="118"/>
      <c r="G63" s="118"/>
      <c r="H63" s="118"/>
      <c r="I63" s="219"/>
      <c r="J63" s="118"/>
      <c r="K63" s="118"/>
      <c r="L63" s="118"/>
      <c r="M63" s="118"/>
      <c r="N63" s="118"/>
      <c r="O63" s="118"/>
      <c r="P63" s="118"/>
      <c r="Q63" s="118"/>
    </row>
    <row r="64" spans="2:17" x14ac:dyDescent="0.25">
      <c r="C64" s="216"/>
      <c r="D64" s="216"/>
      <c r="F64" s="118"/>
      <c r="G64" s="118"/>
      <c r="H64" s="251"/>
      <c r="I64" s="219"/>
      <c r="J64" s="118"/>
      <c r="K64" s="118"/>
      <c r="L64" s="118"/>
      <c r="M64" s="118"/>
      <c r="N64" s="118"/>
      <c r="O64" s="118"/>
      <c r="P64" s="118"/>
      <c r="Q64" s="118"/>
    </row>
    <row r="65" spans="2:17" x14ac:dyDescent="0.25">
      <c r="B65" s="108" t="s">
        <v>663</v>
      </c>
      <c r="C65" s="216"/>
      <c r="F65" s="118"/>
      <c r="G65" s="118"/>
      <c r="H65" s="118"/>
      <c r="I65" s="219"/>
      <c r="J65" s="118"/>
      <c r="K65" s="118"/>
      <c r="L65" s="118"/>
      <c r="M65" s="118"/>
      <c r="N65" s="118"/>
      <c r="O65" s="118"/>
      <c r="P65" s="118"/>
      <c r="Q65" s="118"/>
    </row>
    <row r="66" spans="2:17" x14ac:dyDescent="0.25">
      <c r="C66" s="216"/>
      <c r="F66" s="118"/>
      <c r="G66" s="118"/>
      <c r="H66" s="118"/>
      <c r="I66" s="219"/>
      <c r="J66" s="118"/>
      <c r="K66" s="118"/>
      <c r="L66" s="118"/>
      <c r="M66" s="118"/>
      <c r="N66" s="118"/>
      <c r="O66" s="118"/>
      <c r="P66" s="118"/>
      <c r="Q66" s="118"/>
    </row>
    <row r="67" spans="2:17" x14ac:dyDescent="0.25">
      <c r="B67" s="216"/>
      <c r="C67" s="216"/>
      <c r="D67" s="216"/>
      <c r="E67" s="258" t="s">
        <v>15</v>
      </c>
      <c r="F67" s="242" t="s">
        <v>464</v>
      </c>
      <c r="G67" s="242" t="s">
        <v>464</v>
      </c>
      <c r="H67" s="216"/>
      <c r="I67" s="216"/>
      <c r="J67" s="216"/>
      <c r="K67" s="118"/>
      <c r="L67" s="118"/>
      <c r="M67" s="118"/>
      <c r="N67" s="118"/>
      <c r="O67" s="118"/>
      <c r="P67" s="118"/>
      <c r="Q67" s="118"/>
    </row>
    <row r="68" spans="2:17" x14ac:dyDescent="0.25">
      <c r="B68" s="217" t="s">
        <v>1</v>
      </c>
      <c r="C68" s="217" t="s">
        <v>41</v>
      </c>
      <c r="D68" s="217" t="s">
        <v>7</v>
      </c>
      <c r="E68" s="241" t="s">
        <v>8</v>
      </c>
      <c r="F68" s="259" t="s">
        <v>358</v>
      </c>
      <c r="G68" s="259" t="s">
        <v>359</v>
      </c>
      <c r="H68" s="259" t="s">
        <v>657</v>
      </c>
      <c r="I68" s="259" t="s">
        <v>658</v>
      </c>
      <c r="J68" s="259" t="s">
        <v>660</v>
      </c>
      <c r="K68" s="118"/>
      <c r="L68" s="118"/>
      <c r="M68" s="241" t="s">
        <v>771</v>
      </c>
      <c r="N68" s="241" t="s">
        <v>771</v>
      </c>
      <c r="O68" s="118"/>
      <c r="P68" s="118"/>
      <c r="Q68" s="118"/>
    </row>
    <row r="69" spans="2:17" ht="14.4" thickBot="1" x14ac:dyDescent="0.3">
      <c r="B69" s="230" t="s">
        <v>651</v>
      </c>
      <c r="C69" s="230" t="s">
        <v>25</v>
      </c>
      <c r="D69" s="230" t="s">
        <v>35</v>
      </c>
      <c r="E69" s="243" t="s">
        <v>36</v>
      </c>
      <c r="F69" s="243"/>
      <c r="G69" s="243"/>
      <c r="H69" s="243"/>
      <c r="I69" s="243"/>
      <c r="J69" s="243"/>
      <c r="K69" s="118"/>
      <c r="L69" s="118"/>
      <c r="M69" s="243" t="s">
        <v>661</v>
      </c>
      <c r="N69" s="243" t="s">
        <v>359</v>
      </c>
      <c r="O69" s="118"/>
      <c r="P69" s="118"/>
      <c r="Q69" s="118"/>
    </row>
    <row r="70" spans="2:17" x14ac:dyDescent="0.25">
      <c r="B70" s="216" t="str">
        <f>S33</f>
        <v>INDFBTMCDOILDSL_00</v>
      </c>
      <c r="C70" s="216" t="str">
        <f>T33</f>
        <v>Machine Drive FBT Diesel_E00</v>
      </c>
      <c r="D70" s="216" t="s">
        <v>104</v>
      </c>
      <c r="E70" s="260" t="s">
        <v>453</v>
      </c>
      <c r="F70" s="261">
        <f>1/0.5</f>
        <v>2</v>
      </c>
      <c r="G70" s="253">
        <v>1</v>
      </c>
      <c r="H70" s="246">
        <f>N70/J70</f>
        <v>0</v>
      </c>
      <c r="I70" s="262">
        <v>20</v>
      </c>
      <c r="J70" s="262">
        <v>0.8</v>
      </c>
      <c r="K70" s="118"/>
      <c r="L70" s="118"/>
      <c r="M70" s="261">
        <f>FBT_BAL!J26</f>
        <v>0</v>
      </c>
      <c r="N70" s="261">
        <f>M70/F70</f>
        <v>0</v>
      </c>
      <c r="O70" s="118"/>
      <c r="P70" s="118"/>
      <c r="Q70" s="118"/>
    </row>
    <row r="71" spans="2:17" x14ac:dyDescent="0.25">
      <c r="B71" s="216" t="str">
        <f t="shared" ref="B71:C72" si="13">S34</f>
        <v>INDFBTMCDGASNAT_00</v>
      </c>
      <c r="C71" s="216" t="str">
        <f t="shared" si="13"/>
        <v>Machine Drive FBT N. Gas_E00</v>
      </c>
      <c r="D71" s="216" t="s">
        <v>112</v>
      </c>
      <c r="E71" s="260" t="str">
        <f>E70</f>
        <v>INDFBTMCD</v>
      </c>
      <c r="F71" s="261">
        <f>1/0.5</f>
        <v>2</v>
      </c>
      <c r="G71" s="253">
        <v>1</v>
      </c>
      <c r="H71" s="246">
        <f t="shared" ref="H71:H72" si="14">N71/J71</f>
        <v>0</v>
      </c>
      <c r="I71" s="262">
        <v>20</v>
      </c>
      <c r="J71" s="262">
        <v>0.8</v>
      </c>
      <c r="K71" s="118"/>
      <c r="L71" s="118"/>
      <c r="M71" s="261">
        <f>FBT_BAL!N26</f>
        <v>0</v>
      </c>
      <c r="N71" s="261">
        <f t="shared" ref="N71" si="15">M71/F71</f>
        <v>0</v>
      </c>
      <c r="O71" s="118"/>
      <c r="P71" s="118"/>
      <c r="Q71" s="118"/>
    </row>
    <row r="72" spans="2:17" x14ac:dyDescent="0.25">
      <c r="B72" s="216" t="str">
        <f t="shared" si="13"/>
        <v>INDFBTMCDINDELC_00</v>
      </c>
      <c r="C72" s="216" t="str">
        <f t="shared" si="13"/>
        <v>Machine Drive FBT Electricity_E00</v>
      </c>
      <c r="D72" s="216" t="s">
        <v>129</v>
      </c>
      <c r="E72" s="260" t="str">
        <f>E71</f>
        <v>INDFBTMCD</v>
      </c>
      <c r="F72" s="261">
        <f>1/0.9</f>
        <v>1.1111111111111112</v>
      </c>
      <c r="G72" s="253">
        <v>1</v>
      </c>
      <c r="H72" s="246">
        <f t="shared" si="14"/>
        <v>1.8840600000000003</v>
      </c>
      <c r="I72" s="262">
        <v>20</v>
      </c>
      <c r="J72" s="262">
        <v>0.8</v>
      </c>
      <c r="K72" s="118"/>
      <c r="L72" s="118"/>
      <c r="M72" s="261">
        <f>FBT_BAL!T26</f>
        <v>1.6747200000000004</v>
      </c>
      <c r="N72" s="261">
        <f>M72/F72</f>
        <v>1.5072480000000004</v>
      </c>
      <c r="O72" s="118"/>
      <c r="P72" s="118"/>
      <c r="Q72" s="118"/>
    </row>
    <row r="73" spans="2:17" ht="14.4" thickBot="1" x14ac:dyDescent="0.3">
      <c r="B73" s="254" t="s">
        <v>653</v>
      </c>
      <c r="C73" s="255"/>
      <c r="D73" s="255"/>
      <c r="E73" s="266"/>
      <c r="F73" s="273"/>
      <c r="G73" s="273"/>
      <c r="H73" s="270">
        <f>SUM(H70:H72)</f>
        <v>1.8840600000000003</v>
      </c>
      <c r="I73" s="271"/>
      <c r="J73" s="271"/>
      <c r="K73" s="118"/>
      <c r="L73" s="118"/>
      <c r="M73" s="268">
        <f>SUM(M70:M72)</f>
        <v>1.6747200000000004</v>
      </c>
      <c r="N73" s="268">
        <f>SUM(N70:N72)</f>
        <v>1.5072480000000004</v>
      </c>
      <c r="O73" s="118"/>
      <c r="P73" s="118"/>
      <c r="Q73" s="118"/>
    </row>
    <row r="74" spans="2:17" x14ac:dyDescent="0.25">
      <c r="F74" s="118"/>
      <c r="G74" s="118"/>
      <c r="H74" s="118"/>
      <c r="I74" s="219"/>
      <c r="J74" s="118"/>
      <c r="K74" s="118"/>
      <c r="L74" s="118"/>
      <c r="M74" s="118"/>
      <c r="N74" s="118"/>
      <c r="O74" s="118"/>
      <c r="P74" s="118"/>
      <c r="Q74" s="118"/>
    </row>
    <row r="75" spans="2:17" x14ac:dyDescent="0.25">
      <c r="F75" s="118"/>
      <c r="G75" s="118"/>
      <c r="H75" s="118"/>
      <c r="I75" s="219"/>
      <c r="J75" s="118"/>
      <c r="K75" s="118"/>
      <c r="L75" s="118"/>
      <c r="M75" s="118"/>
      <c r="N75" s="118"/>
      <c r="O75" s="118"/>
      <c r="P75" s="118"/>
      <c r="Q75" s="118"/>
    </row>
    <row r="76" spans="2:17" x14ac:dyDescent="0.25">
      <c r="F76" s="118"/>
      <c r="G76" s="118"/>
      <c r="H76" s="118"/>
      <c r="I76" s="219"/>
      <c r="J76" s="118"/>
      <c r="K76" s="118"/>
      <c r="L76" s="118"/>
      <c r="M76" s="118"/>
      <c r="N76" s="118"/>
      <c r="O76" s="118"/>
      <c r="P76" s="118"/>
      <c r="Q76" s="118"/>
    </row>
    <row r="77" spans="2:17" x14ac:dyDescent="0.25">
      <c r="B77" s="108" t="s">
        <v>664</v>
      </c>
      <c r="C77" s="216"/>
      <c r="F77" s="118"/>
      <c r="G77" s="118"/>
      <c r="H77" s="118"/>
      <c r="I77" s="219"/>
      <c r="J77" s="118"/>
      <c r="K77" s="118"/>
      <c r="L77" s="118"/>
      <c r="M77" s="118"/>
      <c r="N77" s="118"/>
      <c r="O77" s="118"/>
      <c r="P77" s="118"/>
      <c r="Q77" s="118"/>
    </row>
    <row r="78" spans="2:17" x14ac:dyDescent="0.25">
      <c r="C78" s="216"/>
      <c r="F78" s="118"/>
      <c r="G78" s="118"/>
      <c r="H78" s="118"/>
      <c r="I78" s="219"/>
      <c r="J78" s="118"/>
      <c r="K78" s="118"/>
      <c r="L78" s="118"/>
      <c r="M78" s="118"/>
      <c r="N78" s="118"/>
      <c r="O78" s="118"/>
      <c r="P78" s="118"/>
      <c r="Q78" s="118"/>
    </row>
    <row r="79" spans="2:17" x14ac:dyDescent="0.25">
      <c r="B79" s="216"/>
      <c r="C79" s="216"/>
      <c r="D79" s="216"/>
      <c r="E79" s="258" t="s">
        <v>15</v>
      </c>
      <c r="F79" s="242" t="s">
        <v>464</v>
      </c>
      <c r="G79" s="242" t="s">
        <v>464</v>
      </c>
      <c r="H79" s="216"/>
      <c r="I79" s="216"/>
      <c r="J79" s="216"/>
      <c r="K79" s="118"/>
      <c r="L79" s="118"/>
      <c r="M79" s="118"/>
      <c r="N79" s="118"/>
      <c r="O79" s="118"/>
      <c r="P79" s="118"/>
      <c r="Q79" s="118"/>
    </row>
    <row r="80" spans="2:17" x14ac:dyDescent="0.25">
      <c r="B80" s="217" t="s">
        <v>1</v>
      </c>
      <c r="C80" s="217" t="s">
        <v>41</v>
      </c>
      <c r="D80" s="217" t="s">
        <v>7</v>
      </c>
      <c r="E80" s="241" t="s">
        <v>8</v>
      </c>
      <c r="F80" s="241" t="s">
        <v>358</v>
      </c>
      <c r="G80" s="241" t="s">
        <v>359</v>
      </c>
      <c r="H80" s="241" t="s">
        <v>657</v>
      </c>
      <c r="I80" s="259" t="s">
        <v>658</v>
      </c>
      <c r="J80" s="259" t="s">
        <v>660</v>
      </c>
      <c r="K80" s="118"/>
      <c r="L80" s="118"/>
      <c r="M80" s="241" t="s">
        <v>771</v>
      </c>
      <c r="N80" s="241" t="s">
        <v>771</v>
      </c>
      <c r="O80" s="118"/>
      <c r="P80" s="118"/>
      <c r="Q80" s="118"/>
    </row>
    <row r="81" spans="2:17" ht="14.4" thickBot="1" x14ac:dyDescent="0.3">
      <c r="B81" s="230" t="s">
        <v>651</v>
      </c>
      <c r="C81" s="230" t="s">
        <v>25</v>
      </c>
      <c r="D81" s="230" t="s">
        <v>35</v>
      </c>
      <c r="E81" s="243" t="s">
        <v>36</v>
      </c>
      <c r="F81" s="243"/>
      <c r="G81" s="243"/>
      <c r="H81" s="243"/>
      <c r="I81" s="243"/>
      <c r="J81" s="243"/>
      <c r="K81" s="118"/>
      <c r="L81" s="118"/>
      <c r="M81" s="243" t="s">
        <v>661</v>
      </c>
      <c r="N81" s="243" t="s">
        <v>359</v>
      </c>
      <c r="O81" s="118"/>
      <c r="P81" s="118"/>
      <c r="Q81" s="118"/>
    </row>
    <row r="82" spans="2:17" x14ac:dyDescent="0.25">
      <c r="B82" s="216" t="str">
        <f>S36</f>
        <v>INDFBTOENINDELC_00</v>
      </c>
      <c r="C82" s="216" t="str">
        <f>T36</f>
        <v>Other Energy FBT Electricity_E00</v>
      </c>
      <c r="D82" s="216" t="s">
        <v>129</v>
      </c>
      <c r="E82" s="260" t="s">
        <v>455</v>
      </c>
      <c r="F82" s="261">
        <f>1/0.8</f>
        <v>1.25</v>
      </c>
      <c r="G82" s="253">
        <v>1</v>
      </c>
      <c r="H82" s="246">
        <f>N82/J82</f>
        <v>0.20934000000000003</v>
      </c>
      <c r="I82" s="262">
        <v>30</v>
      </c>
      <c r="J82" s="262">
        <v>0.8</v>
      </c>
      <c r="K82" s="118"/>
      <c r="L82" s="118"/>
      <c r="M82" s="261">
        <f>FBT_BAL!T27</f>
        <v>0.20934000000000005</v>
      </c>
      <c r="N82" s="261">
        <f>M82/F82</f>
        <v>0.16747200000000004</v>
      </c>
      <c r="O82" s="118"/>
      <c r="P82" s="118"/>
      <c r="Q82" s="118"/>
    </row>
    <row r="83" spans="2:17" ht="14.4" thickBot="1" x14ac:dyDescent="0.3">
      <c r="B83" s="254" t="s">
        <v>653</v>
      </c>
      <c r="C83" s="255"/>
      <c r="D83" s="255"/>
      <c r="E83" s="266"/>
      <c r="F83" s="267"/>
      <c r="G83" s="267"/>
      <c r="H83" s="270">
        <f>SUM(H82:H82)</f>
        <v>0.20934000000000003</v>
      </c>
      <c r="I83" s="271"/>
      <c r="J83" s="271"/>
      <c r="K83" s="118"/>
      <c r="L83" s="118"/>
      <c r="M83" s="268">
        <f>SUM(M82:M82)</f>
        <v>0.20934000000000005</v>
      </c>
      <c r="N83" s="268">
        <f>SUM(N82:N82)</f>
        <v>0.16747200000000004</v>
      </c>
      <c r="O83" s="118"/>
      <c r="P83" s="118"/>
      <c r="Q83" s="118"/>
    </row>
    <row r="84" spans="2:17" x14ac:dyDescent="0.25">
      <c r="F84" s="118"/>
      <c r="G84" s="118"/>
      <c r="H84" s="251"/>
      <c r="I84" s="219"/>
      <c r="J84" s="118"/>
      <c r="K84" s="118"/>
      <c r="L84" s="118"/>
      <c r="M84" s="118"/>
      <c r="N84" s="118"/>
      <c r="O84" s="118"/>
      <c r="P84" s="118"/>
      <c r="Q84" s="118"/>
    </row>
    <row r="85" spans="2:17" x14ac:dyDescent="0.25">
      <c r="F85" s="118"/>
      <c r="G85" s="118"/>
      <c r="H85" s="118"/>
      <c r="I85" s="219"/>
      <c r="J85" s="118"/>
      <c r="K85" s="118"/>
      <c r="L85" s="118"/>
      <c r="M85" s="118"/>
      <c r="N85" s="118"/>
      <c r="O85" s="118"/>
      <c r="P85" s="118"/>
      <c r="Q85" s="118"/>
    </row>
    <row r="86" spans="2:17" x14ac:dyDescent="0.25">
      <c r="F86" s="118"/>
      <c r="G86" s="118"/>
      <c r="H86" s="118"/>
      <c r="I86" s="219"/>
      <c r="J86" s="118"/>
      <c r="K86" s="118"/>
      <c r="L86" s="118"/>
      <c r="M86" s="118"/>
      <c r="N86" s="118"/>
      <c r="O86" s="118"/>
      <c r="P86" s="118"/>
      <c r="Q86" s="118"/>
    </row>
    <row r="87" spans="2:17" x14ac:dyDescent="0.25">
      <c r="F87" s="118"/>
      <c r="G87" s="118"/>
      <c r="H87" s="118"/>
      <c r="I87" s="219"/>
      <c r="J87" s="118"/>
      <c r="K87" s="118"/>
      <c r="L87" s="118"/>
      <c r="M87" s="118"/>
      <c r="N87" s="118"/>
      <c r="O87" s="118"/>
      <c r="P87" s="118"/>
      <c r="Q87" s="118"/>
    </row>
    <row r="88" spans="2:17" x14ac:dyDescent="0.25">
      <c r="F88" s="118"/>
      <c r="G88" s="118"/>
      <c r="H88" s="118"/>
      <c r="I88" s="219"/>
      <c r="J88" s="118"/>
      <c r="K88" s="118"/>
      <c r="L88" s="118"/>
      <c r="M88" s="118"/>
      <c r="N88" s="118"/>
      <c r="O88" s="118"/>
      <c r="P88" s="118"/>
      <c r="Q88" s="118"/>
    </row>
    <row r="89" spans="2:17" x14ac:dyDescent="0.25">
      <c r="F89" s="118"/>
      <c r="G89" s="118"/>
      <c r="H89" s="118"/>
      <c r="I89" s="219"/>
      <c r="J89" s="118"/>
      <c r="K89" s="118"/>
      <c r="L89" s="118"/>
      <c r="M89" s="118"/>
      <c r="N89" s="118"/>
      <c r="O89" s="118"/>
      <c r="P89" s="118"/>
      <c r="Q89" s="118"/>
    </row>
    <row r="90" spans="2:17" x14ac:dyDescent="0.25">
      <c r="F90" s="118"/>
      <c r="G90" s="118"/>
      <c r="H90" s="118"/>
      <c r="I90" s="219"/>
      <c r="J90" s="118"/>
      <c r="K90" s="118"/>
      <c r="L90" s="118"/>
      <c r="M90" s="118"/>
      <c r="N90" s="118"/>
      <c r="O90" s="118"/>
      <c r="P90" s="118"/>
      <c r="Q90" s="118"/>
    </row>
    <row r="91" spans="2:17" x14ac:dyDescent="0.25">
      <c r="F91" s="118"/>
      <c r="G91" s="118"/>
      <c r="H91" s="118"/>
      <c r="I91" s="219"/>
      <c r="J91" s="118"/>
      <c r="K91" s="118"/>
      <c r="L91" s="118"/>
      <c r="M91" s="118"/>
      <c r="N91" s="118"/>
      <c r="O91" s="118"/>
      <c r="P91" s="118"/>
      <c r="Q91" s="118"/>
    </row>
    <row r="92" spans="2:17" x14ac:dyDescent="0.25">
      <c r="F92" s="118"/>
      <c r="G92" s="118"/>
      <c r="H92" s="251"/>
      <c r="I92" s="219"/>
      <c r="J92" s="118"/>
      <c r="K92" s="118"/>
      <c r="L92" s="118"/>
      <c r="M92" s="118"/>
      <c r="N92" s="118"/>
      <c r="O92" s="118"/>
      <c r="P92" s="118"/>
      <c r="Q92" s="118"/>
    </row>
    <row r="93" spans="2:17" x14ac:dyDescent="0.25">
      <c r="F93" s="118"/>
      <c r="G93" s="118"/>
      <c r="H93" s="118"/>
      <c r="I93" s="219"/>
      <c r="J93" s="118"/>
      <c r="K93" s="118"/>
      <c r="L93" s="118"/>
      <c r="M93" s="118"/>
      <c r="N93" s="118"/>
      <c r="O93" s="118"/>
      <c r="P93" s="118"/>
      <c r="Q93" s="118"/>
    </row>
    <row r="94" spans="2:17" x14ac:dyDescent="0.25">
      <c r="F94" s="118"/>
      <c r="G94" s="118"/>
      <c r="H94" s="118"/>
      <c r="I94" s="219"/>
      <c r="J94" s="118"/>
      <c r="K94" s="118"/>
      <c r="L94" s="118"/>
      <c r="M94" s="118"/>
      <c r="N94" s="118"/>
      <c r="O94" s="118"/>
      <c r="P94" s="118"/>
      <c r="Q94" s="118"/>
    </row>
    <row r="95" spans="2:17" x14ac:dyDescent="0.25">
      <c r="F95" s="118"/>
      <c r="G95" s="118"/>
      <c r="H95" s="118"/>
      <c r="I95" s="219"/>
      <c r="J95" s="118"/>
      <c r="K95" s="118"/>
      <c r="L95" s="118"/>
      <c r="M95" s="118"/>
      <c r="N95" s="118"/>
      <c r="O95" s="118"/>
      <c r="P95" s="118"/>
      <c r="Q95" s="118"/>
    </row>
    <row r="96" spans="2:17" x14ac:dyDescent="0.25">
      <c r="F96" s="118"/>
      <c r="G96" s="118"/>
      <c r="H96" s="118"/>
      <c r="I96" s="219"/>
      <c r="J96" s="118"/>
      <c r="K96" s="118"/>
      <c r="L96" s="118"/>
      <c r="M96" s="118"/>
      <c r="N96" s="118"/>
      <c r="O96" s="118"/>
      <c r="P96" s="118"/>
      <c r="Q96" s="118"/>
    </row>
    <row r="97" spans="3:17" x14ac:dyDescent="0.25">
      <c r="F97" s="118"/>
      <c r="G97" s="118"/>
      <c r="H97" s="118"/>
      <c r="I97" s="219"/>
      <c r="J97" s="118"/>
      <c r="K97" s="118"/>
      <c r="L97" s="118"/>
      <c r="M97" s="118"/>
      <c r="N97" s="118"/>
      <c r="O97" s="118"/>
      <c r="P97" s="118"/>
      <c r="Q97" s="118"/>
    </row>
    <row r="98" spans="3:17" x14ac:dyDescent="0.25">
      <c r="F98" s="118"/>
      <c r="G98" s="118"/>
      <c r="H98" s="118"/>
      <c r="I98" s="219"/>
      <c r="J98" s="118"/>
      <c r="K98" s="118"/>
      <c r="L98" s="118"/>
      <c r="M98" s="118"/>
      <c r="N98" s="118"/>
      <c r="O98" s="118"/>
      <c r="P98" s="118"/>
      <c r="Q98" s="118"/>
    </row>
    <row r="99" spans="3:17" x14ac:dyDescent="0.25">
      <c r="F99" s="118"/>
      <c r="G99" s="118"/>
      <c r="H99" s="118"/>
      <c r="I99" s="219"/>
      <c r="J99" s="118"/>
      <c r="K99" s="118"/>
      <c r="L99" s="118"/>
      <c r="M99" s="118"/>
      <c r="N99" s="118"/>
      <c r="O99" s="118"/>
      <c r="P99" s="118"/>
      <c r="Q99" s="118"/>
    </row>
    <row r="100" spans="3:17" x14ac:dyDescent="0.25">
      <c r="F100" s="118"/>
      <c r="G100" s="118"/>
      <c r="H100" s="118"/>
      <c r="I100" s="219"/>
      <c r="J100" s="118"/>
      <c r="K100" s="118"/>
      <c r="L100" s="118"/>
      <c r="M100" s="118"/>
      <c r="N100" s="118"/>
      <c r="O100" s="118"/>
      <c r="P100" s="118"/>
      <c r="Q100" s="118"/>
    </row>
    <row r="101" spans="3:17" x14ac:dyDescent="0.25">
      <c r="F101" s="118"/>
      <c r="G101" s="118"/>
      <c r="H101" s="118"/>
      <c r="I101" s="219"/>
      <c r="J101" s="118"/>
      <c r="K101" s="118"/>
      <c r="L101" s="118"/>
      <c r="M101" s="118"/>
      <c r="N101" s="118"/>
      <c r="O101" s="118"/>
      <c r="P101" s="118"/>
      <c r="Q101" s="118"/>
    </row>
    <row r="102" spans="3:17" x14ac:dyDescent="0.25">
      <c r="F102" s="118"/>
      <c r="G102" s="118"/>
      <c r="H102" s="118"/>
      <c r="I102" s="219"/>
      <c r="J102" s="118"/>
      <c r="K102" s="118"/>
      <c r="L102" s="118"/>
      <c r="M102" s="118"/>
      <c r="N102" s="118"/>
      <c r="O102" s="118"/>
      <c r="P102" s="118"/>
      <c r="Q102" s="118"/>
    </row>
    <row r="103" spans="3:17" x14ac:dyDescent="0.25">
      <c r="F103" s="118"/>
      <c r="G103" s="118"/>
      <c r="H103" s="251"/>
      <c r="I103" s="219"/>
      <c r="J103" s="118"/>
      <c r="K103" s="118"/>
      <c r="L103" s="118"/>
      <c r="M103" s="118"/>
      <c r="N103" s="118"/>
      <c r="O103" s="118"/>
      <c r="P103" s="118"/>
      <c r="Q103" s="118"/>
    </row>
    <row r="104" spans="3:17" x14ac:dyDescent="0.25">
      <c r="F104" s="118"/>
      <c r="G104" s="118"/>
      <c r="H104" s="118"/>
      <c r="I104" s="219"/>
      <c r="J104" s="118"/>
      <c r="K104" s="118"/>
      <c r="L104" s="118"/>
      <c r="M104" s="118"/>
      <c r="N104" s="118"/>
      <c r="O104" s="118"/>
      <c r="P104" s="118"/>
      <c r="Q104" s="118"/>
    </row>
    <row r="105" spans="3:17" x14ac:dyDescent="0.25">
      <c r="F105" s="118"/>
      <c r="G105" s="118"/>
      <c r="H105" s="118"/>
      <c r="I105" s="219"/>
      <c r="J105" s="118"/>
      <c r="K105" s="118"/>
      <c r="L105" s="118"/>
      <c r="M105" s="118"/>
      <c r="N105" s="118"/>
      <c r="O105" s="118"/>
      <c r="P105" s="118"/>
      <c r="Q105" s="118"/>
    </row>
    <row r="106" spans="3:17" x14ac:dyDescent="0.25">
      <c r="F106" s="118"/>
      <c r="G106" s="118"/>
      <c r="H106" s="118"/>
      <c r="I106" s="219"/>
      <c r="J106" s="118"/>
      <c r="K106" s="118"/>
      <c r="L106" s="118"/>
      <c r="M106" s="118"/>
      <c r="N106" s="118"/>
      <c r="O106" s="118"/>
      <c r="P106" s="118"/>
      <c r="Q106" s="118"/>
    </row>
    <row r="107" spans="3:17" x14ac:dyDescent="0.25">
      <c r="F107" s="118"/>
      <c r="G107" s="118"/>
      <c r="H107" s="118"/>
      <c r="I107" s="219"/>
      <c r="J107" s="118"/>
      <c r="K107" s="118"/>
      <c r="L107" s="118"/>
      <c r="M107" s="118"/>
      <c r="N107" s="118"/>
      <c r="O107" s="118"/>
      <c r="P107" s="118"/>
      <c r="Q107" s="118"/>
    </row>
    <row r="108" spans="3:17" x14ac:dyDescent="0.25">
      <c r="F108" s="118"/>
      <c r="G108" s="118"/>
      <c r="H108" s="118"/>
      <c r="I108" s="219"/>
      <c r="J108" s="118"/>
      <c r="K108" s="118"/>
      <c r="L108" s="118"/>
      <c r="M108" s="118"/>
      <c r="N108" s="118"/>
      <c r="O108" s="118"/>
      <c r="P108" s="118"/>
      <c r="Q108" s="118"/>
    </row>
    <row r="109" spans="3:17" x14ac:dyDescent="0.25">
      <c r="F109" s="118"/>
      <c r="G109" s="118"/>
      <c r="H109" s="251"/>
      <c r="I109" s="219"/>
      <c r="J109" s="118"/>
      <c r="K109" s="118"/>
      <c r="L109" s="118"/>
      <c r="M109" s="118"/>
      <c r="N109" s="118"/>
      <c r="O109" s="118"/>
      <c r="P109" s="118"/>
      <c r="Q109" s="118"/>
    </row>
    <row r="110" spans="3:17" x14ac:dyDescent="0.25">
      <c r="F110" s="118"/>
      <c r="G110" s="118"/>
      <c r="H110" s="118"/>
      <c r="I110" s="219"/>
      <c r="J110" s="118"/>
      <c r="K110" s="118"/>
      <c r="L110" s="118"/>
      <c r="M110" s="118"/>
      <c r="N110" s="118"/>
      <c r="O110" s="118"/>
      <c r="P110" s="118"/>
      <c r="Q110" s="118"/>
    </row>
    <row r="111" spans="3:17" x14ac:dyDescent="0.25">
      <c r="F111" s="118"/>
      <c r="G111" s="118"/>
      <c r="H111" s="118"/>
      <c r="I111" s="219"/>
      <c r="J111" s="118"/>
      <c r="K111" s="118"/>
      <c r="L111" s="118"/>
      <c r="M111" s="118"/>
      <c r="N111" s="118"/>
      <c r="O111" s="118"/>
      <c r="P111" s="118"/>
      <c r="Q111" s="118"/>
    </row>
    <row r="112" spans="3:17" x14ac:dyDescent="0.25">
      <c r="C112" s="216"/>
      <c r="F112" s="118"/>
      <c r="G112" s="118"/>
      <c r="H112" s="118"/>
      <c r="I112" s="219"/>
      <c r="J112" s="118"/>
      <c r="K112" s="118"/>
      <c r="L112" s="118"/>
      <c r="M112" s="118"/>
      <c r="N112" s="118"/>
      <c r="O112" s="118"/>
      <c r="P112" s="118"/>
      <c r="Q112" s="118"/>
    </row>
    <row r="113" spans="3:17" x14ac:dyDescent="0.25">
      <c r="C113" s="216"/>
      <c r="F113" s="118"/>
      <c r="G113" s="118"/>
      <c r="H113" s="118"/>
      <c r="I113" s="219"/>
      <c r="J113" s="118"/>
      <c r="K113" s="118"/>
      <c r="L113" s="118"/>
      <c r="M113" s="118"/>
      <c r="N113" s="118"/>
      <c r="O113" s="118"/>
      <c r="P113" s="118"/>
      <c r="Q113" s="118"/>
    </row>
    <row r="114" spans="3:17" x14ac:dyDescent="0.25">
      <c r="C114" s="216"/>
      <c r="F114" s="118"/>
      <c r="G114" s="118"/>
      <c r="H114" s="118"/>
      <c r="I114" s="219"/>
      <c r="J114" s="118"/>
      <c r="K114" s="118"/>
      <c r="L114" s="118"/>
      <c r="M114" s="118"/>
      <c r="N114" s="118"/>
      <c r="O114" s="118"/>
      <c r="P114" s="118"/>
      <c r="Q114" s="118"/>
    </row>
    <row r="115" spans="3:17" x14ac:dyDescent="0.25">
      <c r="C115" s="216"/>
      <c r="F115" s="118"/>
      <c r="G115" s="118"/>
      <c r="H115" s="118"/>
      <c r="I115" s="219"/>
      <c r="J115" s="118"/>
      <c r="K115" s="118"/>
      <c r="L115" s="118"/>
      <c r="M115" s="118"/>
      <c r="N115" s="118"/>
      <c r="O115" s="118"/>
      <c r="P115" s="118"/>
      <c r="Q115" s="118"/>
    </row>
    <row r="116" spans="3:17" x14ac:dyDescent="0.25">
      <c r="C116" s="216"/>
      <c r="F116" s="118"/>
      <c r="G116" s="118"/>
      <c r="H116" s="118"/>
      <c r="I116" s="219"/>
      <c r="J116" s="118"/>
      <c r="K116" s="118"/>
      <c r="L116" s="118"/>
      <c r="M116" s="118"/>
      <c r="N116" s="118"/>
      <c r="O116" s="118"/>
      <c r="P116" s="118"/>
      <c r="Q116" s="118"/>
    </row>
    <row r="117" spans="3:17" x14ac:dyDescent="0.25">
      <c r="C117" s="216"/>
      <c r="F117" s="118"/>
      <c r="G117" s="118"/>
      <c r="H117" s="118"/>
      <c r="I117" s="219"/>
      <c r="J117" s="118"/>
      <c r="K117" s="118"/>
      <c r="L117" s="118"/>
      <c r="M117" s="118"/>
      <c r="N117" s="118"/>
      <c r="O117" s="118"/>
      <c r="P117" s="118"/>
      <c r="Q117" s="118"/>
    </row>
    <row r="118" spans="3:17" x14ac:dyDescent="0.25">
      <c r="C118" s="216"/>
      <c r="F118" s="118"/>
      <c r="G118" s="118"/>
      <c r="H118" s="118"/>
      <c r="I118" s="219"/>
      <c r="J118" s="118"/>
      <c r="K118" s="118"/>
      <c r="L118" s="118"/>
      <c r="M118" s="118"/>
      <c r="N118" s="118"/>
      <c r="O118" s="118"/>
      <c r="P118" s="118"/>
      <c r="Q118" s="118"/>
    </row>
    <row r="119" spans="3:17" x14ac:dyDescent="0.25">
      <c r="C119" s="216"/>
      <c r="F119" s="118"/>
      <c r="G119" s="118"/>
      <c r="H119" s="118"/>
      <c r="I119" s="219"/>
      <c r="J119" s="118"/>
      <c r="K119" s="118"/>
      <c r="L119" s="118"/>
      <c r="M119" s="118"/>
      <c r="N119" s="118"/>
      <c r="O119" s="118"/>
      <c r="P119" s="118"/>
      <c r="Q119" s="118"/>
    </row>
    <row r="120" spans="3:17" x14ac:dyDescent="0.25">
      <c r="C120" s="216"/>
      <c r="F120" s="118"/>
      <c r="G120" s="118"/>
      <c r="H120" s="251"/>
      <c r="I120" s="219"/>
      <c r="J120" s="118"/>
      <c r="K120" s="118"/>
      <c r="L120" s="118"/>
      <c r="M120" s="118"/>
      <c r="N120" s="118"/>
      <c r="O120" s="118"/>
      <c r="P120" s="118"/>
      <c r="Q120" s="118"/>
    </row>
    <row r="121" spans="3:17" x14ac:dyDescent="0.25">
      <c r="F121" s="118"/>
      <c r="G121" s="118"/>
      <c r="H121" s="118"/>
      <c r="I121" s="219"/>
      <c r="J121" s="118"/>
      <c r="K121" s="118"/>
      <c r="L121" s="118"/>
      <c r="M121" s="118"/>
      <c r="N121" s="118"/>
      <c r="O121" s="118"/>
      <c r="P121" s="118"/>
      <c r="Q121" s="118"/>
    </row>
    <row r="122" spans="3:17" x14ac:dyDescent="0.25">
      <c r="F122" s="118"/>
      <c r="G122" s="118"/>
      <c r="H122" s="118"/>
      <c r="I122" s="219"/>
      <c r="J122" s="118"/>
      <c r="K122" s="118"/>
      <c r="L122" s="118"/>
      <c r="M122" s="118"/>
      <c r="N122" s="118"/>
      <c r="O122" s="118"/>
      <c r="P122" s="118"/>
      <c r="Q122" s="118"/>
    </row>
    <row r="123" spans="3:17" x14ac:dyDescent="0.25">
      <c r="F123" s="118"/>
      <c r="G123" s="118"/>
      <c r="H123" s="118"/>
      <c r="I123" s="219"/>
      <c r="J123" s="118"/>
      <c r="K123" s="118"/>
      <c r="L123" s="118"/>
      <c r="M123" s="118"/>
      <c r="N123" s="118"/>
      <c r="O123" s="118"/>
      <c r="P123" s="118"/>
      <c r="Q123" s="118"/>
    </row>
    <row r="124" spans="3:17" x14ac:dyDescent="0.25">
      <c r="F124" s="118"/>
      <c r="G124" s="118"/>
      <c r="H124" s="118"/>
      <c r="I124" s="219"/>
      <c r="J124" s="118"/>
      <c r="K124" s="118"/>
      <c r="L124" s="118"/>
      <c r="M124" s="118"/>
      <c r="N124" s="118"/>
      <c r="O124" s="118"/>
      <c r="P124" s="118"/>
      <c r="Q124" s="118"/>
    </row>
    <row r="125" spans="3:17" x14ac:dyDescent="0.25">
      <c r="F125" s="118"/>
      <c r="G125" s="118"/>
      <c r="H125" s="118"/>
      <c r="I125" s="219"/>
      <c r="J125" s="118"/>
      <c r="K125" s="118"/>
      <c r="L125" s="118"/>
      <c r="M125" s="118"/>
      <c r="N125" s="118"/>
      <c r="O125" s="118"/>
      <c r="P125" s="118"/>
      <c r="Q125" s="118"/>
    </row>
    <row r="126" spans="3:17" x14ac:dyDescent="0.25">
      <c r="F126" s="118"/>
      <c r="G126" s="118"/>
      <c r="H126" s="118"/>
      <c r="I126" s="219"/>
      <c r="J126" s="118"/>
      <c r="K126" s="118"/>
      <c r="L126" s="118"/>
      <c r="M126" s="118"/>
      <c r="N126" s="118"/>
      <c r="O126" s="118"/>
      <c r="P126" s="118"/>
      <c r="Q126" s="118"/>
    </row>
    <row r="127" spans="3:17" x14ac:dyDescent="0.25">
      <c r="F127" s="118"/>
      <c r="G127" s="118"/>
      <c r="H127" s="118"/>
      <c r="I127" s="219"/>
      <c r="J127" s="118"/>
      <c r="K127" s="118"/>
      <c r="L127" s="118"/>
      <c r="M127" s="118"/>
      <c r="N127" s="118"/>
      <c r="O127" s="118"/>
      <c r="P127" s="118"/>
      <c r="Q127" s="118"/>
    </row>
    <row r="128" spans="3:17" x14ac:dyDescent="0.25">
      <c r="F128" s="118"/>
      <c r="G128" s="118"/>
      <c r="H128" s="118"/>
      <c r="I128" s="219"/>
      <c r="J128" s="118"/>
      <c r="K128" s="118"/>
      <c r="L128" s="118"/>
      <c r="M128" s="118"/>
      <c r="N128" s="118"/>
      <c r="O128" s="118"/>
      <c r="P128" s="118"/>
      <c r="Q128" s="118"/>
    </row>
    <row r="129" spans="6:17" x14ac:dyDescent="0.25">
      <c r="F129" s="118"/>
      <c r="G129" s="118"/>
      <c r="H129" s="118"/>
      <c r="I129" s="219"/>
      <c r="J129" s="118"/>
      <c r="K129" s="118"/>
      <c r="L129" s="118"/>
      <c r="M129" s="118"/>
      <c r="N129" s="118"/>
      <c r="O129" s="118"/>
      <c r="P129" s="118"/>
      <c r="Q129" s="118"/>
    </row>
    <row r="130" spans="6:17" x14ac:dyDescent="0.25">
      <c r="F130" s="118"/>
      <c r="G130" s="118"/>
      <c r="H130" s="118"/>
      <c r="I130" s="219"/>
      <c r="J130" s="118"/>
      <c r="K130" s="118"/>
      <c r="L130" s="118"/>
      <c r="M130" s="118"/>
      <c r="N130" s="118"/>
      <c r="O130" s="118"/>
      <c r="P130" s="118"/>
      <c r="Q130" s="118"/>
    </row>
    <row r="131" spans="6:17" x14ac:dyDescent="0.25">
      <c r="F131" s="118"/>
      <c r="G131" s="118"/>
      <c r="H131" s="251"/>
      <c r="I131" s="219"/>
      <c r="J131" s="118"/>
      <c r="K131" s="118"/>
      <c r="L131" s="118"/>
      <c r="M131" s="118"/>
      <c r="N131" s="118"/>
      <c r="O131" s="118"/>
      <c r="P131" s="118"/>
      <c r="Q131" s="118"/>
    </row>
    <row r="132" spans="6:17" x14ac:dyDescent="0.25">
      <c r="F132" s="118"/>
      <c r="G132" s="118"/>
      <c r="H132" s="118"/>
      <c r="I132" s="219"/>
      <c r="J132" s="118"/>
      <c r="K132" s="118"/>
      <c r="L132" s="118"/>
      <c r="M132" s="118"/>
      <c r="N132" s="118"/>
      <c r="O132" s="118"/>
      <c r="P132" s="118"/>
      <c r="Q132" s="118"/>
    </row>
    <row r="133" spans="6:17" x14ac:dyDescent="0.25">
      <c r="F133" s="118"/>
      <c r="G133" s="118"/>
      <c r="H133" s="118"/>
      <c r="I133" s="219"/>
      <c r="J133" s="118"/>
      <c r="K133" s="118"/>
      <c r="L133" s="118"/>
      <c r="M133" s="118"/>
      <c r="N133" s="118"/>
      <c r="O133" s="118"/>
      <c r="P133" s="118"/>
      <c r="Q133" s="118"/>
    </row>
    <row r="134" spans="6:17" x14ac:dyDescent="0.25">
      <c r="F134" s="118"/>
      <c r="G134" s="118"/>
      <c r="H134" s="118"/>
      <c r="I134" s="219"/>
      <c r="J134" s="118"/>
      <c r="K134" s="118"/>
      <c r="L134" s="118"/>
      <c r="M134" s="118"/>
      <c r="N134" s="118"/>
      <c r="O134" s="118"/>
      <c r="P134" s="118"/>
      <c r="Q134" s="118"/>
    </row>
    <row r="135" spans="6:17" x14ac:dyDescent="0.25">
      <c r="F135" s="118"/>
      <c r="G135" s="118"/>
      <c r="H135" s="118"/>
      <c r="I135" s="219"/>
      <c r="J135" s="118"/>
      <c r="K135" s="118"/>
      <c r="L135" s="118"/>
      <c r="M135" s="118"/>
      <c r="N135" s="118"/>
      <c r="O135" s="118"/>
      <c r="P135" s="118"/>
      <c r="Q135" s="118"/>
    </row>
    <row r="136" spans="6:17" x14ac:dyDescent="0.25">
      <c r="F136" s="118"/>
      <c r="G136" s="118"/>
      <c r="H136" s="118"/>
      <c r="I136" s="219"/>
      <c r="J136" s="118"/>
      <c r="K136" s="118"/>
      <c r="L136" s="118"/>
      <c r="M136" s="118"/>
      <c r="N136" s="118"/>
      <c r="O136" s="118"/>
      <c r="P136" s="118"/>
      <c r="Q136" s="118"/>
    </row>
    <row r="137" spans="6:17" x14ac:dyDescent="0.25">
      <c r="F137" s="118"/>
      <c r="G137" s="118"/>
      <c r="H137" s="118"/>
      <c r="I137" s="219"/>
      <c r="J137" s="118"/>
      <c r="K137" s="118"/>
      <c r="L137" s="118"/>
      <c r="M137" s="118"/>
      <c r="N137" s="118"/>
      <c r="O137" s="118"/>
      <c r="P137" s="118"/>
      <c r="Q137" s="118"/>
    </row>
    <row r="138" spans="6:17" x14ac:dyDescent="0.25">
      <c r="F138" s="118"/>
      <c r="G138" s="118"/>
      <c r="H138" s="118"/>
      <c r="I138" s="219"/>
      <c r="J138" s="118"/>
      <c r="K138" s="118"/>
      <c r="L138" s="118"/>
      <c r="M138" s="118"/>
      <c r="N138" s="118"/>
      <c r="O138" s="118"/>
      <c r="P138" s="118"/>
      <c r="Q138" s="118"/>
    </row>
    <row r="139" spans="6:17" x14ac:dyDescent="0.25">
      <c r="F139" s="118"/>
      <c r="G139" s="118"/>
      <c r="H139" s="118"/>
      <c r="I139" s="219"/>
      <c r="J139" s="118"/>
      <c r="K139" s="118"/>
      <c r="L139" s="118"/>
      <c r="M139" s="118"/>
      <c r="N139" s="118"/>
      <c r="O139" s="118"/>
      <c r="P139" s="118"/>
      <c r="Q139" s="118"/>
    </row>
    <row r="140" spans="6:17" x14ac:dyDescent="0.25">
      <c r="F140" s="118"/>
      <c r="G140" s="118"/>
      <c r="H140" s="118"/>
      <c r="I140" s="219"/>
      <c r="J140" s="118"/>
      <c r="K140" s="118"/>
      <c r="L140" s="118"/>
      <c r="M140" s="118"/>
      <c r="N140" s="118"/>
      <c r="O140" s="118"/>
      <c r="P140" s="118"/>
      <c r="Q140" s="118"/>
    </row>
    <row r="141" spans="6:17" x14ac:dyDescent="0.25">
      <c r="F141" s="118"/>
      <c r="G141" s="118"/>
      <c r="H141" s="118"/>
      <c r="I141" s="219"/>
      <c r="J141" s="118"/>
      <c r="K141" s="118"/>
      <c r="L141" s="118"/>
      <c r="M141" s="118"/>
      <c r="N141" s="118"/>
      <c r="O141" s="118"/>
      <c r="P141" s="118"/>
      <c r="Q141" s="118"/>
    </row>
    <row r="142" spans="6:17" x14ac:dyDescent="0.25">
      <c r="F142" s="118"/>
      <c r="G142" s="118"/>
      <c r="H142" s="251"/>
      <c r="I142" s="219"/>
      <c r="J142" s="118"/>
      <c r="K142" s="118"/>
      <c r="L142" s="118"/>
      <c r="M142" s="118"/>
      <c r="N142" s="118"/>
      <c r="O142" s="118"/>
      <c r="P142" s="118"/>
      <c r="Q142" s="118"/>
    </row>
    <row r="143" spans="6:17" x14ac:dyDescent="0.25">
      <c r="F143" s="118"/>
      <c r="G143" s="118"/>
      <c r="H143" s="118"/>
      <c r="I143" s="219"/>
      <c r="J143" s="118"/>
      <c r="K143" s="118"/>
      <c r="L143" s="118"/>
      <c r="M143" s="118"/>
      <c r="N143" s="118"/>
      <c r="O143" s="118"/>
      <c r="P143" s="118"/>
      <c r="Q143" s="118"/>
    </row>
    <row r="144" spans="6:17" x14ac:dyDescent="0.25">
      <c r="F144" s="118"/>
      <c r="G144" s="118"/>
      <c r="H144" s="118"/>
      <c r="I144" s="219"/>
      <c r="J144" s="118"/>
      <c r="K144" s="118"/>
      <c r="L144" s="118"/>
      <c r="M144" s="118"/>
      <c r="N144" s="118"/>
      <c r="O144" s="118"/>
      <c r="P144" s="118"/>
      <c r="Q144" s="118"/>
    </row>
    <row r="145" spans="2:18" x14ac:dyDescent="0.25">
      <c r="F145" s="118"/>
      <c r="G145" s="118"/>
      <c r="H145" s="118"/>
      <c r="I145" s="219"/>
      <c r="J145" s="118"/>
      <c r="K145" s="118"/>
      <c r="L145" s="118"/>
      <c r="M145" s="118"/>
      <c r="N145" s="118"/>
      <c r="O145" s="118"/>
      <c r="P145" s="118"/>
    </row>
    <row r="146" spans="2:18" x14ac:dyDescent="0.25">
      <c r="F146" s="118"/>
      <c r="G146" s="118"/>
      <c r="H146" s="118"/>
      <c r="I146" s="219"/>
      <c r="J146" s="118"/>
      <c r="K146" s="118"/>
      <c r="L146" s="118"/>
      <c r="M146" s="118"/>
      <c r="N146" s="118"/>
      <c r="O146" s="118"/>
      <c r="P146" s="118"/>
      <c r="Q146" s="235"/>
      <c r="R146" s="235"/>
    </row>
    <row r="147" spans="2:18" x14ac:dyDescent="0.25">
      <c r="F147" s="118"/>
      <c r="G147" s="118"/>
      <c r="H147" s="118"/>
      <c r="I147" s="219"/>
      <c r="J147" s="118"/>
      <c r="K147" s="118"/>
      <c r="L147" s="118"/>
      <c r="M147" s="118"/>
      <c r="N147" s="118"/>
      <c r="O147" s="118"/>
      <c r="P147" s="118"/>
      <c r="Q147" s="236"/>
      <c r="R147" s="236"/>
    </row>
    <row r="148" spans="2:18" x14ac:dyDescent="0.25">
      <c r="F148" s="118"/>
      <c r="G148" s="118"/>
      <c r="H148" s="118"/>
      <c r="I148" s="118"/>
      <c r="J148" s="118"/>
      <c r="K148" s="118"/>
      <c r="L148" s="118"/>
      <c r="M148" s="118"/>
      <c r="N148" s="118"/>
      <c r="O148" s="118"/>
      <c r="P148" s="118"/>
      <c r="Q148" s="236"/>
      <c r="R148" s="236"/>
    </row>
    <row r="149" spans="2:18" x14ac:dyDescent="0.25">
      <c r="F149" s="118"/>
      <c r="G149" s="118"/>
      <c r="H149" s="118"/>
      <c r="I149" s="118"/>
      <c r="J149" s="118"/>
      <c r="K149" s="118"/>
      <c r="L149" s="118"/>
      <c r="M149" s="118"/>
      <c r="N149" s="118"/>
      <c r="O149" s="118"/>
      <c r="P149" s="118"/>
      <c r="Q149" s="118"/>
      <c r="R149" s="118"/>
    </row>
    <row r="150" spans="2:18" x14ac:dyDescent="0.25">
      <c r="F150" s="118"/>
      <c r="G150" s="118"/>
      <c r="Q150" s="118"/>
      <c r="R150" s="118"/>
    </row>
    <row r="151" spans="2:18" x14ac:dyDescent="0.25">
      <c r="E151" s="100"/>
      <c r="G151" s="124"/>
      <c r="H151" s="242"/>
      <c r="I151" s="242"/>
      <c r="J151" s="235"/>
      <c r="K151" s="235"/>
      <c r="L151" s="235"/>
      <c r="M151" s="235"/>
      <c r="N151" s="235"/>
      <c r="O151" s="235"/>
      <c r="P151" s="235"/>
      <c r="Q151" s="118"/>
      <c r="R151" s="118"/>
    </row>
    <row r="152" spans="2:18" x14ac:dyDescent="0.25">
      <c r="B152" s="274"/>
      <c r="C152" s="274"/>
      <c r="D152" s="274"/>
      <c r="E152" s="274"/>
      <c r="F152" s="242"/>
      <c r="G152" s="242"/>
      <c r="H152" s="236"/>
      <c r="I152" s="236"/>
      <c r="J152" s="236"/>
      <c r="K152" s="236"/>
      <c r="L152" s="236"/>
      <c r="M152" s="236"/>
      <c r="N152" s="236"/>
      <c r="O152" s="236"/>
      <c r="P152" s="236"/>
      <c r="Q152" s="118"/>
      <c r="R152" s="118"/>
    </row>
    <row r="153" spans="2:18" x14ac:dyDescent="0.25">
      <c r="B153" s="236"/>
      <c r="C153" s="236"/>
      <c r="D153" s="236"/>
      <c r="E153" s="236"/>
      <c r="F153" s="236"/>
      <c r="G153" s="236"/>
      <c r="H153" s="236"/>
      <c r="I153" s="236"/>
      <c r="J153" s="236"/>
      <c r="K153" s="236"/>
      <c r="L153" s="236"/>
      <c r="M153" s="236"/>
      <c r="N153" s="236"/>
      <c r="O153" s="236"/>
      <c r="P153" s="236"/>
      <c r="Q153" s="118"/>
      <c r="R153" s="118"/>
    </row>
    <row r="154" spans="2:18" x14ac:dyDescent="0.25">
      <c r="B154" s="238"/>
      <c r="C154" s="236"/>
      <c r="D154" s="236"/>
      <c r="E154" s="236"/>
      <c r="F154" s="236"/>
      <c r="G154" s="236"/>
      <c r="H154" s="118"/>
      <c r="I154" s="118"/>
      <c r="J154" s="219"/>
      <c r="K154" s="118"/>
      <c r="L154" s="118"/>
      <c r="M154" s="118"/>
      <c r="N154" s="118"/>
      <c r="O154" s="118"/>
      <c r="P154" s="118"/>
      <c r="Q154" s="118"/>
      <c r="R154" s="118"/>
    </row>
    <row r="155" spans="2:18" x14ac:dyDescent="0.25">
      <c r="F155" s="219"/>
      <c r="G155" s="118"/>
      <c r="H155" s="118"/>
      <c r="I155" s="118"/>
      <c r="J155" s="219"/>
      <c r="K155" s="118"/>
      <c r="L155" s="118"/>
      <c r="M155" s="118"/>
      <c r="N155" s="118"/>
      <c r="O155" s="118"/>
      <c r="P155" s="118"/>
      <c r="Q155" s="118"/>
      <c r="R155" s="118"/>
    </row>
    <row r="156" spans="2:18" x14ac:dyDescent="0.25">
      <c r="F156" s="219"/>
      <c r="G156" s="118"/>
      <c r="H156" s="118"/>
      <c r="I156" s="118"/>
      <c r="J156" s="219"/>
      <c r="K156" s="118"/>
      <c r="L156" s="118"/>
      <c r="M156" s="118"/>
      <c r="N156" s="118"/>
      <c r="O156" s="118"/>
      <c r="P156" s="118"/>
      <c r="Q156" s="118"/>
      <c r="R156" s="118"/>
    </row>
    <row r="157" spans="2:18" x14ac:dyDescent="0.25">
      <c r="C157" s="216"/>
      <c r="F157" s="219"/>
      <c r="G157" s="118"/>
      <c r="H157" s="118"/>
      <c r="I157" s="118"/>
      <c r="J157" s="219"/>
      <c r="K157" s="118"/>
      <c r="L157" s="118"/>
      <c r="M157" s="118"/>
      <c r="N157" s="118"/>
      <c r="O157" s="118"/>
      <c r="P157" s="118"/>
      <c r="Q157" s="118"/>
      <c r="R157" s="118"/>
    </row>
    <row r="158" spans="2:18" x14ac:dyDescent="0.25">
      <c r="C158" s="216"/>
      <c r="F158" s="219"/>
      <c r="G158" s="118"/>
      <c r="H158" s="118"/>
      <c r="I158" s="118"/>
      <c r="J158" s="219"/>
      <c r="K158" s="118"/>
      <c r="L158" s="118"/>
      <c r="M158" s="118"/>
      <c r="N158" s="118"/>
      <c r="O158" s="118"/>
      <c r="P158" s="118"/>
      <c r="Q158" s="118"/>
      <c r="R158" s="118"/>
    </row>
    <row r="159" spans="2:18" x14ac:dyDescent="0.25">
      <c r="C159" s="216"/>
      <c r="F159" s="219"/>
      <c r="G159" s="118"/>
      <c r="H159" s="118"/>
      <c r="I159" s="118"/>
      <c r="J159" s="219"/>
      <c r="K159" s="118"/>
      <c r="L159" s="118"/>
      <c r="M159" s="118"/>
      <c r="N159" s="118"/>
      <c r="O159" s="118"/>
      <c r="P159" s="118"/>
      <c r="Q159" s="118"/>
      <c r="R159" s="118"/>
    </row>
    <row r="160" spans="2:18" x14ac:dyDescent="0.25">
      <c r="C160" s="216"/>
      <c r="F160" s="219"/>
      <c r="G160" s="118"/>
      <c r="H160" s="118"/>
      <c r="I160" s="118"/>
      <c r="J160" s="219"/>
      <c r="K160" s="118"/>
      <c r="L160" s="118"/>
      <c r="M160" s="118"/>
      <c r="N160" s="118"/>
      <c r="O160" s="118"/>
      <c r="P160" s="118"/>
      <c r="Q160" s="118"/>
      <c r="R160" s="118"/>
    </row>
    <row r="161" spans="3:18" x14ac:dyDescent="0.25">
      <c r="C161" s="216"/>
      <c r="F161" s="219"/>
      <c r="G161" s="118"/>
      <c r="H161" s="118"/>
      <c r="I161" s="118"/>
      <c r="J161" s="219"/>
      <c r="K161" s="118"/>
      <c r="L161" s="118"/>
      <c r="M161" s="118"/>
      <c r="N161" s="118"/>
      <c r="O161" s="118"/>
      <c r="P161" s="118"/>
      <c r="Q161" s="118"/>
      <c r="R161" s="118"/>
    </row>
    <row r="162" spans="3:18" x14ac:dyDescent="0.25">
      <c r="C162" s="216"/>
      <c r="F162" s="219"/>
      <c r="G162" s="118"/>
      <c r="H162" s="118"/>
      <c r="I162" s="118"/>
      <c r="J162" s="219"/>
      <c r="K162" s="118"/>
      <c r="L162" s="118"/>
      <c r="M162" s="118"/>
      <c r="N162" s="118"/>
      <c r="O162" s="118"/>
      <c r="P162" s="118"/>
      <c r="Q162" s="118"/>
      <c r="R162" s="118"/>
    </row>
    <row r="163" spans="3:18" x14ac:dyDescent="0.25">
      <c r="C163" s="216"/>
      <c r="F163" s="219"/>
      <c r="G163" s="118"/>
      <c r="H163" s="118"/>
      <c r="I163" s="118"/>
      <c r="J163" s="219"/>
      <c r="K163" s="118"/>
      <c r="L163" s="118"/>
      <c r="M163" s="118"/>
      <c r="N163" s="118"/>
      <c r="O163" s="118"/>
      <c r="P163" s="118"/>
      <c r="Q163" s="118"/>
      <c r="R163" s="118"/>
    </row>
    <row r="164" spans="3:18" x14ac:dyDescent="0.25">
      <c r="C164" s="216"/>
      <c r="F164" s="219"/>
      <c r="G164" s="118"/>
      <c r="H164" s="118"/>
      <c r="I164" s="118"/>
      <c r="J164" s="118"/>
      <c r="K164" s="118"/>
      <c r="L164" s="118"/>
      <c r="M164" s="118"/>
      <c r="N164" s="118"/>
      <c r="O164" s="118"/>
      <c r="P164" s="118"/>
      <c r="Q164" s="118"/>
      <c r="R164" s="118"/>
    </row>
    <row r="165" spans="3:18" x14ac:dyDescent="0.25">
      <c r="C165" s="216"/>
      <c r="F165" s="219"/>
      <c r="G165" s="118"/>
      <c r="H165" s="118"/>
      <c r="I165" s="118"/>
      <c r="J165" s="219"/>
      <c r="K165" s="118"/>
      <c r="L165" s="118"/>
      <c r="M165" s="118"/>
      <c r="N165" s="118"/>
      <c r="O165" s="118"/>
      <c r="P165" s="118"/>
      <c r="Q165" s="118"/>
      <c r="R165" s="118"/>
    </row>
    <row r="166" spans="3:18" x14ac:dyDescent="0.25">
      <c r="F166" s="219"/>
      <c r="G166" s="118"/>
      <c r="H166" s="118"/>
      <c r="I166" s="118"/>
      <c r="J166" s="219"/>
      <c r="K166" s="118"/>
      <c r="L166" s="118"/>
      <c r="M166" s="118"/>
      <c r="N166" s="118"/>
      <c r="O166" s="118"/>
      <c r="P166" s="118"/>
      <c r="Q166" s="118"/>
      <c r="R166" s="118"/>
    </row>
    <row r="167" spans="3:18" x14ac:dyDescent="0.25">
      <c r="F167" s="219"/>
      <c r="G167" s="118"/>
      <c r="H167" s="118"/>
      <c r="I167" s="118"/>
      <c r="J167" s="219"/>
      <c r="K167" s="118"/>
      <c r="L167" s="118"/>
      <c r="M167" s="118"/>
      <c r="N167" s="118"/>
      <c r="O167" s="118"/>
      <c r="P167" s="118"/>
      <c r="Q167" s="118"/>
      <c r="R167" s="118"/>
    </row>
    <row r="168" spans="3:18" x14ac:dyDescent="0.25">
      <c r="F168" s="219"/>
      <c r="G168" s="118"/>
      <c r="H168" s="118"/>
      <c r="I168" s="118"/>
      <c r="J168" s="219"/>
      <c r="K168" s="118"/>
      <c r="L168" s="118"/>
      <c r="M168" s="118"/>
      <c r="N168" s="118"/>
      <c r="O168" s="118"/>
      <c r="P168" s="118"/>
      <c r="Q168" s="118"/>
      <c r="R168" s="118"/>
    </row>
    <row r="169" spans="3:18" x14ac:dyDescent="0.25">
      <c r="F169" s="219"/>
      <c r="G169" s="118"/>
      <c r="H169" s="118"/>
      <c r="I169" s="118"/>
      <c r="J169" s="219"/>
      <c r="K169" s="118"/>
      <c r="L169" s="118"/>
      <c r="M169" s="118"/>
      <c r="N169" s="118"/>
      <c r="O169" s="118"/>
      <c r="P169" s="118"/>
      <c r="Q169" s="118"/>
      <c r="R169" s="118"/>
    </row>
    <row r="170" spans="3:18" x14ac:dyDescent="0.25">
      <c r="F170" s="219"/>
      <c r="G170" s="118"/>
      <c r="H170" s="118"/>
      <c r="I170" s="118"/>
      <c r="J170" s="219"/>
      <c r="K170" s="118"/>
      <c r="L170" s="118"/>
      <c r="M170" s="118"/>
      <c r="N170" s="118"/>
      <c r="O170" s="118"/>
      <c r="P170" s="118"/>
      <c r="Q170" s="118"/>
      <c r="R170" s="118"/>
    </row>
    <row r="171" spans="3:18" x14ac:dyDescent="0.25">
      <c r="F171" s="219"/>
      <c r="G171" s="118"/>
      <c r="H171" s="118"/>
      <c r="I171" s="118"/>
      <c r="J171" s="219"/>
      <c r="K171" s="118"/>
      <c r="L171" s="118"/>
      <c r="M171" s="118"/>
      <c r="N171" s="118"/>
      <c r="O171" s="118"/>
      <c r="P171" s="118"/>
      <c r="Q171" s="118"/>
      <c r="R171" s="118"/>
    </row>
    <row r="172" spans="3:18" x14ac:dyDescent="0.25">
      <c r="F172" s="219"/>
      <c r="G172" s="118"/>
      <c r="H172" s="118"/>
      <c r="I172" s="118"/>
      <c r="J172" s="219"/>
      <c r="K172" s="118"/>
      <c r="L172" s="118"/>
      <c r="M172" s="118"/>
      <c r="N172" s="118"/>
      <c r="O172" s="118"/>
      <c r="P172" s="118"/>
      <c r="Q172" s="118"/>
      <c r="R172" s="118"/>
    </row>
    <row r="173" spans="3:18" x14ac:dyDescent="0.25">
      <c r="F173" s="219"/>
      <c r="G173" s="118"/>
      <c r="H173" s="118"/>
      <c r="I173" s="118"/>
      <c r="J173" s="219"/>
      <c r="K173" s="118"/>
      <c r="L173" s="118"/>
      <c r="M173" s="118"/>
      <c r="N173" s="118"/>
      <c r="O173" s="118"/>
      <c r="P173" s="118"/>
      <c r="Q173" s="118"/>
      <c r="R173" s="118"/>
    </row>
    <row r="174" spans="3:18" x14ac:dyDescent="0.25">
      <c r="F174" s="219"/>
      <c r="G174" s="118"/>
      <c r="H174" s="118"/>
      <c r="I174" s="118"/>
      <c r="J174" s="219"/>
      <c r="K174" s="118"/>
      <c r="L174" s="118"/>
      <c r="M174" s="118"/>
      <c r="N174" s="118"/>
      <c r="O174" s="118"/>
      <c r="P174" s="118"/>
      <c r="Q174" s="118"/>
      <c r="R174" s="118"/>
    </row>
    <row r="175" spans="3:18" x14ac:dyDescent="0.25">
      <c r="F175" s="219"/>
      <c r="G175" s="118"/>
      <c r="H175" s="118"/>
      <c r="I175" s="118"/>
      <c r="J175" s="118"/>
      <c r="K175" s="118"/>
      <c r="L175" s="118"/>
      <c r="M175" s="118"/>
      <c r="N175" s="118"/>
      <c r="O175" s="118"/>
      <c r="P175" s="118"/>
      <c r="Q175" s="118"/>
      <c r="R175" s="118"/>
    </row>
    <row r="176" spans="3:18" x14ac:dyDescent="0.25">
      <c r="F176" s="219"/>
      <c r="G176" s="118"/>
      <c r="H176" s="118"/>
      <c r="I176" s="118"/>
      <c r="J176" s="219"/>
      <c r="K176" s="118"/>
      <c r="L176" s="118"/>
      <c r="M176" s="118"/>
      <c r="N176" s="118"/>
      <c r="O176" s="118"/>
      <c r="P176" s="118"/>
      <c r="Q176" s="118"/>
      <c r="R176" s="118"/>
    </row>
    <row r="177" spans="6:18" x14ac:dyDescent="0.25">
      <c r="F177" s="219"/>
      <c r="G177" s="118"/>
      <c r="H177" s="118"/>
      <c r="I177" s="118"/>
      <c r="J177" s="219"/>
      <c r="K177" s="118"/>
      <c r="L177" s="118"/>
      <c r="M177" s="118"/>
      <c r="N177" s="118"/>
      <c r="O177" s="118"/>
      <c r="P177" s="118"/>
      <c r="Q177" s="118"/>
      <c r="R177" s="118"/>
    </row>
    <row r="178" spans="6:18" x14ac:dyDescent="0.25">
      <c r="F178" s="219"/>
      <c r="G178" s="118"/>
      <c r="H178" s="118"/>
      <c r="I178" s="118"/>
      <c r="J178" s="219"/>
      <c r="K178" s="118"/>
      <c r="L178" s="118"/>
      <c r="M178" s="118"/>
      <c r="N178" s="118"/>
      <c r="O178" s="118"/>
      <c r="P178" s="118"/>
      <c r="Q178" s="118"/>
      <c r="R178" s="118"/>
    </row>
    <row r="179" spans="6:18" x14ac:dyDescent="0.25">
      <c r="F179" s="219"/>
      <c r="G179" s="118"/>
      <c r="H179" s="118"/>
      <c r="I179" s="118"/>
      <c r="J179" s="219"/>
      <c r="K179" s="118"/>
      <c r="L179" s="118"/>
      <c r="M179" s="118"/>
      <c r="N179" s="118"/>
      <c r="O179" s="118"/>
      <c r="P179" s="118"/>
      <c r="Q179" s="118"/>
      <c r="R179" s="118"/>
    </row>
    <row r="180" spans="6:18" x14ac:dyDescent="0.25">
      <c r="F180" s="118"/>
      <c r="G180" s="219"/>
      <c r="H180" s="219"/>
      <c r="I180" s="118"/>
      <c r="J180" s="118"/>
      <c r="K180" s="118"/>
      <c r="L180" s="118"/>
      <c r="M180" s="118"/>
      <c r="N180" s="118"/>
      <c r="O180" s="118"/>
      <c r="P180" s="118"/>
      <c r="Q180" s="118"/>
      <c r="R180" s="118"/>
    </row>
    <row r="181" spans="6:18" x14ac:dyDescent="0.25">
      <c r="F181" s="118"/>
      <c r="G181" s="219"/>
      <c r="H181" s="219"/>
      <c r="I181" s="118"/>
      <c r="J181" s="118"/>
      <c r="K181" s="118"/>
      <c r="L181" s="118"/>
      <c r="M181" s="118"/>
      <c r="N181" s="118"/>
      <c r="O181" s="118"/>
      <c r="P181" s="118"/>
      <c r="Q181" s="118"/>
      <c r="R181" s="118"/>
    </row>
    <row r="182" spans="6:18" x14ac:dyDescent="0.25">
      <c r="F182" s="118"/>
      <c r="G182" s="219"/>
      <c r="H182" s="219"/>
      <c r="I182" s="118"/>
      <c r="J182" s="118"/>
      <c r="K182" s="118"/>
      <c r="L182" s="118"/>
      <c r="M182" s="118"/>
      <c r="N182" s="118"/>
      <c r="O182" s="118"/>
      <c r="P182" s="118"/>
      <c r="Q182" s="118"/>
      <c r="R182" s="118"/>
    </row>
    <row r="183" spans="6:18" x14ac:dyDescent="0.25">
      <c r="F183" s="118"/>
      <c r="G183" s="219"/>
      <c r="H183" s="219"/>
      <c r="I183" s="118"/>
      <c r="J183" s="118"/>
      <c r="K183" s="118"/>
      <c r="L183" s="118"/>
      <c r="M183" s="118"/>
      <c r="N183" s="118"/>
      <c r="O183" s="118"/>
      <c r="P183" s="118"/>
      <c r="Q183" s="118"/>
      <c r="R183" s="118"/>
    </row>
    <row r="184" spans="6:18" x14ac:dyDescent="0.25">
      <c r="F184" s="118"/>
      <c r="G184" s="219"/>
      <c r="H184" s="219"/>
      <c r="I184" s="118"/>
      <c r="J184" s="118"/>
      <c r="K184" s="118"/>
      <c r="L184" s="118"/>
      <c r="M184" s="118"/>
      <c r="N184" s="118"/>
      <c r="O184" s="118"/>
      <c r="P184" s="118"/>
      <c r="Q184" s="118"/>
      <c r="R184" s="118"/>
    </row>
    <row r="185" spans="6:18" x14ac:dyDescent="0.25">
      <c r="F185" s="118"/>
      <c r="G185" s="219"/>
      <c r="H185" s="219"/>
      <c r="I185" s="118"/>
      <c r="J185" s="118"/>
      <c r="K185" s="118"/>
      <c r="L185" s="118"/>
      <c r="M185" s="118"/>
      <c r="N185" s="118"/>
      <c r="O185" s="118"/>
      <c r="P185" s="118"/>
      <c r="Q185" s="118"/>
      <c r="R185" s="118"/>
    </row>
    <row r="186" spans="6:18" x14ac:dyDescent="0.25">
      <c r="F186" s="118"/>
      <c r="G186" s="219"/>
      <c r="H186" s="219"/>
      <c r="I186" s="118"/>
      <c r="J186" s="118"/>
      <c r="K186" s="118"/>
      <c r="L186" s="118"/>
      <c r="M186" s="118"/>
      <c r="N186" s="118"/>
      <c r="O186" s="118"/>
      <c r="P186" s="118"/>
      <c r="Q186" s="118"/>
      <c r="R186" s="118"/>
    </row>
    <row r="187" spans="6:18" x14ac:dyDescent="0.25">
      <c r="F187" s="118"/>
      <c r="G187" s="219"/>
      <c r="H187" s="219"/>
      <c r="I187" s="118"/>
      <c r="J187" s="118"/>
      <c r="K187" s="118"/>
      <c r="L187" s="118"/>
      <c r="M187" s="118"/>
      <c r="N187" s="118"/>
      <c r="O187" s="118"/>
      <c r="P187" s="118"/>
      <c r="Q187" s="118"/>
      <c r="R187" s="118"/>
    </row>
    <row r="188" spans="6:18" x14ac:dyDescent="0.25">
      <c r="F188" s="234"/>
      <c r="G188" s="219"/>
      <c r="H188" s="219"/>
      <c r="I188" s="118"/>
      <c r="J188" s="118"/>
      <c r="K188" s="118"/>
      <c r="L188" s="118"/>
      <c r="M188" s="118"/>
      <c r="N188" s="118"/>
      <c r="O188" s="118"/>
      <c r="P188" s="118"/>
      <c r="Q188" s="118"/>
      <c r="R188" s="118"/>
    </row>
    <row r="189" spans="6:18" x14ac:dyDescent="0.25">
      <c r="F189" s="118"/>
      <c r="G189" s="219"/>
      <c r="H189" s="219"/>
      <c r="I189" s="118"/>
      <c r="J189" s="118"/>
      <c r="K189" s="118"/>
      <c r="L189" s="118"/>
      <c r="M189" s="118"/>
      <c r="N189" s="118"/>
      <c r="O189" s="118"/>
      <c r="P189" s="118"/>
      <c r="Q189" s="118"/>
      <c r="R189" s="118"/>
    </row>
    <row r="190" spans="6:18" x14ac:dyDescent="0.25">
      <c r="F190" s="118"/>
      <c r="G190" s="219"/>
      <c r="H190" s="219"/>
      <c r="I190" s="118"/>
      <c r="J190" s="118"/>
      <c r="K190" s="118"/>
      <c r="L190" s="118"/>
      <c r="M190" s="118"/>
      <c r="N190" s="118"/>
      <c r="O190" s="118"/>
      <c r="P190" s="118"/>
      <c r="Q190" s="118"/>
      <c r="R190" s="118"/>
    </row>
    <row r="191" spans="6:18" x14ac:dyDescent="0.25">
      <c r="F191" s="118"/>
      <c r="G191" s="219"/>
      <c r="H191" s="219"/>
      <c r="I191" s="118"/>
      <c r="J191" s="118"/>
      <c r="K191" s="118"/>
      <c r="L191" s="118"/>
      <c r="M191" s="118"/>
      <c r="N191" s="118"/>
      <c r="O191" s="118"/>
      <c r="P191" s="118"/>
      <c r="Q191" s="118"/>
      <c r="R191" s="118"/>
    </row>
    <row r="192" spans="6:18" x14ac:dyDescent="0.25">
      <c r="F192" s="118"/>
      <c r="G192" s="219"/>
      <c r="H192" s="219"/>
      <c r="I192" s="118"/>
      <c r="J192" s="118"/>
      <c r="K192" s="118"/>
      <c r="L192" s="118"/>
      <c r="M192" s="118"/>
      <c r="N192" s="118"/>
      <c r="O192" s="118"/>
      <c r="P192" s="118"/>
      <c r="Q192" s="118"/>
      <c r="R192" s="118"/>
    </row>
    <row r="193" spans="6:18" x14ac:dyDescent="0.25">
      <c r="F193" s="118"/>
      <c r="G193" s="219"/>
      <c r="H193" s="219"/>
      <c r="I193" s="118"/>
      <c r="J193" s="118"/>
      <c r="K193" s="118"/>
      <c r="L193" s="118"/>
      <c r="M193" s="118"/>
      <c r="N193" s="118"/>
      <c r="O193" s="118"/>
      <c r="P193" s="118"/>
      <c r="Q193" s="118"/>
      <c r="R193" s="118"/>
    </row>
    <row r="194" spans="6:18" x14ac:dyDescent="0.25">
      <c r="F194" s="118"/>
      <c r="G194" s="219"/>
      <c r="H194" s="219"/>
      <c r="I194" s="118"/>
      <c r="J194" s="118"/>
      <c r="K194" s="118"/>
      <c r="L194" s="118"/>
      <c r="M194" s="118"/>
      <c r="N194" s="118"/>
      <c r="O194" s="118"/>
      <c r="P194" s="118"/>
      <c r="Q194" s="118"/>
      <c r="R194" s="118"/>
    </row>
    <row r="195" spans="6:18" x14ac:dyDescent="0.25">
      <c r="F195" s="118"/>
      <c r="G195" s="219"/>
      <c r="H195" s="219"/>
      <c r="I195" s="118"/>
      <c r="J195" s="118"/>
      <c r="K195" s="118"/>
      <c r="L195" s="118"/>
      <c r="M195" s="118"/>
      <c r="N195" s="118"/>
      <c r="O195" s="118"/>
      <c r="P195" s="118"/>
      <c r="Q195" s="118"/>
      <c r="R195" s="118"/>
    </row>
    <row r="196" spans="6:18" x14ac:dyDescent="0.25">
      <c r="F196" s="118"/>
      <c r="G196" s="219"/>
      <c r="H196" s="219"/>
      <c r="I196" s="118"/>
      <c r="J196" s="118"/>
      <c r="K196" s="118"/>
      <c r="L196" s="118"/>
      <c r="M196" s="118"/>
      <c r="N196" s="118"/>
      <c r="O196" s="118"/>
      <c r="P196" s="118"/>
      <c r="Q196" s="118"/>
      <c r="R196" s="118"/>
    </row>
    <row r="197" spans="6:18" x14ac:dyDescent="0.25">
      <c r="F197" s="118"/>
      <c r="G197" s="219"/>
      <c r="H197" s="219"/>
      <c r="I197" s="118"/>
      <c r="J197" s="118"/>
      <c r="K197" s="118"/>
      <c r="L197" s="118"/>
      <c r="M197" s="118"/>
      <c r="N197" s="118"/>
      <c r="O197" s="118"/>
      <c r="P197" s="118"/>
      <c r="Q197" s="118"/>
      <c r="R197" s="118"/>
    </row>
    <row r="198" spans="6:18" x14ac:dyDescent="0.25">
      <c r="F198" s="118"/>
      <c r="G198" s="219"/>
      <c r="H198" s="219"/>
      <c r="I198" s="118"/>
      <c r="J198" s="118"/>
      <c r="K198" s="118"/>
      <c r="L198" s="118"/>
      <c r="M198" s="118"/>
      <c r="N198" s="118"/>
      <c r="O198" s="118"/>
      <c r="P198" s="118"/>
      <c r="Q198" s="118"/>
      <c r="R198" s="118"/>
    </row>
    <row r="199" spans="6:18" x14ac:dyDescent="0.25">
      <c r="F199" s="118"/>
      <c r="G199" s="219"/>
      <c r="H199" s="219"/>
      <c r="I199" s="118"/>
      <c r="J199" s="118"/>
      <c r="K199" s="118"/>
      <c r="L199" s="118"/>
      <c r="M199" s="118"/>
      <c r="N199" s="118"/>
      <c r="O199" s="118"/>
      <c r="P199" s="118"/>
      <c r="Q199" s="118"/>
      <c r="R199" s="118"/>
    </row>
    <row r="200" spans="6:18" x14ac:dyDescent="0.25">
      <c r="F200" s="118"/>
      <c r="G200" s="219"/>
      <c r="H200" s="219"/>
      <c r="I200" s="118"/>
      <c r="J200" s="118"/>
      <c r="K200" s="118"/>
      <c r="L200" s="118"/>
      <c r="M200" s="118"/>
      <c r="N200" s="118"/>
      <c r="O200" s="118"/>
      <c r="P200" s="118"/>
      <c r="Q200" s="118"/>
      <c r="R200" s="118"/>
    </row>
    <row r="201" spans="6:18" x14ac:dyDescent="0.25">
      <c r="F201" s="118"/>
      <c r="G201" s="219"/>
      <c r="H201" s="219"/>
      <c r="I201" s="118"/>
      <c r="J201" s="118"/>
      <c r="K201" s="118"/>
      <c r="L201" s="118"/>
      <c r="M201" s="118"/>
      <c r="N201" s="118"/>
      <c r="O201" s="118"/>
      <c r="P201" s="118"/>
    </row>
    <row r="202" spans="6:18" x14ac:dyDescent="0.25">
      <c r="F202" s="118"/>
      <c r="G202" s="219"/>
      <c r="H202" s="219"/>
      <c r="I202" s="118"/>
      <c r="J202" s="118"/>
      <c r="K202" s="118"/>
      <c r="L202" s="118"/>
      <c r="M202" s="118"/>
      <c r="N202" s="118"/>
      <c r="O202" s="118"/>
      <c r="P202" s="118"/>
    </row>
    <row r="203" spans="6:18" x14ac:dyDescent="0.25">
      <c r="F203" s="118"/>
      <c r="G203" s="219"/>
      <c r="H203" s="219"/>
      <c r="I203" s="118"/>
      <c r="J203" s="118"/>
      <c r="K203" s="118"/>
      <c r="L203" s="118"/>
      <c r="M203" s="118"/>
      <c r="N203" s="118"/>
      <c r="O203" s="118"/>
      <c r="P203" s="118"/>
    </row>
    <row r="204" spans="6:18" x14ac:dyDescent="0.25">
      <c r="F204" s="118"/>
      <c r="G204" s="219"/>
      <c r="H204" s="219"/>
      <c r="I204" s="118"/>
      <c r="J204" s="118"/>
      <c r="K204" s="118"/>
      <c r="L204" s="118"/>
      <c r="M204" s="118"/>
      <c r="N204" s="118"/>
      <c r="O204" s="118"/>
      <c r="P204" s="118"/>
    </row>
    <row r="205" spans="6:18" x14ac:dyDescent="0.25">
      <c r="F205" s="118"/>
      <c r="G205" s="219"/>
      <c r="H205" s="219"/>
      <c r="I205" s="118"/>
      <c r="J205" s="118"/>
      <c r="K205" s="118"/>
      <c r="L205" s="118"/>
      <c r="M205" s="118"/>
      <c r="N205" s="118"/>
      <c r="O205" s="118"/>
      <c r="P205" s="118"/>
    </row>
    <row r="206" spans="6:18" x14ac:dyDescent="0.25">
      <c r="F206" s="118"/>
      <c r="G206" s="219"/>
      <c r="H206" s="219"/>
      <c r="I206" s="118"/>
    </row>
  </sheetData>
  <pageMargins left="0.7" right="0.7" top="0.75" bottom="0.75" header="0.3" footer="0.3"/>
  <pageSetup orientation="portrait" horizontalDpi="4294967292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C28"/>
  <sheetViews>
    <sheetView topLeftCell="C1" zoomScale="70" zoomScaleNormal="70" workbookViewId="0">
      <selection activeCell="C1" sqref="A1:XFD1048576"/>
    </sheetView>
  </sheetViews>
  <sheetFormatPr defaultColWidth="13.44140625" defaultRowHeight="13.8" x14ac:dyDescent="0.25"/>
  <cols>
    <col min="1" max="1" width="5" style="99" bestFit="1" customWidth="1"/>
    <col min="2" max="2" width="72.5546875" style="99" bestFit="1" customWidth="1"/>
    <col min="3" max="3" width="12" style="99" bestFit="1" customWidth="1"/>
    <col min="4" max="5" width="18" style="99" customWidth="1"/>
    <col min="6" max="6" width="27.88671875" style="99" bestFit="1" customWidth="1"/>
    <col min="7" max="7" width="17.44140625" style="99" customWidth="1"/>
    <col min="8" max="21" width="18" style="99" customWidth="1"/>
    <col min="22" max="22" width="13.44140625" style="104" customWidth="1"/>
    <col min="23" max="23" width="13.44140625" style="104"/>
    <col min="24" max="25" width="17.5546875" style="104" customWidth="1"/>
    <col min="26" max="27" width="16.6640625" style="104" customWidth="1"/>
    <col min="28" max="28" width="16.44140625" style="104" customWidth="1"/>
    <col min="29" max="29" width="13.44140625" style="104"/>
    <col min="30" max="16384" width="13.44140625" style="99"/>
  </cols>
  <sheetData>
    <row r="1" spans="1:29" s="296" customFormat="1" x14ac:dyDescent="0.25">
      <c r="A1" s="108"/>
      <c r="B1" s="108" t="s">
        <v>604</v>
      </c>
      <c r="C1" s="99"/>
      <c r="E1" s="99"/>
    </row>
    <row r="2" spans="1:29" s="296" customFormat="1" x14ac:dyDescent="0.25">
      <c r="A2" s="108"/>
      <c r="B2" s="108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</row>
    <row r="3" spans="1:29" s="296" customFormat="1" ht="19.5" customHeight="1" x14ac:dyDescent="0.25">
      <c r="A3" s="108"/>
      <c r="B3" s="108"/>
      <c r="C3" s="99"/>
      <c r="D3" s="297"/>
      <c r="E3" s="297"/>
      <c r="F3" s="297"/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7"/>
      <c r="R3" s="297"/>
      <c r="S3" s="297"/>
      <c r="T3" s="297"/>
      <c r="U3" s="297"/>
      <c r="X3" s="298"/>
    </row>
    <row r="4" spans="1:29" s="301" customFormat="1" ht="31.5" customHeight="1" thickBot="1" x14ac:dyDescent="0.3">
      <c r="A4" s="108"/>
      <c r="B4" s="299" t="s">
        <v>270</v>
      </c>
      <c r="C4" s="299"/>
      <c r="D4" s="135" t="s">
        <v>625</v>
      </c>
      <c r="E4" s="135" t="s">
        <v>626</v>
      </c>
      <c r="F4" s="135" t="s">
        <v>155</v>
      </c>
      <c r="G4" s="135" t="s">
        <v>57</v>
      </c>
      <c r="H4" s="135" t="s">
        <v>156</v>
      </c>
      <c r="I4" s="135" t="s">
        <v>163</v>
      </c>
      <c r="J4" s="135" t="s">
        <v>164</v>
      </c>
      <c r="K4" s="135" t="s">
        <v>168</v>
      </c>
      <c r="L4" s="135" t="s">
        <v>169</v>
      </c>
      <c r="M4" s="135" t="s">
        <v>65</v>
      </c>
      <c r="N4" s="135" t="s">
        <v>172</v>
      </c>
      <c r="O4" s="135" t="s">
        <v>174</v>
      </c>
      <c r="P4" s="135" t="s">
        <v>176</v>
      </c>
      <c r="Q4" s="135" t="s">
        <v>182</v>
      </c>
      <c r="R4" s="135" t="s">
        <v>94</v>
      </c>
      <c r="S4" s="135" t="s">
        <v>183</v>
      </c>
      <c r="T4" s="135" t="s">
        <v>189</v>
      </c>
      <c r="U4" s="135" t="s">
        <v>190</v>
      </c>
      <c r="V4" s="318"/>
      <c r="W4" s="300"/>
      <c r="X4" s="215"/>
      <c r="Y4" s="138"/>
      <c r="Z4" s="215"/>
      <c r="AA4" s="138"/>
      <c r="AB4" s="215"/>
      <c r="AC4" s="138"/>
    </row>
    <row r="5" spans="1:29" s="296" customFormat="1" x14ac:dyDescent="0.25">
      <c r="A5" s="108"/>
      <c r="B5" s="302" t="s">
        <v>216</v>
      </c>
      <c r="C5" s="303"/>
      <c r="D5" s="304">
        <f>'En.Bal-Final_Energy'!L15/1000*41.868</f>
        <v>0</v>
      </c>
      <c r="E5" s="304"/>
      <c r="F5" s="304">
        <f>'En.Bal-Final_Energy'!N15/1000*41.868</f>
        <v>0</v>
      </c>
      <c r="G5" s="304">
        <f>'En.Bal-Final_Energy'!O14/1000*41.868</f>
        <v>0</v>
      </c>
      <c r="H5" s="304"/>
      <c r="I5" s="304">
        <f>'En.Bal-Final_Energy'!Y15/1000*41.868</f>
        <v>0</v>
      </c>
      <c r="J5" s="304">
        <f>'En.Bal-Final_Energy'!Z14/1000*41.868</f>
        <v>0</v>
      </c>
      <c r="K5" s="304">
        <f>'En.Bal-Final_Energy'!AF15/1000*41.868</f>
        <v>0</v>
      </c>
      <c r="L5" s="304">
        <f>'En.Bal-Final_Energy'!AG14/1000*41.868</f>
        <v>0</v>
      </c>
      <c r="M5" s="304">
        <f>'En.Bal-Final_Energy'!W15/1000*41.868</f>
        <v>0</v>
      </c>
      <c r="N5" s="304"/>
      <c r="O5" s="304">
        <f>('En.Bal-Final_Energy'!AO15+'En.Bal-Final_Energy'!AN15)/1000*41.868</f>
        <v>6.2801999999999998</v>
      </c>
      <c r="P5" s="304">
        <f>'En.Bal-Final_Energy'!AQ15/1000*41.868</f>
        <v>0</v>
      </c>
      <c r="Q5" s="304"/>
      <c r="R5" s="304"/>
      <c r="S5" s="304"/>
      <c r="T5" s="304">
        <f>'En.Bal-Final_Energy'!BD15/1000*41.868</f>
        <v>0</v>
      </c>
      <c r="U5" s="304">
        <f>'En.Bal-Final_Energy'!BE15/1000*41.868</f>
        <v>0.8373600000000001</v>
      </c>
      <c r="V5" s="305">
        <f>SUM(D5:U5)</f>
        <v>7.1175600000000001</v>
      </c>
      <c r="W5" s="306">
        <f>'En.Bal-Final_Energy'!BG15</f>
        <v>13.397760000000002</v>
      </c>
      <c r="X5" s="307"/>
      <c r="Y5" s="281"/>
      <c r="Z5" s="307"/>
      <c r="AA5" s="281"/>
      <c r="AB5" s="307"/>
      <c r="AC5" s="281"/>
    </row>
    <row r="6" spans="1:29" ht="14.4" thickBot="1" x14ac:dyDescent="0.3">
      <c r="A6" s="108">
        <v>1</v>
      </c>
      <c r="D6" s="308" t="str">
        <f>Commodities!D46</f>
        <v>INDCOABIC</v>
      </c>
      <c r="E6" s="308" t="str">
        <f>Commodities!D47</f>
        <v>INDCOASUB</v>
      </c>
      <c r="F6" s="308" t="str">
        <f>Commodities!D48</f>
        <v>INDCOABCO</v>
      </c>
      <c r="G6" s="308" t="str">
        <f>Commodities!D49</f>
        <v>INDCOACOC</v>
      </c>
      <c r="H6" s="308" t="str">
        <f>Commodities!D51</f>
        <v>INDCOABKB</v>
      </c>
      <c r="I6" s="308" t="str">
        <f>Commodities!D54</f>
        <v>INDOILLPG</v>
      </c>
      <c r="J6" s="308" t="str">
        <f>Commodities!D53</f>
        <v>INDOILGSL</v>
      </c>
      <c r="K6" s="308" t="str">
        <f>Commodities!D52</f>
        <v>INDOILDSL</v>
      </c>
      <c r="L6" s="308" t="str">
        <f>Commodities!D56</f>
        <v>INDOILHFO</v>
      </c>
      <c r="M6" s="308" t="str">
        <f>IND_Fuels!$F$23</f>
        <v>INDOILRFG</v>
      </c>
      <c r="N6" s="308" t="str">
        <f>Commodities!D60</f>
        <v>INDOILOTH</v>
      </c>
      <c r="O6" s="308" t="str">
        <f>Commodities!D61</f>
        <v>INDGASNAT</v>
      </c>
      <c r="P6" s="308" t="str">
        <f>Commodities!D62</f>
        <v>INDGASBFG</v>
      </c>
      <c r="Q6" s="308" t="str">
        <f>Commodities!D63</f>
        <v>INDBIOLOG</v>
      </c>
      <c r="R6" s="308" t="str">
        <f>Commodities!D71</f>
        <v>INDBIOCHR</v>
      </c>
      <c r="S6" s="308" t="str">
        <f>Commodities!D69</f>
        <v>INDBIOBGS</v>
      </c>
      <c r="T6" s="308" t="str">
        <f>PCH_Techs!E18</f>
        <v>INDPCHHTH</v>
      </c>
      <c r="U6" s="308" t="str">
        <f>Commodities!D77</f>
        <v>INDELC</v>
      </c>
    </row>
    <row r="7" spans="1:29" x14ac:dyDescent="0.25">
      <c r="A7" s="99">
        <f>A6+1</f>
        <v>2</v>
      </c>
      <c r="V7" s="99"/>
      <c r="W7" s="99"/>
      <c r="X7" s="122"/>
    </row>
    <row r="8" spans="1:29" x14ac:dyDescent="0.25">
      <c r="A8" s="99">
        <f t="shared" ref="A8:A28" si="0">A7+1</f>
        <v>3</v>
      </c>
      <c r="X8" s="122"/>
      <c r="Y8" s="122"/>
      <c r="Z8" s="122"/>
      <c r="AA8" s="296"/>
      <c r="AB8" s="296"/>
    </row>
    <row r="9" spans="1:29" x14ac:dyDescent="0.25">
      <c r="A9" s="99">
        <f t="shared" si="0"/>
        <v>4</v>
      </c>
      <c r="B9" s="130" t="s">
        <v>272</v>
      </c>
      <c r="C9" s="299"/>
      <c r="D9" s="299"/>
      <c r="E9" s="299"/>
      <c r="F9" s="299"/>
      <c r="G9" s="299"/>
      <c r="H9" s="299"/>
      <c r="I9" s="299"/>
      <c r="J9" s="299"/>
      <c r="K9" s="299"/>
      <c r="L9" s="299"/>
      <c r="M9" s="299"/>
      <c r="N9" s="299"/>
      <c r="O9" s="299"/>
      <c r="P9" s="299"/>
      <c r="Q9" s="299"/>
      <c r="R9" s="299"/>
      <c r="S9" s="299"/>
      <c r="T9" s="299"/>
      <c r="U9" s="299"/>
      <c r="X9" s="319"/>
      <c r="Y9" s="320"/>
      <c r="Z9" s="321"/>
      <c r="AA9" s="321"/>
      <c r="AB9" s="321"/>
    </row>
    <row r="10" spans="1:29" ht="14.4" thickBot="1" x14ac:dyDescent="0.3">
      <c r="A10" s="99">
        <f t="shared" si="0"/>
        <v>5</v>
      </c>
      <c r="B10" s="135" t="s">
        <v>273</v>
      </c>
      <c r="C10" s="135"/>
      <c r="D10" s="135" t="str">
        <f>D4</f>
        <v>Bituminous coal</v>
      </c>
      <c r="E10" s="135" t="str">
        <f>E4</f>
        <v>Sub-bituminous coal</v>
      </c>
      <c r="F10" s="135" t="str">
        <f>F4</f>
        <v>Lignite / Brown Coal</v>
      </c>
      <c r="G10" s="135"/>
      <c r="H10" s="135" t="str">
        <f t="shared" ref="H10:O10" si="1">H4</f>
        <v>BKB</v>
      </c>
      <c r="I10" s="135" t="str">
        <f t="shared" si="1"/>
        <v>LPG</v>
      </c>
      <c r="J10" s="135" t="str">
        <f t="shared" si="1"/>
        <v>Motor Gasoline (w/o bio)</v>
      </c>
      <c r="K10" s="135" t="str">
        <f t="shared" si="1"/>
        <v>Gas/Diesel Oil (w/o bio)</v>
      </c>
      <c r="L10" s="135" t="str">
        <f t="shared" si="1"/>
        <v>Fuel Oil</v>
      </c>
      <c r="M10" s="135" t="str">
        <f t="shared" si="1"/>
        <v>Refinery gas</v>
      </c>
      <c r="N10" s="135" t="str">
        <f t="shared" si="1"/>
        <v>Other Products</v>
      </c>
      <c r="O10" s="135" t="str">
        <f t="shared" si="1"/>
        <v>Natural gas</v>
      </c>
      <c r="P10" s="135"/>
      <c r="Q10" s="135" t="str">
        <f>Q4</f>
        <v>Solid biomass</v>
      </c>
      <c r="R10" s="135" t="str">
        <f>R4</f>
        <v>Charcoal</v>
      </c>
      <c r="S10" s="135" t="str">
        <f>S4</f>
        <v>Biogas (all)</v>
      </c>
      <c r="T10" s="135"/>
      <c r="U10" s="135" t="str">
        <f>U4</f>
        <v>Electricity</v>
      </c>
    </row>
    <row r="11" spans="1:29" x14ac:dyDescent="0.25">
      <c r="A11" s="99">
        <f t="shared" si="0"/>
        <v>6</v>
      </c>
      <c r="B11" s="303" t="s">
        <v>412</v>
      </c>
      <c r="C11" s="303" t="str">
        <f>Commodities!Y17</f>
        <v>INDFER</v>
      </c>
      <c r="D11" s="322">
        <v>0.2</v>
      </c>
      <c r="E11" s="322">
        <v>0.2</v>
      </c>
      <c r="F11" s="322">
        <v>0.2</v>
      </c>
      <c r="G11" s="322">
        <v>0.2</v>
      </c>
      <c r="H11" s="322">
        <v>0.2</v>
      </c>
      <c r="I11" s="322">
        <v>0.2</v>
      </c>
      <c r="J11" s="322">
        <v>0.2</v>
      </c>
      <c r="K11" s="322">
        <v>0.2</v>
      </c>
      <c r="L11" s="322">
        <v>0.2</v>
      </c>
      <c r="M11" s="322">
        <v>0.2</v>
      </c>
      <c r="N11" s="322">
        <v>0.2</v>
      </c>
      <c r="O11" s="322"/>
      <c r="P11" s="322">
        <v>0.2</v>
      </c>
      <c r="Q11" s="322">
        <v>0.2</v>
      </c>
      <c r="R11" s="322">
        <v>0.2</v>
      </c>
      <c r="S11" s="322">
        <v>0.2</v>
      </c>
      <c r="T11" s="322">
        <v>0.2</v>
      </c>
      <c r="U11" s="322">
        <v>0</v>
      </c>
    </row>
    <row r="12" spans="1:29" x14ac:dyDescent="0.25">
      <c r="A12" s="99">
        <f t="shared" si="0"/>
        <v>7</v>
      </c>
      <c r="B12" s="306" t="s">
        <v>413</v>
      </c>
      <c r="C12" s="303" t="str">
        <f>Commodities!Y18</f>
        <v>INDPCH</v>
      </c>
      <c r="D12" s="322">
        <v>0.2</v>
      </c>
      <c r="E12" s="322">
        <v>0.2</v>
      </c>
      <c r="F12" s="322">
        <v>0.2</v>
      </c>
      <c r="G12" s="322">
        <v>0.2</v>
      </c>
      <c r="H12" s="322">
        <v>0.2</v>
      </c>
      <c r="I12" s="322">
        <v>0.2</v>
      </c>
      <c r="J12" s="322">
        <v>0.2</v>
      </c>
      <c r="K12" s="322">
        <v>0.2</v>
      </c>
      <c r="L12" s="322">
        <v>0.2</v>
      </c>
      <c r="M12" s="322">
        <v>0.2</v>
      </c>
      <c r="N12" s="322">
        <v>0.2</v>
      </c>
      <c r="O12" s="322">
        <v>1</v>
      </c>
      <c r="P12" s="322">
        <v>0.2</v>
      </c>
      <c r="Q12" s="322">
        <v>0.2</v>
      </c>
      <c r="R12" s="322">
        <v>0.2</v>
      </c>
      <c r="S12" s="322">
        <v>0.2</v>
      </c>
      <c r="T12" s="322">
        <v>0.2</v>
      </c>
      <c r="U12" s="322">
        <v>1</v>
      </c>
    </row>
    <row r="13" spans="1:29" x14ac:dyDescent="0.25">
      <c r="A13" s="99">
        <f t="shared" si="0"/>
        <v>8</v>
      </c>
      <c r="B13" s="306" t="s">
        <v>414</v>
      </c>
      <c r="C13" s="303" t="str">
        <f>Commodities!Y19</f>
        <v>INDACH</v>
      </c>
      <c r="D13" s="322">
        <v>0.2</v>
      </c>
      <c r="E13" s="322">
        <v>0.2</v>
      </c>
      <c r="F13" s="322">
        <v>0.2</v>
      </c>
      <c r="G13" s="322">
        <v>0.2</v>
      </c>
      <c r="H13" s="322">
        <v>0.2</v>
      </c>
      <c r="I13" s="322">
        <v>0.2</v>
      </c>
      <c r="J13" s="322">
        <v>0.2</v>
      </c>
      <c r="K13" s="322">
        <v>0.2</v>
      </c>
      <c r="L13" s="322">
        <v>0.2</v>
      </c>
      <c r="M13" s="322">
        <v>0.2</v>
      </c>
      <c r="N13" s="322">
        <v>0.2</v>
      </c>
      <c r="O13" s="322"/>
      <c r="P13" s="322">
        <v>0.2</v>
      </c>
      <c r="Q13" s="322">
        <v>0.2</v>
      </c>
      <c r="R13" s="322">
        <v>0.2</v>
      </c>
      <c r="S13" s="322">
        <v>0.2</v>
      </c>
      <c r="T13" s="322">
        <v>0.2</v>
      </c>
      <c r="U13" s="322">
        <v>0</v>
      </c>
    </row>
    <row r="14" spans="1:29" x14ac:dyDescent="0.25">
      <c r="A14" s="99">
        <f t="shared" si="0"/>
        <v>9</v>
      </c>
      <c r="B14" s="306" t="s">
        <v>415</v>
      </c>
      <c r="C14" s="303" t="str">
        <f>Commodities!Y20</f>
        <v>INDOCH</v>
      </c>
      <c r="D14" s="322">
        <v>0.4</v>
      </c>
      <c r="E14" s="322">
        <v>0.4</v>
      </c>
      <c r="F14" s="322">
        <v>0.4</v>
      </c>
      <c r="G14" s="322">
        <v>0.4</v>
      </c>
      <c r="H14" s="322">
        <v>0.4</v>
      </c>
      <c r="I14" s="322">
        <v>0.4</v>
      </c>
      <c r="J14" s="322">
        <v>0.4</v>
      </c>
      <c r="K14" s="322">
        <v>0.4</v>
      </c>
      <c r="L14" s="322">
        <v>0.4</v>
      </c>
      <c r="M14" s="322">
        <v>0.4</v>
      </c>
      <c r="N14" s="322">
        <v>0.4</v>
      </c>
      <c r="O14" s="322"/>
      <c r="P14" s="322">
        <v>0.4</v>
      </c>
      <c r="Q14" s="322">
        <v>0.4</v>
      </c>
      <c r="R14" s="322">
        <v>0.4</v>
      </c>
      <c r="S14" s="322">
        <v>0.4</v>
      </c>
      <c r="T14" s="322">
        <v>0.4</v>
      </c>
      <c r="U14" s="322">
        <v>0</v>
      </c>
    </row>
    <row r="15" spans="1:29" x14ac:dyDescent="0.25">
      <c r="A15" s="99">
        <f t="shared" si="0"/>
        <v>10</v>
      </c>
      <c r="B15" s="99" t="str">
        <f>PCH_Techs!D80</f>
        <v xml:space="preserve">Boilers </v>
      </c>
      <c r="C15" s="306"/>
      <c r="D15" s="323"/>
      <c r="E15" s="323"/>
      <c r="F15" s="323"/>
      <c r="G15" s="323"/>
      <c r="H15" s="323"/>
      <c r="I15" s="323"/>
      <c r="J15" s="323"/>
      <c r="K15" s="323"/>
      <c r="L15" s="323"/>
      <c r="M15" s="323"/>
      <c r="N15" s="323"/>
      <c r="O15" s="323"/>
      <c r="P15" s="323"/>
      <c r="Q15" s="323"/>
      <c r="R15" s="323"/>
      <c r="S15" s="323"/>
      <c r="T15" s="323"/>
      <c r="U15" s="323"/>
    </row>
    <row r="16" spans="1:29" x14ac:dyDescent="0.25">
      <c r="A16" s="99">
        <f t="shared" si="0"/>
        <v>11</v>
      </c>
      <c r="B16" s="99" t="str">
        <f>PCH_Techs!D99</f>
        <v xml:space="preserve">onsite CHP </v>
      </c>
      <c r="C16" s="306"/>
      <c r="D16" s="323"/>
      <c r="E16" s="323"/>
      <c r="F16" s="323"/>
      <c r="G16" s="323"/>
      <c r="H16" s="323"/>
      <c r="I16" s="323"/>
      <c r="J16" s="323"/>
      <c r="K16" s="323"/>
      <c r="L16" s="323"/>
      <c r="M16" s="323"/>
      <c r="N16" s="323"/>
      <c r="O16" s="323"/>
      <c r="P16" s="323"/>
      <c r="Q16" s="323"/>
      <c r="R16" s="323"/>
      <c r="S16" s="323"/>
      <c r="T16" s="323"/>
      <c r="U16" s="323"/>
    </row>
    <row r="17" spans="1:22" x14ac:dyDescent="0.25">
      <c r="A17" s="99">
        <f t="shared" si="0"/>
        <v>12</v>
      </c>
      <c r="B17" s="324" t="s">
        <v>271</v>
      </c>
      <c r="C17" s="296"/>
      <c r="D17" s="325">
        <f>IF(SUM(D11:D14)&lt;&gt;1,"ERR: " &amp;  SUM(D11:D14),SUM(D11:D14))</f>
        <v>1</v>
      </c>
      <c r="E17" s="325">
        <f t="shared" ref="E17:U17" si="2">IF(SUM(E11:E14)&lt;&gt;1,"ERR: " &amp;  SUM(E11:E14),SUM(E11:E14))</f>
        <v>1</v>
      </c>
      <c r="F17" s="325">
        <f t="shared" si="2"/>
        <v>1</v>
      </c>
      <c r="G17" s="325">
        <f t="shared" si="2"/>
        <v>1</v>
      </c>
      <c r="H17" s="325">
        <f t="shared" si="2"/>
        <v>1</v>
      </c>
      <c r="I17" s="325">
        <f t="shared" si="2"/>
        <v>1</v>
      </c>
      <c r="J17" s="325">
        <f t="shared" si="2"/>
        <v>1</v>
      </c>
      <c r="K17" s="325">
        <f t="shared" si="2"/>
        <v>1</v>
      </c>
      <c r="L17" s="325">
        <f t="shared" si="2"/>
        <v>1</v>
      </c>
      <c r="M17" s="325">
        <f t="shared" si="2"/>
        <v>1</v>
      </c>
      <c r="N17" s="325">
        <f t="shared" si="2"/>
        <v>1</v>
      </c>
      <c r="O17" s="325">
        <f t="shared" si="2"/>
        <v>1</v>
      </c>
      <c r="P17" s="325">
        <f t="shared" si="2"/>
        <v>1</v>
      </c>
      <c r="Q17" s="325">
        <f t="shared" si="2"/>
        <v>1</v>
      </c>
      <c r="R17" s="325">
        <f t="shared" si="2"/>
        <v>1</v>
      </c>
      <c r="S17" s="325">
        <f t="shared" si="2"/>
        <v>1</v>
      </c>
      <c r="T17" s="325">
        <f t="shared" si="2"/>
        <v>1</v>
      </c>
      <c r="U17" s="325">
        <f t="shared" si="2"/>
        <v>1</v>
      </c>
    </row>
    <row r="18" spans="1:22" x14ac:dyDescent="0.25">
      <c r="A18" s="99">
        <f t="shared" si="0"/>
        <v>13</v>
      </c>
    </row>
    <row r="19" spans="1:22" x14ac:dyDescent="0.25">
      <c r="A19" s="99">
        <f t="shared" si="0"/>
        <v>14</v>
      </c>
    </row>
    <row r="20" spans="1:22" x14ac:dyDescent="0.25">
      <c r="A20" s="99">
        <f t="shared" si="0"/>
        <v>15</v>
      </c>
      <c r="B20" s="130" t="s">
        <v>274</v>
      </c>
      <c r="C20" s="299"/>
      <c r="D20" s="299"/>
      <c r="E20" s="299"/>
      <c r="F20" s="299"/>
      <c r="G20" s="299"/>
      <c r="H20" s="299"/>
      <c r="I20" s="299"/>
      <c r="J20" s="299"/>
      <c r="K20" s="299"/>
      <c r="L20" s="299"/>
      <c r="M20" s="299"/>
      <c r="N20" s="299"/>
      <c r="O20" s="299"/>
      <c r="P20" s="299"/>
      <c r="Q20" s="299"/>
      <c r="R20" s="299"/>
      <c r="S20" s="299"/>
      <c r="T20" s="299"/>
      <c r="U20" s="299"/>
      <c r="V20" s="326"/>
    </row>
    <row r="21" spans="1:22" ht="14.4" thickBot="1" x14ac:dyDescent="0.3">
      <c r="A21" s="99">
        <f t="shared" si="0"/>
        <v>16</v>
      </c>
      <c r="B21" s="102"/>
      <c r="C21" s="135"/>
      <c r="D21" s="135" t="str">
        <f t="shared" ref="D21:U21" si="3">D$6</f>
        <v>INDCOABIC</v>
      </c>
      <c r="E21" s="135" t="str">
        <f t="shared" si="3"/>
        <v>INDCOASUB</v>
      </c>
      <c r="F21" s="135" t="str">
        <f t="shared" si="3"/>
        <v>INDCOABCO</v>
      </c>
      <c r="G21" s="135" t="str">
        <f t="shared" si="3"/>
        <v>INDCOACOC</v>
      </c>
      <c r="H21" s="135" t="str">
        <f t="shared" si="3"/>
        <v>INDCOABKB</v>
      </c>
      <c r="I21" s="135" t="str">
        <f t="shared" si="3"/>
        <v>INDOILLPG</v>
      </c>
      <c r="J21" s="135" t="str">
        <f t="shared" si="3"/>
        <v>INDOILGSL</v>
      </c>
      <c r="K21" s="135" t="str">
        <f t="shared" si="3"/>
        <v>INDOILDSL</v>
      </c>
      <c r="L21" s="135" t="str">
        <f t="shared" si="3"/>
        <v>INDOILHFO</v>
      </c>
      <c r="M21" s="135" t="str">
        <f t="shared" si="3"/>
        <v>INDOILRFG</v>
      </c>
      <c r="N21" s="135" t="str">
        <f t="shared" si="3"/>
        <v>INDOILOTH</v>
      </c>
      <c r="O21" s="135" t="str">
        <f t="shared" si="3"/>
        <v>INDGASNAT</v>
      </c>
      <c r="P21" s="135" t="str">
        <f t="shared" si="3"/>
        <v>INDGASBFG</v>
      </c>
      <c r="Q21" s="135" t="str">
        <f t="shared" si="3"/>
        <v>INDBIOLOG</v>
      </c>
      <c r="R21" s="135" t="str">
        <f t="shared" si="3"/>
        <v>INDBIOCHR</v>
      </c>
      <c r="S21" s="135" t="str">
        <f t="shared" si="3"/>
        <v>INDBIOBGS</v>
      </c>
      <c r="T21" s="135" t="str">
        <f t="shared" si="3"/>
        <v>INDPCHHTH</v>
      </c>
      <c r="U21" s="135" t="str">
        <f t="shared" si="3"/>
        <v>INDELC</v>
      </c>
      <c r="V21" s="215"/>
    </row>
    <row r="22" spans="1:22" x14ac:dyDescent="0.25">
      <c r="A22" s="99">
        <f t="shared" si="0"/>
        <v>17</v>
      </c>
      <c r="B22" s="303" t="str">
        <f>B11</f>
        <v>Fertilizers</v>
      </c>
      <c r="C22" s="303" t="str">
        <f>C11</f>
        <v>INDFER</v>
      </c>
      <c r="D22" s="304">
        <f>D11*D5</f>
        <v>0</v>
      </c>
      <c r="E22" s="304">
        <f t="shared" ref="E22:U22" si="4">E11*E5</f>
        <v>0</v>
      </c>
      <c r="F22" s="304">
        <f t="shared" si="4"/>
        <v>0</v>
      </c>
      <c r="G22" s="304">
        <f t="shared" si="4"/>
        <v>0</v>
      </c>
      <c r="H22" s="304">
        <f t="shared" si="4"/>
        <v>0</v>
      </c>
      <c r="I22" s="304">
        <f t="shared" si="4"/>
        <v>0</v>
      </c>
      <c r="J22" s="304">
        <f t="shared" si="4"/>
        <v>0</v>
      </c>
      <c r="K22" s="304">
        <f t="shared" si="4"/>
        <v>0</v>
      </c>
      <c r="L22" s="304">
        <f t="shared" si="4"/>
        <v>0</v>
      </c>
      <c r="M22" s="304">
        <f t="shared" si="4"/>
        <v>0</v>
      </c>
      <c r="N22" s="304">
        <f t="shared" si="4"/>
        <v>0</v>
      </c>
      <c r="O22" s="304">
        <f t="shared" si="4"/>
        <v>0</v>
      </c>
      <c r="P22" s="304">
        <f t="shared" si="4"/>
        <v>0</v>
      </c>
      <c r="Q22" s="304">
        <f t="shared" si="4"/>
        <v>0</v>
      </c>
      <c r="R22" s="304">
        <f t="shared" si="4"/>
        <v>0</v>
      </c>
      <c r="S22" s="304">
        <f t="shared" si="4"/>
        <v>0</v>
      </c>
      <c r="T22" s="304">
        <f t="shared" si="4"/>
        <v>0</v>
      </c>
      <c r="U22" s="304">
        <f t="shared" si="4"/>
        <v>0</v>
      </c>
      <c r="V22" s="305">
        <f>SUM(D22:U22)</f>
        <v>0</v>
      </c>
    </row>
    <row r="23" spans="1:22" ht="14.4" thickBot="1" x14ac:dyDescent="0.3">
      <c r="A23" s="99">
        <f t="shared" si="0"/>
        <v>18</v>
      </c>
      <c r="B23" s="102"/>
      <c r="C23" s="135"/>
      <c r="D23" s="135" t="str">
        <f t="shared" ref="D23:U23" si="5">D$6</f>
        <v>INDCOABIC</v>
      </c>
      <c r="E23" s="135" t="str">
        <f t="shared" si="5"/>
        <v>INDCOASUB</v>
      </c>
      <c r="F23" s="135" t="str">
        <f t="shared" si="5"/>
        <v>INDCOABCO</v>
      </c>
      <c r="G23" s="135" t="str">
        <f t="shared" si="5"/>
        <v>INDCOACOC</v>
      </c>
      <c r="H23" s="135" t="str">
        <f t="shared" si="5"/>
        <v>INDCOABKB</v>
      </c>
      <c r="I23" s="135" t="str">
        <f t="shared" si="5"/>
        <v>INDOILLPG</v>
      </c>
      <c r="J23" s="135" t="str">
        <f t="shared" si="5"/>
        <v>INDOILGSL</v>
      </c>
      <c r="K23" s="135" t="str">
        <f t="shared" si="5"/>
        <v>INDOILDSL</v>
      </c>
      <c r="L23" s="135" t="str">
        <f t="shared" si="5"/>
        <v>INDOILHFO</v>
      </c>
      <c r="M23" s="135" t="str">
        <f t="shared" si="5"/>
        <v>INDOILRFG</v>
      </c>
      <c r="N23" s="135" t="str">
        <f t="shared" si="5"/>
        <v>INDOILOTH</v>
      </c>
      <c r="O23" s="135" t="str">
        <f t="shared" si="5"/>
        <v>INDGASNAT</v>
      </c>
      <c r="P23" s="135" t="str">
        <f t="shared" si="5"/>
        <v>INDGASBFG</v>
      </c>
      <c r="Q23" s="135" t="str">
        <f t="shared" si="5"/>
        <v>INDBIOLOG</v>
      </c>
      <c r="R23" s="135" t="str">
        <f t="shared" si="5"/>
        <v>INDBIOCHR</v>
      </c>
      <c r="S23" s="135" t="str">
        <f t="shared" si="5"/>
        <v>INDBIOBGS</v>
      </c>
      <c r="T23" s="135" t="str">
        <f t="shared" si="5"/>
        <v>INDPCHHTH</v>
      </c>
      <c r="U23" s="135" t="str">
        <f t="shared" si="5"/>
        <v>INDELC</v>
      </c>
    </row>
    <row r="24" spans="1:22" x14ac:dyDescent="0.25">
      <c r="A24" s="99">
        <f t="shared" si="0"/>
        <v>19</v>
      </c>
      <c r="B24" s="303" t="str">
        <f>B12</f>
        <v>Petrochemicals</v>
      </c>
      <c r="C24" s="303" t="str">
        <f>C12</f>
        <v>INDPCH</v>
      </c>
      <c r="D24" s="304">
        <f>D12*D5</f>
        <v>0</v>
      </c>
      <c r="E24" s="304">
        <f t="shared" ref="E24:U24" si="6">E12*E5</f>
        <v>0</v>
      </c>
      <c r="F24" s="304">
        <f t="shared" si="6"/>
        <v>0</v>
      </c>
      <c r="G24" s="304">
        <f t="shared" si="6"/>
        <v>0</v>
      </c>
      <c r="H24" s="304">
        <f t="shared" si="6"/>
        <v>0</v>
      </c>
      <c r="I24" s="304">
        <f t="shared" si="6"/>
        <v>0</v>
      </c>
      <c r="J24" s="304">
        <f t="shared" si="6"/>
        <v>0</v>
      </c>
      <c r="K24" s="304">
        <f t="shared" si="6"/>
        <v>0</v>
      </c>
      <c r="L24" s="304">
        <f t="shared" si="6"/>
        <v>0</v>
      </c>
      <c r="M24" s="304">
        <f t="shared" si="6"/>
        <v>0</v>
      </c>
      <c r="N24" s="304">
        <f t="shared" si="6"/>
        <v>0</v>
      </c>
      <c r="O24" s="304">
        <f t="shared" si="6"/>
        <v>6.2801999999999998</v>
      </c>
      <c r="P24" s="304">
        <f t="shared" si="6"/>
        <v>0</v>
      </c>
      <c r="Q24" s="304">
        <f t="shared" si="6"/>
        <v>0</v>
      </c>
      <c r="R24" s="304">
        <f t="shared" si="6"/>
        <v>0</v>
      </c>
      <c r="S24" s="304">
        <f t="shared" si="6"/>
        <v>0</v>
      </c>
      <c r="T24" s="304">
        <f t="shared" si="6"/>
        <v>0</v>
      </c>
      <c r="U24" s="304">
        <f t="shared" si="6"/>
        <v>0.8373600000000001</v>
      </c>
      <c r="V24" s="305">
        <f>SUM(D24:U24)</f>
        <v>7.1175600000000001</v>
      </c>
    </row>
    <row r="25" spans="1:22" ht="14.4" thickBot="1" x14ac:dyDescent="0.3">
      <c r="A25" s="99">
        <f t="shared" si="0"/>
        <v>20</v>
      </c>
      <c r="B25" s="102"/>
      <c r="C25" s="135"/>
      <c r="D25" s="135" t="str">
        <f t="shared" ref="D25:U25" si="7">D$6</f>
        <v>INDCOABIC</v>
      </c>
      <c r="E25" s="135" t="str">
        <f t="shared" si="7"/>
        <v>INDCOASUB</v>
      </c>
      <c r="F25" s="135" t="str">
        <f t="shared" si="7"/>
        <v>INDCOABCO</v>
      </c>
      <c r="G25" s="135" t="str">
        <f t="shared" si="7"/>
        <v>INDCOACOC</v>
      </c>
      <c r="H25" s="135" t="str">
        <f t="shared" si="7"/>
        <v>INDCOABKB</v>
      </c>
      <c r="I25" s="135" t="str">
        <f t="shared" si="7"/>
        <v>INDOILLPG</v>
      </c>
      <c r="J25" s="135" t="str">
        <f t="shared" si="7"/>
        <v>INDOILGSL</v>
      </c>
      <c r="K25" s="135" t="str">
        <f t="shared" si="7"/>
        <v>INDOILDSL</v>
      </c>
      <c r="L25" s="135" t="str">
        <f t="shared" si="7"/>
        <v>INDOILHFO</v>
      </c>
      <c r="M25" s="135" t="str">
        <f t="shared" si="7"/>
        <v>INDOILRFG</v>
      </c>
      <c r="N25" s="135" t="str">
        <f t="shared" si="7"/>
        <v>INDOILOTH</v>
      </c>
      <c r="O25" s="135" t="str">
        <f t="shared" si="7"/>
        <v>INDGASNAT</v>
      </c>
      <c r="P25" s="135" t="str">
        <f t="shared" si="7"/>
        <v>INDGASBFG</v>
      </c>
      <c r="Q25" s="135" t="str">
        <f t="shared" si="7"/>
        <v>INDBIOLOG</v>
      </c>
      <c r="R25" s="135" t="str">
        <f t="shared" si="7"/>
        <v>INDBIOCHR</v>
      </c>
      <c r="S25" s="135" t="str">
        <f t="shared" si="7"/>
        <v>INDBIOBGS</v>
      </c>
      <c r="T25" s="135" t="str">
        <f t="shared" si="7"/>
        <v>INDPCHHTH</v>
      </c>
      <c r="U25" s="135" t="str">
        <f t="shared" si="7"/>
        <v>INDELC</v>
      </c>
    </row>
    <row r="26" spans="1:22" x14ac:dyDescent="0.25">
      <c r="A26" s="99">
        <f t="shared" si="0"/>
        <v>21</v>
      </c>
      <c r="B26" s="303" t="str">
        <f>B13</f>
        <v>Other Agriculture Chemicals</v>
      </c>
      <c r="C26" s="303" t="str">
        <f>C13</f>
        <v>INDACH</v>
      </c>
      <c r="D26" s="304">
        <f>D13*D5</f>
        <v>0</v>
      </c>
      <c r="E26" s="304">
        <f t="shared" ref="E26:U26" si="8">E13*E5</f>
        <v>0</v>
      </c>
      <c r="F26" s="304">
        <f t="shared" si="8"/>
        <v>0</v>
      </c>
      <c r="G26" s="304">
        <f t="shared" si="8"/>
        <v>0</v>
      </c>
      <c r="H26" s="304">
        <f t="shared" si="8"/>
        <v>0</v>
      </c>
      <c r="I26" s="304">
        <f t="shared" si="8"/>
        <v>0</v>
      </c>
      <c r="J26" s="304">
        <f t="shared" si="8"/>
        <v>0</v>
      </c>
      <c r="K26" s="304">
        <f t="shared" si="8"/>
        <v>0</v>
      </c>
      <c r="L26" s="304">
        <f t="shared" si="8"/>
        <v>0</v>
      </c>
      <c r="M26" s="304">
        <f t="shared" si="8"/>
        <v>0</v>
      </c>
      <c r="N26" s="304">
        <f t="shared" si="8"/>
        <v>0</v>
      </c>
      <c r="O26" s="304">
        <f t="shared" si="8"/>
        <v>0</v>
      </c>
      <c r="P26" s="304">
        <f t="shared" si="8"/>
        <v>0</v>
      </c>
      <c r="Q26" s="304">
        <f t="shared" si="8"/>
        <v>0</v>
      </c>
      <c r="R26" s="304">
        <f t="shared" si="8"/>
        <v>0</v>
      </c>
      <c r="S26" s="304">
        <f t="shared" si="8"/>
        <v>0</v>
      </c>
      <c r="T26" s="304">
        <f t="shared" si="8"/>
        <v>0</v>
      </c>
      <c r="U26" s="304">
        <f t="shared" si="8"/>
        <v>0</v>
      </c>
      <c r="V26" s="305">
        <f>SUM(D26:U26)</f>
        <v>0</v>
      </c>
    </row>
    <row r="27" spans="1:22" ht="14.4" thickBot="1" x14ac:dyDescent="0.3">
      <c r="A27" s="99">
        <f t="shared" si="0"/>
        <v>22</v>
      </c>
      <c r="B27" s="102"/>
      <c r="C27" s="135"/>
      <c r="D27" s="135" t="str">
        <f t="shared" ref="D27:U27" si="9">D$6</f>
        <v>INDCOABIC</v>
      </c>
      <c r="E27" s="135" t="str">
        <f t="shared" si="9"/>
        <v>INDCOASUB</v>
      </c>
      <c r="F27" s="135" t="str">
        <f t="shared" si="9"/>
        <v>INDCOABCO</v>
      </c>
      <c r="G27" s="135" t="str">
        <f t="shared" si="9"/>
        <v>INDCOACOC</v>
      </c>
      <c r="H27" s="135" t="str">
        <f t="shared" si="9"/>
        <v>INDCOABKB</v>
      </c>
      <c r="I27" s="135" t="str">
        <f t="shared" si="9"/>
        <v>INDOILLPG</v>
      </c>
      <c r="J27" s="135" t="str">
        <f t="shared" si="9"/>
        <v>INDOILGSL</v>
      </c>
      <c r="K27" s="135" t="str">
        <f t="shared" si="9"/>
        <v>INDOILDSL</v>
      </c>
      <c r="L27" s="135" t="str">
        <f t="shared" si="9"/>
        <v>INDOILHFO</v>
      </c>
      <c r="M27" s="135" t="str">
        <f t="shared" si="9"/>
        <v>INDOILRFG</v>
      </c>
      <c r="N27" s="135" t="str">
        <f t="shared" si="9"/>
        <v>INDOILOTH</v>
      </c>
      <c r="O27" s="135" t="str">
        <f t="shared" si="9"/>
        <v>INDGASNAT</v>
      </c>
      <c r="P27" s="135" t="str">
        <f t="shared" si="9"/>
        <v>INDGASBFG</v>
      </c>
      <c r="Q27" s="135" t="str">
        <f t="shared" si="9"/>
        <v>INDBIOLOG</v>
      </c>
      <c r="R27" s="135" t="str">
        <f t="shared" si="9"/>
        <v>INDBIOCHR</v>
      </c>
      <c r="S27" s="135" t="str">
        <f t="shared" si="9"/>
        <v>INDBIOBGS</v>
      </c>
      <c r="T27" s="135" t="str">
        <f t="shared" si="9"/>
        <v>INDPCHHTH</v>
      </c>
      <c r="U27" s="135" t="str">
        <f t="shared" si="9"/>
        <v>INDELC</v>
      </c>
    </row>
    <row r="28" spans="1:22" x14ac:dyDescent="0.25">
      <c r="A28" s="99">
        <f t="shared" si="0"/>
        <v>23</v>
      </c>
      <c r="B28" s="303" t="str">
        <f>B14</f>
        <v>Other Chemicals</v>
      </c>
      <c r="C28" s="303" t="str">
        <f>C14</f>
        <v>INDOCH</v>
      </c>
      <c r="D28" s="304">
        <f>D14*D5</f>
        <v>0</v>
      </c>
      <c r="E28" s="304">
        <f t="shared" ref="E28:U28" si="10">E14*E5</f>
        <v>0</v>
      </c>
      <c r="F28" s="304">
        <f t="shared" si="10"/>
        <v>0</v>
      </c>
      <c r="G28" s="304">
        <f t="shared" si="10"/>
        <v>0</v>
      </c>
      <c r="H28" s="304">
        <f t="shared" si="10"/>
        <v>0</v>
      </c>
      <c r="I28" s="304">
        <f t="shared" si="10"/>
        <v>0</v>
      </c>
      <c r="J28" s="304">
        <f t="shared" si="10"/>
        <v>0</v>
      </c>
      <c r="K28" s="304">
        <f t="shared" si="10"/>
        <v>0</v>
      </c>
      <c r="L28" s="304">
        <f t="shared" si="10"/>
        <v>0</v>
      </c>
      <c r="M28" s="304">
        <f t="shared" si="10"/>
        <v>0</v>
      </c>
      <c r="N28" s="304">
        <f t="shared" si="10"/>
        <v>0</v>
      </c>
      <c r="O28" s="304">
        <f t="shared" si="10"/>
        <v>0</v>
      </c>
      <c r="P28" s="304">
        <f t="shared" si="10"/>
        <v>0</v>
      </c>
      <c r="Q28" s="304">
        <f t="shared" si="10"/>
        <v>0</v>
      </c>
      <c r="R28" s="304">
        <f t="shared" si="10"/>
        <v>0</v>
      </c>
      <c r="S28" s="304">
        <f t="shared" si="10"/>
        <v>0</v>
      </c>
      <c r="T28" s="304">
        <f t="shared" si="10"/>
        <v>0</v>
      </c>
      <c r="U28" s="304">
        <f t="shared" si="10"/>
        <v>0</v>
      </c>
      <c r="V28" s="305">
        <f>SUM(D28:U28)</f>
        <v>0</v>
      </c>
    </row>
  </sheetData>
  <conditionalFormatting sqref="D7:U7">
    <cfRule type="cellIs" dxfId="17" priority="1" stopIfTrue="1" operator="notEqual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K111"/>
  <sheetViews>
    <sheetView zoomScale="60" zoomScaleNormal="60" workbookViewId="0">
      <selection sqref="A1:XFD1048576"/>
    </sheetView>
  </sheetViews>
  <sheetFormatPr defaultColWidth="9.109375" defaultRowHeight="13.8" x14ac:dyDescent="0.25"/>
  <cols>
    <col min="1" max="1" width="5.88671875" style="104" customWidth="1"/>
    <col min="2" max="2" width="15.5546875" style="104" customWidth="1"/>
    <col min="3" max="3" width="22.6640625" style="104" bestFit="1" customWidth="1"/>
    <col min="4" max="4" width="36.88671875" style="104" customWidth="1"/>
    <col min="5" max="5" width="37.88671875" style="104" customWidth="1"/>
    <col min="6" max="6" width="16.6640625" style="104" customWidth="1"/>
    <col min="7" max="7" width="18.5546875" style="104" customWidth="1"/>
    <col min="8" max="8" width="24.33203125" style="104" bestFit="1" customWidth="1"/>
    <col min="9" max="9" width="19.88671875" style="104" customWidth="1"/>
    <col min="10" max="10" width="23.5546875" style="104" customWidth="1"/>
    <col min="11" max="11" width="23.44140625" style="104" bestFit="1" customWidth="1"/>
    <col min="12" max="12" width="31.33203125" style="104" bestFit="1" customWidth="1"/>
    <col min="13" max="13" width="20.33203125" style="104" customWidth="1"/>
    <col min="14" max="14" width="18.88671875" style="104" bestFit="1" customWidth="1"/>
    <col min="15" max="16" width="34.109375" style="104" bestFit="1" customWidth="1"/>
    <col min="17" max="17" width="10.5546875" style="104" customWidth="1"/>
    <col min="18" max="18" width="28.109375" style="104" customWidth="1"/>
    <col min="19" max="19" width="11.6640625" style="104" customWidth="1"/>
    <col min="20" max="20" width="24.88671875" style="104" customWidth="1"/>
    <col min="21" max="21" width="13" style="104" bestFit="1" customWidth="1"/>
    <col min="22" max="22" width="31" style="104" customWidth="1"/>
    <col min="23" max="23" width="42.6640625" style="104" customWidth="1"/>
    <col min="24" max="24" width="11.44140625" style="104" bestFit="1" customWidth="1"/>
    <col min="25" max="25" width="12.44140625" style="104" bestFit="1" customWidth="1"/>
    <col min="26" max="26" width="9.6640625" style="104" bestFit="1" customWidth="1"/>
    <col min="27" max="27" width="13" style="104" bestFit="1" customWidth="1"/>
    <col min="28" max="28" width="18.6640625" style="104" bestFit="1" customWidth="1"/>
    <col min="29" max="29" width="13.109375" style="104" bestFit="1" customWidth="1"/>
    <col min="30" max="30" width="28.6640625" style="104" bestFit="1" customWidth="1"/>
    <col min="31" max="31" width="22" style="104" bestFit="1" customWidth="1"/>
    <col min="32" max="32" width="12.5546875" style="104" customWidth="1"/>
    <col min="33" max="36" width="9.109375" style="104"/>
    <col min="37" max="16384" width="9.109375" style="99"/>
  </cols>
  <sheetData>
    <row r="1" spans="1:36" x14ac:dyDescent="0.25">
      <c r="A1" s="99"/>
      <c r="B1" s="108" t="s">
        <v>276</v>
      </c>
      <c r="C1" s="99"/>
      <c r="D1" s="99"/>
      <c r="E1" s="108" t="s">
        <v>15</v>
      </c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108" t="s">
        <v>15</v>
      </c>
      <c r="T1" s="99"/>
      <c r="U1" s="99"/>
      <c r="V1" s="99"/>
      <c r="W1" s="99"/>
      <c r="X1" s="99"/>
      <c r="Y1" s="99"/>
      <c r="Z1" s="108" t="s">
        <v>15</v>
      </c>
      <c r="AA1" s="99"/>
      <c r="AB1" s="99"/>
      <c r="AC1" s="99"/>
      <c r="AD1" s="99"/>
      <c r="AE1" s="99"/>
      <c r="AF1" s="99"/>
      <c r="AG1" s="99"/>
      <c r="AH1" s="99"/>
      <c r="AI1" s="99"/>
      <c r="AJ1" s="99"/>
    </row>
    <row r="2" spans="1:36" x14ac:dyDescent="0.25">
      <c r="A2" s="99"/>
      <c r="B2" s="99"/>
      <c r="C2" s="99"/>
      <c r="D2" s="99"/>
      <c r="F2" s="108"/>
      <c r="G2" s="99"/>
      <c r="H2" s="99"/>
      <c r="I2" s="99"/>
      <c r="J2" s="99"/>
      <c r="K2" s="108"/>
      <c r="L2" s="108" t="s">
        <v>15</v>
      </c>
      <c r="M2" s="99"/>
      <c r="N2" s="99"/>
      <c r="O2" s="99"/>
      <c r="P2" s="99"/>
      <c r="Q2" s="99"/>
      <c r="R2" s="99"/>
      <c r="T2" s="99"/>
      <c r="U2" s="99"/>
      <c r="V2" s="99"/>
      <c r="W2" s="99"/>
      <c r="X2" s="99"/>
      <c r="AA2" s="99"/>
      <c r="AB2" s="99"/>
      <c r="AC2" s="99"/>
      <c r="AD2" s="99"/>
      <c r="AE2" s="99"/>
      <c r="AF2" s="99"/>
      <c r="AG2" s="99"/>
      <c r="AH2" s="99"/>
      <c r="AI2" s="99"/>
      <c r="AJ2" s="99"/>
    </row>
    <row r="3" spans="1:36" x14ac:dyDescent="0.25">
      <c r="A3" s="99"/>
      <c r="B3" s="130" t="s">
        <v>33</v>
      </c>
      <c r="C3" s="217" t="s">
        <v>278</v>
      </c>
      <c r="D3" s="217" t="s">
        <v>284</v>
      </c>
      <c r="E3" s="217" t="s">
        <v>0</v>
      </c>
      <c r="F3" s="217" t="s">
        <v>279</v>
      </c>
      <c r="G3" s="218" t="str">
        <f>BASE_YEAR</f>
        <v>2017</v>
      </c>
      <c r="H3" s="99"/>
      <c r="I3" s="130" t="s">
        <v>33</v>
      </c>
      <c r="J3" s="217" t="s">
        <v>278</v>
      </c>
      <c r="K3" s="217" t="s">
        <v>284</v>
      </c>
      <c r="L3" s="217" t="s">
        <v>0</v>
      </c>
      <c r="M3" s="217" t="s">
        <v>279</v>
      </c>
      <c r="N3" s="218" t="str">
        <f>BASE_YEAR</f>
        <v>2017</v>
      </c>
      <c r="O3" s="99"/>
      <c r="P3" s="130" t="s">
        <v>33</v>
      </c>
      <c r="Q3" s="217" t="s">
        <v>278</v>
      </c>
      <c r="R3" s="217" t="s">
        <v>284</v>
      </c>
      <c r="S3" s="217" t="s">
        <v>0</v>
      </c>
      <c r="T3" s="217" t="s">
        <v>279</v>
      </c>
      <c r="U3" s="218" t="str">
        <f>BASE_YEAR</f>
        <v>2017</v>
      </c>
      <c r="V3" s="99"/>
      <c r="W3" s="130" t="s">
        <v>33</v>
      </c>
      <c r="X3" s="217" t="s">
        <v>278</v>
      </c>
      <c r="Y3" s="217" t="s">
        <v>284</v>
      </c>
      <c r="Z3" s="217" t="s">
        <v>0</v>
      </c>
      <c r="AA3" s="217" t="s">
        <v>279</v>
      </c>
      <c r="AB3" s="218" t="str">
        <f>BASE_YEAR</f>
        <v>2017</v>
      </c>
      <c r="AC3" s="99"/>
      <c r="AD3" s="99"/>
      <c r="AE3" s="99"/>
      <c r="AF3" s="99"/>
      <c r="AG3" s="99"/>
      <c r="AH3" s="99"/>
      <c r="AI3" s="99"/>
      <c r="AJ3" s="99"/>
    </row>
    <row r="4" spans="1:36" ht="18" customHeight="1" thickBot="1" x14ac:dyDescent="0.3">
      <c r="A4" s="99"/>
      <c r="B4" s="135" t="s">
        <v>150</v>
      </c>
      <c r="C4" s="135" t="s">
        <v>152</v>
      </c>
      <c r="D4" s="135"/>
      <c r="E4" s="135" t="s">
        <v>280</v>
      </c>
      <c r="F4" s="135" t="s">
        <v>281</v>
      </c>
      <c r="G4" s="136" t="s">
        <v>282</v>
      </c>
      <c r="H4" s="99"/>
      <c r="I4" s="135" t="s">
        <v>150</v>
      </c>
      <c r="J4" s="135"/>
      <c r="K4" s="135"/>
      <c r="L4" s="135" t="s">
        <v>280</v>
      </c>
      <c r="M4" s="135" t="s">
        <v>281</v>
      </c>
      <c r="N4" s="136" t="s">
        <v>282</v>
      </c>
      <c r="O4" s="99"/>
      <c r="P4" s="135" t="s">
        <v>150</v>
      </c>
      <c r="Q4" s="135" t="s">
        <v>152</v>
      </c>
      <c r="R4" s="135"/>
      <c r="S4" s="135" t="s">
        <v>280</v>
      </c>
      <c r="T4" s="135" t="s">
        <v>281</v>
      </c>
      <c r="U4" s="136" t="s">
        <v>282</v>
      </c>
      <c r="V4" s="99"/>
      <c r="W4" s="135" t="s">
        <v>150</v>
      </c>
      <c r="X4" s="135" t="s">
        <v>152</v>
      </c>
      <c r="Y4" s="135"/>
      <c r="Z4" s="135" t="s">
        <v>280</v>
      </c>
      <c r="AA4" s="135" t="s">
        <v>281</v>
      </c>
      <c r="AB4" s="136" t="s">
        <v>282</v>
      </c>
      <c r="AC4" s="99"/>
      <c r="AD4" s="99"/>
      <c r="AE4" s="99"/>
      <c r="AF4" s="99"/>
      <c r="AG4" s="99"/>
      <c r="AH4" s="99"/>
      <c r="AI4" s="99"/>
      <c r="AJ4" s="99"/>
    </row>
    <row r="5" spans="1:36" ht="14.4" thickBot="1" x14ac:dyDescent="0.3">
      <c r="B5" s="135" t="s">
        <v>152</v>
      </c>
      <c r="C5" s="135" t="s">
        <v>48</v>
      </c>
      <c r="D5" s="135"/>
      <c r="E5" s="135"/>
      <c r="F5" s="135"/>
      <c r="G5" s="136" t="str">
        <f>F6</f>
        <v>PJ</v>
      </c>
      <c r="I5" s="135" t="s">
        <v>152</v>
      </c>
      <c r="J5" s="135" t="s">
        <v>48</v>
      </c>
      <c r="K5" s="135"/>
      <c r="L5" s="135"/>
      <c r="M5" s="135"/>
      <c r="N5" s="136" t="str">
        <f>M6</f>
        <v>PJ</v>
      </c>
      <c r="O5" s="99"/>
      <c r="P5" s="135" t="s">
        <v>152</v>
      </c>
      <c r="Q5" s="135" t="s">
        <v>48</v>
      </c>
      <c r="R5" s="135"/>
      <c r="S5" s="135"/>
      <c r="T5" s="135"/>
      <c r="U5" s="136" t="str">
        <f>T6</f>
        <v>PJ</v>
      </c>
      <c r="V5" s="99"/>
      <c r="W5" s="135" t="s">
        <v>152</v>
      </c>
      <c r="X5" s="135" t="s">
        <v>48</v>
      </c>
      <c r="Y5" s="135"/>
      <c r="Z5" s="135"/>
      <c r="AA5" s="135"/>
      <c r="AB5" s="136" t="str">
        <f>AA6</f>
        <v>PJ</v>
      </c>
      <c r="AC5" s="99"/>
      <c r="AD5" s="99"/>
      <c r="AE5" s="99"/>
      <c r="AF5" s="99"/>
      <c r="AG5" s="99"/>
      <c r="AH5" s="99"/>
      <c r="AI5" s="99"/>
      <c r="AJ5" s="99"/>
    </row>
    <row r="6" spans="1:36" x14ac:dyDescent="0.25">
      <c r="A6" s="99"/>
      <c r="C6" s="311" t="s">
        <v>277</v>
      </c>
      <c r="D6" s="104" t="str">
        <f>PCH_BAL!B11</f>
        <v>Fertilizers</v>
      </c>
      <c r="E6" s="104" t="str">
        <f>PCH_BAL!C11</f>
        <v>INDFER</v>
      </c>
      <c r="F6" s="104" t="str">
        <f>General!$B$2</f>
        <v>PJ</v>
      </c>
      <c r="G6" s="219">
        <f>PCH_BAL!V22*G17</f>
        <v>0</v>
      </c>
      <c r="H6" s="99"/>
      <c r="J6" s="311" t="s">
        <v>277</v>
      </c>
      <c r="K6" s="104" t="str">
        <f>PCH_BAL!B12</f>
        <v>Petrochemicals</v>
      </c>
      <c r="L6" s="104" t="str">
        <f>PCH_BAL!C12</f>
        <v>INDPCH</v>
      </c>
      <c r="M6" s="104" t="str">
        <f>General!$B$2</f>
        <v>PJ</v>
      </c>
      <c r="N6" s="219">
        <f>PCH_BAL!V24*G31</f>
        <v>5.6940480000000004</v>
      </c>
      <c r="O6" s="99"/>
      <c r="Q6" s="311" t="s">
        <v>277</v>
      </c>
      <c r="R6" s="104" t="str">
        <f>PCH_BAL!B13</f>
        <v>Other Agriculture Chemicals</v>
      </c>
      <c r="S6" s="104" t="str">
        <f>PCH_BAL!C13</f>
        <v>INDACH</v>
      </c>
      <c r="T6" s="104" t="str">
        <f>General!$B$2</f>
        <v>PJ</v>
      </c>
      <c r="U6" s="219">
        <f>PCH_BAL!V26*G46</f>
        <v>0</v>
      </c>
      <c r="V6" s="99"/>
      <c r="X6" s="311" t="s">
        <v>277</v>
      </c>
      <c r="Y6" s="104" t="str">
        <f>PCH_BAL!B14</f>
        <v>Other Chemicals</v>
      </c>
      <c r="Z6" s="104" t="str">
        <f>PCH_BAL!C14</f>
        <v>INDOCH</v>
      </c>
      <c r="AA6" s="104" t="str">
        <f>General!$B$2</f>
        <v>PJ</v>
      </c>
      <c r="AB6" s="219">
        <f>PCH_BAL!V28*G60</f>
        <v>0</v>
      </c>
      <c r="AC6" s="99"/>
      <c r="AD6" s="99"/>
      <c r="AE6" s="99"/>
      <c r="AF6" s="99"/>
      <c r="AG6" s="99"/>
      <c r="AH6" s="99"/>
      <c r="AI6" s="99"/>
      <c r="AJ6" s="99"/>
    </row>
    <row r="7" spans="1:36" x14ac:dyDescent="0.25">
      <c r="A7" s="99"/>
      <c r="B7" s="99"/>
      <c r="E7" s="99"/>
      <c r="F7" s="11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</row>
    <row r="8" spans="1:36" x14ac:dyDescent="0.25">
      <c r="A8" s="99"/>
      <c r="B8" s="293"/>
      <c r="C8" s="234"/>
      <c r="D8" s="234"/>
      <c r="E8" s="99"/>
      <c r="F8" s="99"/>
      <c r="G8" s="99"/>
      <c r="H8" s="99"/>
      <c r="I8" s="99"/>
      <c r="J8" s="99"/>
      <c r="K8" s="99"/>
      <c r="L8" s="99"/>
      <c r="M8" s="99"/>
      <c r="N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</row>
    <row r="9" spans="1:36" x14ac:dyDescent="0.25">
      <c r="A9" s="99"/>
      <c r="B9" s="108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Q9" s="99"/>
      <c r="S9" s="109" t="s">
        <v>149</v>
      </c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</row>
    <row r="10" spans="1:36" x14ac:dyDescent="0.25">
      <c r="A10" s="99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</row>
    <row r="11" spans="1:36" x14ac:dyDescent="0.25">
      <c r="A11" s="99"/>
      <c r="B11" s="108" t="s">
        <v>412</v>
      </c>
      <c r="C11" s="108" t="s">
        <v>413</v>
      </c>
      <c r="D11" s="108" t="s">
        <v>414</v>
      </c>
      <c r="E11" s="108" t="s">
        <v>415</v>
      </c>
      <c r="F11" s="108" t="s">
        <v>363</v>
      </c>
      <c r="G11" s="108" t="s">
        <v>364</v>
      </c>
      <c r="H11" s="294"/>
      <c r="I11" s="294"/>
      <c r="J11" s="124"/>
      <c r="K11" s="124"/>
      <c r="L11" s="124"/>
      <c r="M11" s="124"/>
      <c r="N11" s="124"/>
      <c r="O11" s="99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99"/>
      <c r="AC11" s="99"/>
      <c r="AD11" s="99"/>
      <c r="AE11" s="99"/>
      <c r="AF11" s="99"/>
      <c r="AG11" s="99"/>
      <c r="AH11" s="99"/>
      <c r="AI11" s="99"/>
      <c r="AJ11" s="99"/>
    </row>
    <row r="12" spans="1:36" x14ac:dyDescent="0.25">
      <c r="A12" s="99"/>
      <c r="B12" s="108"/>
      <c r="C12" s="123"/>
      <c r="D12" s="99"/>
      <c r="E12" s="122"/>
      <c r="F12" s="122"/>
      <c r="G12" s="122"/>
      <c r="H12" s="294"/>
      <c r="I12" s="294"/>
      <c r="J12" s="124"/>
      <c r="K12" s="124"/>
      <c r="L12" s="124"/>
      <c r="M12" s="124"/>
      <c r="N12" s="124"/>
      <c r="O12" s="99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99"/>
      <c r="AC12" s="99"/>
      <c r="AD12" s="99"/>
      <c r="AE12" s="99"/>
      <c r="AF12" s="99"/>
      <c r="AG12" s="99"/>
      <c r="AH12" s="99"/>
      <c r="AI12" s="99"/>
      <c r="AJ12" s="99"/>
    </row>
    <row r="13" spans="1:36" x14ac:dyDescent="0.25">
      <c r="A13" s="99"/>
      <c r="B13" s="99"/>
      <c r="C13" s="99"/>
      <c r="D13" s="99"/>
      <c r="E13" s="99"/>
      <c r="F13" s="126" t="s">
        <v>15</v>
      </c>
      <c r="G13" s="127"/>
      <c r="H13" s="127"/>
      <c r="I13" s="127"/>
      <c r="J13" s="129"/>
      <c r="K13" s="99"/>
      <c r="L13" s="99"/>
      <c r="M13" s="99"/>
      <c r="N13" s="99"/>
      <c r="O13" s="99"/>
      <c r="Q13" s="99"/>
      <c r="R13" s="99"/>
      <c r="S13" s="110" t="s">
        <v>18</v>
      </c>
      <c r="T13" s="110"/>
      <c r="U13" s="111"/>
      <c r="V13" s="111"/>
      <c r="W13" s="111"/>
      <c r="X13" s="111"/>
      <c r="Y13" s="111"/>
      <c r="Z13" s="111"/>
      <c r="AA13" s="111"/>
      <c r="AB13" s="99"/>
      <c r="AC13" s="99"/>
      <c r="AD13" s="99"/>
      <c r="AE13" s="99"/>
      <c r="AF13" s="99"/>
      <c r="AG13" s="99"/>
      <c r="AH13" s="99"/>
      <c r="AI13" s="99"/>
      <c r="AJ13" s="99"/>
    </row>
    <row r="14" spans="1:36" ht="21" customHeight="1" x14ac:dyDescent="0.25">
      <c r="A14" s="99"/>
      <c r="B14" s="130" t="s">
        <v>33</v>
      </c>
      <c r="C14" s="130" t="s">
        <v>1</v>
      </c>
      <c r="D14" s="131" t="s">
        <v>41</v>
      </c>
      <c r="E14" s="130" t="s">
        <v>7</v>
      </c>
      <c r="F14" s="132" t="s">
        <v>8</v>
      </c>
      <c r="G14" s="133" t="s">
        <v>17</v>
      </c>
      <c r="H14" s="133" t="s">
        <v>285</v>
      </c>
      <c r="I14" s="133" t="s">
        <v>3</v>
      </c>
      <c r="J14" s="133" t="s">
        <v>6</v>
      </c>
      <c r="K14" s="133" t="s">
        <v>835</v>
      </c>
      <c r="L14" s="133" t="s">
        <v>401</v>
      </c>
      <c r="M14" s="220" t="s">
        <v>834</v>
      </c>
      <c r="N14" s="133"/>
      <c r="O14" s="220" t="s">
        <v>402</v>
      </c>
      <c r="P14" s="170"/>
      <c r="Q14" s="99"/>
      <c r="R14" s="99"/>
      <c r="S14" s="113" t="s">
        <v>13</v>
      </c>
      <c r="T14" s="113" t="s">
        <v>33</v>
      </c>
      <c r="U14" s="113" t="s">
        <v>1</v>
      </c>
      <c r="V14" s="113" t="s">
        <v>2</v>
      </c>
      <c r="W14" s="113" t="s">
        <v>19</v>
      </c>
      <c r="X14" s="113" t="s">
        <v>20</v>
      </c>
      <c r="Y14" s="113" t="s">
        <v>21</v>
      </c>
      <c r="Z14" s="113" t="s">
        <v>22</v>
      </c>
      <c r="AA14" s="113" t="s">
        <v>23</v>
      </c>
      <c r="AB14" s="99"/>
      <c r="AC14" s="99"/>
      <c r="AD14" s="99"/>
      <c r="AE14" s="99"/>
      <c r="AF14" s="99"/>
      <c r="AG14" s="99"/>
      <c r="AH14" s="99"/>
      <c r="AI14" s="99"/>
      <c r="AJ14" s="99"/>
    </row>
    <row r="15" spans="1:36" ht="29.25" customHeight="1" thickBot="1" x14ac:dyDescent="0.3">
      <c r="A15" s="99"/>
      <c r="B15" s="135" t="s">
        <v>150</v>
      </c>
      <c r="C15" s="136" t="s">
        <v>24</v>
      </c>
      <c r="D15" s="136" t="s">
        <v>25</v>
      </c>
      <c r="E15" s="136" t="s">
        <v>35</v>
      </c>
      <c r="F15" s="137" t="s">
        <v>36</v>
      </c>
      <c r="G15" s="136" t="s">
        <v>37</v>
      </c>
      <c r="H15" s="136" t="s">
        <v>286</v>
      </c>
      <c r="I15" s="136" t="s">
        <v>40</v>
      </c>
      <c r="J15" s="136" t="s">
        <v>39</v>
      </c>
      <c r="K15" s="136" t="s">
        <v>467</v>
      </c>
      <c r="L15" s="136" t="s">
        <v>448</v>
      </c>
      <c r="M15" s="136"/>
      <c r="N15" s="136"/>
      <c r="O15" s="136"/>
      <c r="P15" s="138"/>
      <c r="Q15" s="99"/>
      <c r="R15" s="99"/>
      <c r="S15" s="139" t="s">
        <v>43</v>
      </c>
      <c r="T15" s="139" t="s">
        <v>34</v>
      </c>
      <c r="U15" s="139" t="s">
        <v>24</v>
      </c>
      <c r="V15" s="139" t="s">
        <v>25</v>
      </c>
      <c r="W15" s="139" t="s">
        <v>26</v>
      </c>
      <c r="X15" s="139" t="s">
        <v>27</v>
      </c>
      <c r="Y15" s="139" t="s">
        <v>47</v>
      </c>
      <c r="Z15" s="139" t="s">
        <v>46</v>
      </c>
      <c r="AA15" s="139" t="s">
        <v>28</v>
      </c>
      <c r="AB15" s="99"/>
      <c r="AC15" s="99"/>
      <c r="AD15" s="99"/>
      <c r="AE15" s="99"/>
      <c r="AF15" s="99"/>
      <c r="AG15" s="99"/>
      <c r="AH15" s="99"/>
      <c r="AI15" s="99"/>
      <c r="AJ15" s="99"/>
    </row>
    <row r="16" spans="1:36" ht="12.75" customHeight="1" x14ac:dyDescent="0.25">
      <c r="A16" s="99"/>
      <c r="B16" s="140" t="s">
        <v>152</v>
      </c>
      <c r="C16" s="140"/>
      <c r="D16" s="141"/>
      <c r="E16" s="141" t="s">
        <v>48</v>
      </c>
      <c r="F16" s="172"/>
      <c r="G16" s="141" t="s">
        <v>330</v>
      </c>
      <c r="H16" s="141" t="s">
        <v>436</v>
      </c>
      <c r="I16" s="141" t="s">
        <v>716</v>
      </c>
      <c r="J16" s="141" t="s">
        <v>715</v>
      </c>
      <c r="K16" s="141" t="s">
        <v>436</v>
      </c>
      <c r="L16" s="141" t="s">
        <v>330</v>
      </c>
      <c r="M16" s="141"/>
      <c r="N16" s="141"/>
      <c r="O16" s="141"/>
      <c r="P16" s="138"/>
      <c r="Q16" s="99"/>
      <c r="R16" s="99"/>
      <c r="S16" s="99" t="s">
        <v>152</v>
      </c>
      <c r="T16" s="99"/>
      <c r="U16" s="99" t="s">
        <v>743</v>
      </c>
      <c r="V16" s="99" t="s">
        <v>605</v>
      </c>
      <c r="W16" s="99" t="str">
        <f>General!$B$2</f>
        <v>PJ</v>
      </c>
      <c r="X16" s="99" t="str">
        <f>General!$C$5</f>
        <v>PJa</v>
      </c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</row>
    <row r="17" spans="2:31" s="99" customFormat="1" x14ac:dyDescent="0.25">
      <c r="C17" s="99" t="s">
        <v>152</v>
      </c>
      <c r="D17" s="99" t="str">
        <f>$V$16</f>
        <v xml:space="preserve">Fertilizers </v>
      </c>
      <c r="E17" s="99" t="str">
        <f>Commodities!D47</f>
        <v>INDCOASUB</v>
      </c>
      <c r="F17" s="147"/>
      <c r="G17" s="234">
        <v>0.8</v>
      </c>
      <c r="H17" s="251">
        <f>SUM(O17:O29)*G17*1.15</f>
        <v>0</v>
      </c>
      <c r="I17" s="251"/>
      <c r="J17" s="251"/>
      <c r="K17" s="251">
        <v>0</v>
      </c>
      <c r="L17" s="251" t="e">
        <f t="shared" ref="L17:L29" si="0">O17/SUM($O$17:$O$29)</f>
        <v>#DIV/0!</v>
      </c>
      <c r="M17" s="251">
        <f>1/1.2</f>
        <v>0.83333333333333337</v>
      </c>
      <c r="N17" s="251"/>
      <c r="O17" s="251">
        <f>HLOOKUP(E17,PCH_BAL!$D$6:$U$28,17,FALSE)</f>
        <v>0</v>
      </c>
      <c r="P17" s="211" t="s">
        <v>420</v>
      </c>
      <c r="S17" s="99" t="s">
        <v>275</v>
      </c>
      <c r="U17" s="99" t="s">
        <v>744</v>
      </c>
      <c r="V17" s="99" t="s">
        <v>606</v>
      </c>
      <c r="W17" s="99" t="str">
        <f>General!$B$2</f>
        <v>PJ</v>
      </c>
      <c r="X17" s="99" t="str">
        <f>X16</f>
        <v>PJa</v>
      </c>
    </row>
    <row r="18" spans="2:31" s="99" customFormat="1" x14ac:dyDescent="0.25">
      <c r="C18" s="99" t="s">
        <v>152</v>
      </c>
      <c r="E18" s="99" t="str">
        <f>Commodities!D91</f>
        <v>INDPCHHTH</v>
      </c>
      <c r="F18" s="154"/>
      <c r="G18" s="234"/>
      <c r="H18" s="251"/>
      <c r="I18" s="251"/>
      <c r="J18" s="251"/>
      <c r="K18" s="251"/>
      <c r="L18" s="251" t="e">
        <f t="shared" si="0"/>
        <v>#DIV/0!</v>
      </c>
      <c r="M18" s="251"/>
      <c r="N18" s="251"/>
      <c r="O18" s="251">
        <f>HLOOKUP(E18,PCH_BAL!$D$6:$U$28,17,FALSE)</f>
        <v>0</v>
      </c>
      <c r="P18" s="211" t="s">
        <v>420</v>
      </c>
      <c r="S18" s="99" t="s">
        <v>152</v>
      </c>
      <c r="U18" s="99" t="s">
        <v>745</v>
      </c>
      <c r="V18" s="99" t="s">
        <v>607</v>
      </c>
      <c r="W18" s="99" t="str">
        <f>General!$B$2</f>
        <v>PJ</v>
      </c>
      <c r="X18" s="99" t="str">
        <f>X17</f>
        <v>PJa</v>
      </c>
    </row>
    <row r="19" spans="2:31" s="99" customFormat="1" x14ac:dyDescent="0.25">
      <c r="C19" s="99" t="s">
        <v>152</v>
      </c>
      <c r="D19" s="216"/>
      <c r="E19" s="99" t="str">
        <f>Commodities!D56</f>
        <v>INDOILHFO</v>
      </c>
      <c r="F19" s="154"/>
      <c r="G19" s="234"/>
      <c r="H19" s="251"/>
      <c r="I19" s="251"/>
      <c r="J19" s="251"/>
      <c r="K19" s="251"/>
      <c r="L19" s="251" t="e">
        <f t="shared" si="0"/>
        <v>#DIV/0!</v>
      </c>
      <c r="M19" s="251"/>
      <c r="N19" s="251"/>
      <c r="O19" s="251">
        <f>HLOOKUP(E19,PCH_BAL!$D$6:$U$28,17,FALSE)</f>
        <v>0</v>
      </c>
      <c r="P19" s="211" t="s">
        <v>420</v>
      </c>
      <c r="S19" s="99" t="s">
        <v>152</v>
      </c>
      <c r="U19" s="99" t="s">
        <v>746</v>
      </c>
      <c r="V19" s="99" t="s">
        <v>608</v>
      </c>
      <c r="W19" s="99" t="str">
        <f>General!$B$2</f>
        <v>PJ</v>
      </c>
      <c r="X19" s="99" t="str">
        <f>X18</f>
        <v>PJa</v>
      </c>
    </row>
    <row r="20" spans="2:31" s="99" customFormat="1" x14ac:dyDescent="0.25">
      <c r="C20" s="99" t="s">
        <v>152</v>
      </c>
      <c r="D20" s="216"/>
      <c r="E20" s="99" t="str">
        <f>Commodities!D61</f>
        <v>INDGASNAT</v>
      </c>
      <c r="F20" s="154"/>
      <c r="G20" s="234"/>
      <c r="H20" s="251"/>
      <c r="I20" s="251"/>
      <c r="J20" s="251"/>
      <c r="K20" s="251"/>
      <c r="L20" s="251" t="e">
        <f t="shared" si="0"/>
        <v>#DIV/0!</v>
      </c>
      <c r="M20" s="251"/>
      <c r="N20" s="251"/>
      <c r="O20" s="251">
        <f>HLOOKUP(E20,PCH_BAL!$D$6:$U$28,17,FALSE)</f>
        <v>0</v>
      </c>
      <c r="P20" s="211" t="s">
        <v>420</v>
      </c>
      <c r="S20" s="99" t="s">
        <v>289</v>
      </c>
      <c r="U20" s="99" t="s">
        <v>494</v>
      </c>
      <c r="V20" s="99" t="s">
        <v>493</v>
      </c>
      <c r="W20" s="99" t="str">
        <f>General!$B$2</f>
        <v>PJ</v>
      </c>
      <c r="X20" s="99" t="str">
        <f>X19</f>
        <v>PJa</v>
      </c>
    </row>
    <row r="21" spans="2:31" s="99" customFormat="1" x14ac:dyDescent="0.25">
      <c r="C21" s="99" t="s">
        <v>152</v>
      </c>
      <c r="D21" s="216"/>
      <c r="E21" s="99" t="str">
        <f>Commodities!D77</f>
        <v>INDELC</v>
      </c>
      <c r="F21" s="154"/>
      <c r="G21" s="234"/>
      <c r="H21" s="251"/>
      <c r="I21" s="251"/>
      <c r="J21" s="251"/>
      <c r="K21" s="251"/>
      <c r="L21" s="251" t="e">
        <f t="shared" si="0"/>
        <v>#DIV/0!</v>
      </c>
      <c r="M21" s="251"/>
      <c r="N21" s="251"/>
      <c r="O21" s="251">
        <f>HLOOKUP(E21,PCH_BAL!$D$6:$U$28,17,FALSE)</f>
        <v>0</v>
      </c>
      <c r="P21" s="211" t="s">
        <v>420</v>
      </c>
      <c r="S21" s="99" t="s">
        <v>365</v>
      </c>
      <c r="U21" s="99" t="s">
        <v>495</v>
      </c>
      <c r="V21" s="99" t="s">
        <v>609</v>
      </c>
      <c r="W21" s="99" t="str">
        <f>General!$B$2</f>
        <v>PJ</v>
      </c>
      <c r="X21" s="99" t="str">
        <f>General!B5</f>
        <v>GW</v>
      </c>
      <c r="Y21" s="99" t="s">
        <v>126</v>
      </c>
    </row>
    <row r="22" spans="2:31" s="99" customFormat="1" x14ac:dyDescent="0.25">
      <c r="B22" s="99" t="s">
        <v>152</v>
      </c>
      <c r="C22" s="99" t="s">
        <v>152</v>
      </c>
      <c r="D22" s="216"/>
      <c r="E22" s="99" t="str">
        <f>Commodities!D59</f>
        <v>INDOILPCK</v>
      </c>
      <c r="F22" s="154"/>
      <c r="G22" s="234"/>
      <c r="H22" s="251"/>
      <c r="I22" s="251"/>
      <c r="J22" s="251"/>
      <c r="K22" s="251"/>
      <c r="L22" s="251" t="e">
        <f t="shared" si="0"/>
        <v>#DIV/0!</v>
      </c>
      <c r="M22" s="251"/>
      <c r="N22" s="251"/>
      <c r="O22" s="251"/>
      <c r="P22" s="211" t="s">
        <v>420</v>
      </c>
    </row>
    <row r="23" spans="2:31" s="99" customFormat="1" x14ac:dyDescent="0.25">
      <c r="C23" s="99" t="s">
        <v>152</v>
      </c>
      <c r="D23" s="216"/>
      <c r="E23" s="99" t="str">
        <f>Commodities!D49</f>
        <v>INDCOACOC</v>
      </c>
      <c r="F23" s="154"/>
      <c r="G23" s="234"/>
      <c r="H23" s="251"/>
      <c r="I23" s="251"/>
      <c r="J23" s="251"/>
      <c r="K23" s="251"/>
      <c r="L23" s="251" t="e">
        <f t="shared" si="0"/>
        <v>#DIV/0!</v>
      </c>
      <c r="M23" s="251"/>
      <c r="N23" s="251"/>
      <c r="O23" s="251">
        <f>HLOOKUP(E23,PCH_BAL!$D$6:$U$28,17,FALSE)</f>
        <v>0</v>
      </c>
      <c r="P23" s="211" t="s">
        <v>420</v>
      </c>
      <c r="R23" s="104"/>
      <c r="S23" s="104"/>
      <c r="T23" s="104"/>
      <c r="U23" s="104"/>
      <c r="V23" s="104"/>
      <c r="W23" s="104"/>
      <c r="X23" s="104"/>
      <c r="Y23" s="104"/>
      <c r="Z23" s="104"/>
      <c r="AA23" s="104"/>
      <c r="AB23" s="104"/>
      <c r="AE23" s="104"/>
    </row>
    <row r="24" spans="2:31" s="99" customFormat="1" x14ac:dyDescent="0.25">
      <c r="C24" s="99" t="s">
        <v>152</v>
      </c>
      <c r="D24" s="216"/>
      <c r="E24" s="99" t="str">
        <f>Commodities!D48</f>
        <v>INDCOABCO</v>
      </c>
      <c r="F24" s="154"/>
      <c r="G24" s="234"/>
      <c r="H24" s="251"/>
      <c r="I24" s="251"/>
      <c r="J24" s="251"/>
      <c r="K24" s="251"/>
      <c r="L24" s="251" t="e">
        <f t="shared" si="0"/>
        <v>#DIV/0!</v>
      </c>
      <c r="M24" s="251"/>
      <c r="N24" s="251"/>
      <c r="O24" s="251">
        <f>HLOOKUP(E24,PCH_BAL!$D$6:$U$28,17,FALSE)</f>
        <v>0</v>
      </c>
      <c r="P24" s="211" t="s">
        <v>420</v>
      </c>
      <c r="R24" s="104"/>
      <c r="S24" s="104"/>
      <c r="T24" s="104"/>
      <c r="U24" s="104"/>
      <c r="V24" s="104"/>
      <c r="W24" s="104"/>
      <c r="X24" s="104"/>
      <c r="Y24" s="104"/>
      <c r="Z24" s="104"/>
      <c r="AA24" s="104"/>
      <c r="AB24" s="104"/>
      <c r="AC24" s="104"/>
      <c r="AE24" s="104"/>
    </row>
    <row r="25" spans="2:31" s="99" customFormat="1" x14ac:dyDescent="0.25">
      <c r="C25" s="99" t="s">
        <v>152</v>
      </c>
      <c r="D25" s="216"/>
      <c r="E25" s="99" t="str">
        <f>Commodities!D51</f>
        <v>INDCOABKB</v>
      </c>
      <c r="F25" s="154"/>
      <c r="G25" s="234"/>
      <c r="H25" s="251"/>
      <c r="I25" s="251"/>
      <c r="J25" s="251"/>
      <c r="K25" s="251"/>
      <c r="L25" s="251" t="e">
        <f t="shared" si="0"/>
        <v>#DIV/0!</v>
      </c>
      <c r="M25" s="251"/>
      <c r="N25" s="251"/>
      <c r="O25" s="251">
        <f>HLOOKUP(E25,PCH_BAL!$D$6:$U$28,17,FALSE)</f>
        <v>0</v>
      </c>
      <c r="P25" s="211" t="s">
        <v>420</v>
      </c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104"/>
      <c r="AC25" s="104"/>
      <c r="AD25" s="104"/>
      <c r="AE25" s="104"/>
    </row>
    <row r="26" spans="2:31" s="99" customFormat="1" x14ac:dyDescent="0.25">
      <c r="C26" s="99" t="s">
        <v>152</v>
      </c>
      <c r="D26" s="216"/>
      <c r="E26" s="99" t="str">
        <f>Commodities!D54</f>
        <v>INDOILLPG</v>
      </c>
      <c r="F26" s="154"/>
      <c r="G26" s="234"/>
      <c r="H26" s="251"/>
      <c r="I26" s="251"/>
      <c r="J26" s="251"/>
      <c r="K26" s="251"/>
      <c r="L26" s="251" t="e">
        <f t="shared" si="0"/>
        <v>#DIV/0!</v>
      </c>
      <c r="M26" s="251"/>
      <c r="N26" s="251"/>
      <c r="O26" s="251">
        <f>HLOOKUP(E26,PCH_BAL!$D$6:$U$28,17,FALSE)</f>
        <v>0</v>
      </c>
      <c r="P26" s="211" t="s">
        <v>420</v>
      </c>
      <c r="R26" s="104"/>
      <c r="S26" s="104"/>
      <c r="T26" s="104"/>
      <c r="U26" s="104"/>
      <c r="V26" s="104"/>
      <c r="W26" s="104"/>
      <c r="X26" s="104"/>
      <c r="Y26" s="104"/>
      <c r="Z26" s="104"/>
      <c r="AA26" s="104"/>
      <c r="AB26" s="104"/>
      <c r="AC26" s="104"/>
      <c r="AD26" s="104"/>
      <c r="AE26" s="104"/>
    </row>
    <row r="27" spans="2:31" s="99" customFormat="1" x14ac:dyDescent="0.25">
      <c r="C27" s="99" t="s">
        <v>152</v>
      </c>
      <c r="D27" s="216"/>
      <c r="E27" s="99" t="str">
        <f>Commodities!D52</f>
        <v>INDOILDSL</v>
      </c>
      <c r="F27" s="154"/>
      <c r="G27" s="234"/>
      <c r="H27" s="251"/>
      <c r="I27" s="251"/>
      <c r="J27" s="251"/>
      <c r="K27" s="251"/>
      <c r="L27" s="251" t="e">
        <f t="shared" si="0"/>
        <v>#DIV/0!</v>
      </c>
      <c r="M27" s="251"/>
      <c r="N27" s="251"/>
      <c r="O27" s="251">
        <f>HLOOKUP(E27,PCH_BAL!$D$6:$U$28,17,FALSE)</f>
        <v>0</v>
      </c>
      <c r="P27" s="211" t="s">
        <v>420</v>
      </c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</row>
    <row r="28" spans="2:31" s="99" customFormat="1" x14ac:dyDescent="0.25">
      <c r="C28" s="99" t="s">
        <v>152</v>
      </c>
      <c r="D28" s="216"/>
      <c r="E28" s="99" t="str">
        <f>Commodities!D63</f>
        <v>INDBIOLOG</v>
      </c>
      <c r="F28" s="154"/>
      <c r="G28" s="234"/>
      <c r="H28" s="251"/>
      <c r="I28" s="251"/>
      <c r="J28" s="251"/>
      <c r="K28" s="251"/>
      <c r="L28" s="251" t="e">
        <f t="shared" si="0"/>
        <v>#DIV/0!</v>
      </c>
      <c r="M28" s="251"/>
      <c r="N28" s="251"/>
      <c r="O28" s="251">
        <f>HLOOKUP(E28,PCH_BAL!$D$6:$U$28,17,FALSE)</f>
        <v>0</v>
      </c>
      <c r="P28" s="211" t="s">
        <v>420</v>
      </c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</row>
    <row r="29" spans="2:31" s="99" customFormat="1" x14ac:dyDescent="0.25">
      <c r="C29" s="99" t="s">
        <v>152</v>
      </c>
      <c r="D29" s="216"/>
      <c r="E29" s="99" t="str">
        <f>Commodities!D60</f>
        <v>INDOILOTH</v>
      </c>
      <c r="F29" s="154"/>
      <c r="G29" s="234"/>
      <c r="H29" s="251"/>
      <c r="I29" s="251"/>
      <c r="J29" s="251"/>
      <c r="K29" s="251"/>
      <c r="L29" s="251" t="e">
        <f t="shared" si="0"/>
        <v>#DIV/0!</v>
      </c>
      <c r="M29" s="251"/>
      <c r="N29" s="251"/>
      <c r="O29" s="251">
        <f>HLOOKUP(E29,PCH_BAL!$D$6:$U$28,17,FALSE)</f>
        <v>0</v>
      </c>
      <c r="P29" s="211" t="s">
        <v>420</v>
      </c>
      <c r="R29" s="104"/>
      <c r="S29" s="104"/>
      <c r="T29" s="104"/>
      <c r="U29" s="104"/>
      <c r="V29" s="104"/>
      <c r="W29" s="104"/>
      <c r="X29" s="104"/>
      <c r="Y29" s="104"/>
      <c r="Z29" s="104"/>
      <c r="AA29" s="104"/>
      <c r="AB29" s="104"/>
      <c r="AC29" s="104"/>
      <c r="AD29" s="104"/>
      <c r="AE29" s="104"/>
    </row>
    <row r="30" spans="2:31" s="99" customFormat="1" x14ac:dyDescent="0.25">
      <c r="B30" s="149"/>
      <c r="C30" s="99" t="s">
        <v>152</v>
      </c>
      <c r="D30" s="225"/>
      <c r="E30" s="149"/>
      <c r="F30" s="150" t="str">
        <f>Commodities!Y17</f>
        <v>INDFER</v>
      </c>
      <c r="G30" s="155"/>
      <c r="H30" s="295"/>
      <c r="I30" s="295"/>
      <c r="J30" s="295"/>
      <c r="K30" s="295"/>
      <c r="L30" s="295"/>
      <c r="M30" s="295"/>
      <c r="N30" s="295"/>
      <c r="O30" s="295"/>
      <c r="P30" s="211"/>
      <c r="R30" s="104"/>
      <c r="S30" s="104"/>
      <c r="T30" s="104"/>
      <c r="U30" s="104"/>
      <c r="V30" s="104"/>
      <c r="W30" s="104"/>
      <c r="X30" s="104"/>
      <c r="Y30" s="104"/>
      <c r="Z30" s="104"/>
      <c r="AA30" s="104"/>
      <c r="AB30" s="104"/>
      <c r="AC30" s="104"/>
      <c r="AD30" s="104"/>
      <c r="AE30" s="104"/>
    </row>
    <row r="31" spans="2:31" s="99" customFormat="1" x14ac:dyDescent="0.25">
      <c r="C31" s="99" t="str">
        <f>$U$17</f>
        <v>INDDENPCHPCHE_00</v>
      </c>
      <c r="D31" s="99" t="str">
        <f>$V$17</f>
        <v xml:space="preserve">Petrochemicals </v>
      </c>
      <c r="E31" s="99" t="str">
        <f t="shared" ref="E31:E43" si="1">E17</f>
        <v>INDCOASUB</v>
      </c>
      <c r="F31" s="154"/>
      <c r="G31" s="234">
        <f>G17</f>
        <v>0.8</v>
      </c>
      <c r="H31" s="251">
        <f>SUM(O31:O44)*G31*1.15</f>
        <v>6.5481552000000001</v>
      </c>
      <c r="I31" s="251"/>
      <c r="J31" s="251"/>
      <c r="K31" s="251">
        <v>0</v>
      </c>
      <c r="L31" s="251">
        <f t="shared" ref="L31:L43" si="2">O31/SUM($O$31:$O$43)</f>
        <v>0</v>
      </c>
      <c r="M31" s="251">
        <f>1/1.2</f>
        <v>0.83333333333333337</v>
      </c>
      <c r="N31" s="251"/>
      <c r="O31" s="251">
        <f>HLOOKUP(E31,PCH_BAL!$D$6:$U$28,19,FALSE)</f>
        <v>0</v>
      </c>
      <c r="P31" s="211" t="s">
        <v>421</v>
      </c>
      <c r="R31" s="104"/>
      <c r="S31" s="104"/>
      <c r="T31" s="104"/>
      <c r="U31" s="104"/>
      <c r="V31" s="104"/>
      <c r="W31" s="104"/>
      <c r="X31" s="104"/>
      <c r="Y31" s="104"/>
      <c r="Z31" s="104"/>
      <c r="AA31" s="104"/>
      <c r="AB31" s="104"/>
      <c r="AC31" s="104"/>
      <c r="AD31" s="104"/>
      <c r="AE31" s="104"/>
    </row>
    <row r="32" spans="2:31" s="99" customFormat="1" x14ac:dyDescent="0.25">
      <c r="E32" s="99" t="str">
        <f t="shared" si="1"/>
        <v>INDPCHHTH</v>
      </c>
      <c r="F32" s="154"/>
      <c r="G32" s="234"/>
      <c r="H32" s="251"/>
      <c r="I32" s="251"/>
      <c r="J32" s="251"/>
      <c r="K32" s="251"/>
      <c r="L32" s="251">
        <f t="shared" si="2"/>
        <v>0</v>
      </c>
      <c r="M32" s="251"/>
      <c r="N32" s="251"/>
      <c r="O32" s="251">
        <f>HLOOKUP(E32,PCH_BAL!$D$6:$U$28,19,FALSE)</f>
        <v>0</v>
      </c>
      <c r="P32" s="211" t="s">
        <v>421</v>
      </c>
      <c r="R32" s="104"/>
      <c r="S32" s="104"/>
      <c r="T32" s="104"/>
      <c r="U32" s="104"/>
      <c r="V32" s="104"/>
      <c r="W32" s="104"/>
      <c r="X32" s="104"/>
      <c r="Y32" s="104"/>
      <c r="Z32" s="104"/>
      <c r="AA32" s="104"/>
      <c r="AB32" s="104"/>
      <c r="AC32" s="104"/>
      <c r="AD32" s="104"/>
      <c r="AE32" s="104"/>
    </row>
    <row r="33" spans="2:31" s="99" customFormat="1" x14ac:dyDescent="0.25">
      <c r="E33" s="99" t="str">
        <f t="shared" si="1"/>
        <v>INDOILHFO</v>
      </c>
      <c r="F33" s="154"/>
      <c r="G33" s="234"/>
      <c r="H33" s="251"/>
      <c r="I33" s="251"/>
      <c r="J33" s="251"/>
      <c r="K33" s="251"/>
      <c r="L33" s="251">
        <f t="shared" si="2"/>
        <v>0</v>
      </c>
      <c r="M33" s="251"/>
      <c r="N33" s="251"/>
      <c r="O33" s="251">
        <f>HLOOKUP(E33,PCH_BAL!$D$6:$U$28,19,FALSE)</f>
        <v>0</v>
      </c>
      <c r="P33" s="211" t="s">
        <v>421</v>
      </c>
      <c r="R33" s="104"/>
      <c r="S33" s="104"/>
      <c r="T33" s="104"/>
      <c r="U33" s="104"/>
      <c r="V33" s="104"/>
      <c r="W33" s="104"/>
      <c r="X33" s="104"/>
      <c r="Y33" s="104"/>
      <c r="Z33" s="104"/>
      <c r="AA33" s="104"/>
      <c r="AB33" s="104"/>
      <c r="AC33" s="104"/>
      <c r="AD33" s="104"/>
      <c r="AE33" s="104"/>
    </row>
    <row r="34" spans="2:31" s="99" customFormat="1" x14ac:dyDescent="0.25">
      <c r="E34" s="99" t="str">
        <f t="shared" si="1"/>
        <v>INDGASNAT</v>
      </c>
      <c r="F34" s="154"/>
      <c r="G34" s="234"/>
      <c r="H34" s="251"/>
      <c r="I34" s="251"/>
      <c r="J34" s="251"/>
      <c r="K34" s="251"/>
      <c r="L34" s="251">
        <f t="shared" si="2"/>
        <v>0.88235294117647056</v>
      </c>
      <c r="M34" s="251"/>
      <c r="N34" s="251"/>
      <c r="O34" s="251">
        <f>HLOOKUP(E34,PCH_BAL!$D$6:$U$28,19,FALSE)</f>
        <v>6.2801999999999998</v>
      </c>
      <c r="P34" s="211" t="s">
        <v>421</v>
      </c>
      <c r="R34" s="104"/>
      <c r="S34" s="104"/>
      <c r="T34" s="104"/>
      <c r="U34" s="104"/>
      <c r="V34" s="104"/>
      <c r="W34" s="104"/>
      <c r="X34" s="104"/>
      <c r="Y34" s="104"/>
      <c r="Z34" s="104"/>
      <c r="AA34" s="104"/>
      <c r="AB34" s="104"/>
      <c r="AC34" s="104"/>
      <c r="AD34" s="104"/>
      <c r="AE34" s="104"/>
    </row>
    <row r="35" spans="2:31" s="99" customFormat="1" x14ac:dyDescent="0.25">
      <c r="E35" s="99" t="str">
        <f t="shared" si="1"/>
        <v>INDELC</v>
      </c>
      <c r="F35" s="154"/>
      <c r="G35" s="234"/>
      <c r="H35" s="251"/>
      <c r="I35" s="251"/>
      <c r="J35" s="251"/>
      <c r="K35" s="251"/>
      <c r="L35" s="251">
        <f t="shared" si="2"/>
        <v>0.11764705882352942</v>
      </c>
      <c r="M35" s="251"/>
      <c r="N35" s="251"/>
      <c r="O35" s="251">
        <f>HLOOKUP(E35,PCH_BAL!$D$6:$U$28,19,FALSE)</f>
        <v>0.8373600000000001</v>
      </c>
      <c r="P35" s="211" t="s">
        <v>421</v>
      </c>
      <c r="R35" s="104"/>
      <c r="S35" s="104"/>
      <c r="T35" s="104"/>
      <c r="U35" s="104"/>
      <c r="V35" s="104"/>
      <c r="W35" s="104"/>
      <c r="X35" s="104"/>
      <c r="Y35" s="104"/>
      <c r="Z35" s="104"/>
      <c r="AA35" s="104"/>
      <c r="AB35" s="104"/>
      <c r="AC35" s="104"/>
      <c r="AD35" s="104"/>
      <c r="AE35" s="104"/>
    </row>
    <row r="36" spans="2:31" s="99" customFormat="1" x14ac:dyDescent="0.25">
      <c r="B36" s="99" t="s">
        <v>152</v>
      </c>
      <c r="D36" s="216"/>
      <c r="E36" s="99" t="s">
        <v>152</v>
      </c>
      <c r="F36" s="154"/>
      <c r="G36" s="234"/>
      <c r="H36" s="251"/>
      <c r="I36" s="251"/>
      <c r="J36" s="251"/>
      <c r="K36" s="251"/>
      <c r="L36" s="251" t="e">
        <f t="shared" ref="L36" si="3">O36/SUM($O$17:$O$29)</f>
        <v>#DIV/0!</v>
      </c>
      <c r="M36" s="251"/>
      <c r="N36" s="251"/>
      <c r="O36" s="251"/>
      <c r="P36" s="211" t="s">
        <v>421</v>
      </c>
      <c r="R36" s="104"/>
      <c r="S36" s="104"/>
      <c r="T36" s="104"/>
      <c r="U36" s="104"/>
      <c r="V36" s="104"/>
      <c r="W36" s="104"/>
      <c r="X36" s="104"/>
      <c r="Y36" s="104"/>
      <c r="Z36" s="104"/>
      <c r="AA36" s="104"/>
      <c r="AB36" s="104"/>
      <c r="AC36" s="104"/>
      <c r="AD36" s="104"/>
      <c r="AE36" s="104"/>
    </row>
    <row r="37" spans="2:31" s="99" customFormat="1" x14ac:dyDescent="0.25">
      <c r="E37" s="99" t="str">
        <f t="shared" si="1"/>
        <v>INDCOACOC</v>
      </c>
      <c r="F37" s="154"/>
      <c r="G37" s="234"/>
      <c r="H37" s="251"/>
      <c r="I37" s="251"/>
      <c r="J37" s="251"/>
      <c r="K37" s="251"/>
      <c r="L37" s="251">
        <f t="shared" si="2"/>
        <v>0</v>
      </c>
      <c r="M37" s="251"/>
      <c r="N37" s="251"/>
      <c r="O37" s="251">
        <f>HLOOKUP(E37,PCH_BAL!$D$6:$U$28,19,FALSE)</f>
        <v>0</v>
      </c>
      <c r="P37" s="211" t="s">
        <v>421</v>
      </c>
      <c r="R37" s="104"/>
      <c r="S37" s="104"/>
      <c r="T37" s="104"/>
      <c r="U37" s="104"/>
      <c r="V37" s="104"/>
      <c r="W37" s="104"/>
      <c r="X37" s="104"/>
      <c r="Y37" s="104"/>
      <c r="Z37" s="104"/>
      <c r="AA37" s="104"/>
      <c r="AB37" s="104"/>
      <c r="AC37" s="104"/>
      <c r="AD37" s="104"/>
      <c r="AE37" s="104"/>
    </row>
    <row r="38" spans="2:31" s="99" customFormat="1" x14ac:dyDescent="0.25">
      <c r="E38" s="99" t="str">
        <f t="shared" si="1"/>
        <v>INDCOABCO</v>
      </c>
      <c r="F38" s="154"/>
      <c r="G38" s="234"/>
      <c r="H38" s="251"/>
      <c r="I38" s="251"/>
      <c r="J38" s="251"/>
      <c r="K38" s="251"/>
      <c r="L38" s="251">
        <f t="shared" si="2"/>
        <v>0</v>
      </c>
      <c r="M38" s="251"/>
      <c r="N38" s="251"/>
      <c r="O38" s="251">
        <f>HLOOKUP(E38,PCH_BAL!$D$6:$U$28,19,FALSE)</f>
        <v>0</v>
      </c>
      <c r="P38" s="211" t="s">
        <v>421</v>
      </c>
      <c r="R38" s="104"/>
      <c r="S38" s="104"/>
      <c r="T38" s="104"/>
      <c r="U38" s="104"/>
      <c r="V38" s="104"/>
      <c r="W38" s="104"/>
      <c r="X38" s="104"/>
      <c r="Y38" s="104"/>
      <c r="Z38" s="104"/>
      <c r="AA38" s="104"/>
      <c r="AB38" s="104"/>
      <c r="AC38" s="104"/>
      <c r="AD38" s="104"/>
      <c r="AE38" s="104"/>
    </row>
    <row r="39" spans="2:31" s="99" customFormat="1" x14ac:dyDescent="0.25">
      <c r="E39" s="99" t="str">
        <f t="shared" si="1"/>
        <v>INDCOABKB</v>
      </c>
      <c r="F39" s="154"/>
      <c r="G39" s="234"/>
      <c r="H39" s="251"/>
      <c r="I39" s="251"/>
      <c r="J39" s="251"/>
      <c r="K39" s="251"/>
      <c r="L39" s="251">
        <f t="shared" si="2"/>
        <v>0</v>
      </c>
      <c r="M39" s="251"/>
      <c r="N39" s="251"/>
      <c r="O39" s="251">
        <f>HLOOKUP(E39,PCH_BAL!$D$6:$U$28,19,FALSE)</f>
        <v>0</v>
      </c>
      <c r="P39" s="211" t="s">
        <v>421</v>
      </c>
      <c r="R39" s="104"/>
      <c r="S39" s="104"/>
      <c r="T39" s="104"/>
      <c r="U39" s="104"/>
      <c r="V39" s="104"/>
      <c r="W39" s="104"/>
      <c r="X39" s="104"/>
      <c r="Y39" s="104"/>
      <c r="Z39" s="104"/>
      <c r="AA39" s="104"/>
      <c r="AB39" s="104"/>
      <c r="AC39" s="104"/>
      <c r="AD39" s="104"/>
      <c r="AE39" s="104"/>
    </row>
    <row r="40" spans="2:31" s="99" customFormat="1" x14ac:dyDescent="0.25">
      <c r="E40" s="99" t="str">
        <f t="shared" si="1"/>
        <v>INDOILLPG</v>
      </c>
      <c r="F40" s="154"/>
      <c r="G40" s="234"/>
      <c r="H40" s="251"/>
      <c r="I40" s="251"/>
      <c r="J40" s="251"/>
      <c r="K40" s="251"/>
      <c r="L40" s="251">
        <f t="shared" si="2"/>
        <v>0</v>
      </c>
      <c r="M40" s="251"/>
      <c r="N40" s="251"/>
      <c r="O40" s="251">
        <f>HLOOKUP(E40,PCH_BAL!$D$6:$U$28,19,FALSE)</f>
        <v>0</v>
      </c>
      <c r="P40" s="211" t="s">
        <v>421</v>
      </c>
      <c r="R40" s="104"/>
      <c r="S40" s="104"/>
      <c r="T40" s="104"/>
      <c r="U40" s="104"/>
      <c r="V40" s="104"/>
      <c r="W40" s="104"/>
      <c r="X40" s="104"/>
      <c r="Y40" s="104"/>
      <c r="Z40" s="104"/>
      <c r="AA40" s="104"/>
      <c r="AB40" s="104"/>
      <c r="AC40" s="104"/>
      <c r="AD40" s="104"/>
      <c r="AE40" s="104"/>
    </row>
    <row r="41" spans="2:31" s="99" customFormat="1" x14ac:dyDescent="0.25">
      <c r="E41" s="99" t="str">
        <f t="shared" si="1"/>
        <v>INDOILDSL</v>
      </c>
      <c r="F41" s="154"/>
      <c r="G41" s="234"/>
      <c r="H41" s="251"/>
      <c r="I41" s="251"/>
      <c r="J41" s="251"/>
      <c r="K41" s="251"/>
      <c r="L41" s="251">
        <f t="shared" si="2"/>
        <v>0</v>
      </c>
      <c r="M41" s="251"/>
      <c r="N41" s="251"/>
      <c r="O41" s="251">
        <f>HLOOKUP(E41,PCH_BAL!$D$6:$U$28,19,FALSE)</f>
        <v>0</v>
      </c>
      <c r="P41" s="211" t="s">
        <v>421</v>
      </c>
      <c r="R41" s="104"/>
      <c r="S41" s="104"/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</row>
    <row r="42" spans="2:31" s="99" customFormat="1" x14ac:dyDescent="0.25">
      <c r="E42" s="99" t="str">
        <f t="shared" si="1"/>
        <v>INDBIOLOG</v>
      </c>
      <c r="F42" s="154"/>
      <c r="G42" s="234"/>
      <c r="H42" s="251"/>
      <c r="I42" s="251"/>
      <c r="J42" s="251"/>
      <c r="K42" s="251"/>
      <c r="L42" s="251">
        <f t="shared" si="2"/>
        <v>0</v>
      </c>
      <c r="M42" s="251"/>
      <c r="N42" s="251"/>
      <c r="O42" s="251">
        <f>HLOOKUP(E42,PCH_BAL!$D$6:$U$28,19,FALSE)</f>
        <v>0</v>
      </c>
      <c r="P42" s="211" t="s">
        <v>421</v>
      </c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</row>
    <row r="43" spans="2:31" s="99" customFormat="1" x14ac:dyDescent="0.25">
      <c r="E43" s="99" t="str">
        <f t="shared" si="1"/>
        <v>INDOILOTH</v>
      </c>
      <c r="F43" s="154"/>
      <c r="G43" s="234"/>
      <c r="H43" s="251"/>
      <c r="I43" s="251"/>
      <c r="J43" s="251"/>
      <c r="K43" s="251"/>
      <c r="L43" s="251">
        <f t="shared" si="2"/>
        <v>0</v>
      </c>
      <c r="M43" s="251"/>
      <c r="N43" s="251"/>
      <c r="O43" s="251">
        <f>HLOOKUP(E43,PCH_BAL!$D$6:$U$28,19,FALSE)</f>
        <v>0</v>
      </c>
      <c r="P43" s="211" t="s">
        <v>421</v>
      </c>
      <c r="R43" s="104"/>
      <c r="S43" s="104"/>
      <c r="T43" s="104"/>
      <c r="U43" s="104"/>
      <c r="V43" s="104"/>
      <c r="W43" s="104"/>
      <c r="X43" s="104"/>
      <c r="Y43" s="104"/>
      <c r="Z43" s="104"/>
      <c r="AA43" s="104"/>
      <c r="AB43" s="104"/>
      <c r="AC43" s="104"/>
      <c r="AD43" s="104"/>
      <c r="AE43" s="104"/>
    </row>
    <row r="44" spans="2:31" s="99" customFormat="1" x14ac:dyDescent="0.25">
      <c r="E44" s="99" t="str">
        <f>IND_Fuels!$F$23</f>
        <v>INDOILRFG</v>
      </c>
      <c r="F44" s="154"/>
      <c r="G44" s="234"/>
      <c r="H44" s="251"/>
      <c r="I44" s="251"/>
      <c r="J44" s="251"/>
      <c r="K44" s="251"/>
      <c r="L44" s="251">
        <f>O44/SUM($O$31:$O$44)</f>
        <v>0</v>
      </c>
      <c r="M44" s="251"/>
      <c r="N44" s="251"/>
      <c r="O44" s="251">
        <f>HLOOKUP(E44,PCH_BAL!$D$6:$U$28,19,FALSE)</f>
        <v>0</v>
      </c>
      <c r="P44" s="211" t="s">
        <v>421</v>
      </c>
      <c r="R44" s="104"/>
      <c r="S44" s="104"/>
      <c r="T44" s="104"/>
      <c r="U44" s="104"/>
      <c r="V44" s="104"/>
      <c r="W44" s="104"/>
      <c r="X44" s="104"/>
      <c r="Y44" s="104"/>
      <c r="Z44" s="104"/>
      <c r="AA44" s="104"/>
      <c r="AB44" s="104"/>
      <c r="AC44" s="104"/>
      <c r="AD44" s="104"/>
      <c r="AE44" s="104"/>
    </row>
    <row r="45" spans="2:31" s="99" customFormat="1" x14ac:dyDescent="0.25">
      <c r="B45" s="149"/>
      <c r="C45" s="149"/>
      <c r="D45" s="149"/>
      <c r="E45" s="149"/>
      <c r="F45" s="150" t="str">
        <f>Commodities!Y18</f>
        <v>INDPCH</v>
      </c>
      <c r="G45" s="155"/>
      <c r="H45" s="295"/>
      <c r="I45" s="295"/>
      <c r="J45" s="295"/>
      <c r="K45" s="295"/>
      <c r="L45" s="295"/>
      <c r="M45" s="295"/>
      <c r="N45" s="295"/>
      <c r="O45" s="295"/>
      <c r="P45" s="211"/>
      <c r="Q45" s="104"/>
      <c r="R45" s="104"/>
      <c r="S45" s="104"/>
      <c r="T45" s="104"/>
      <c r="U45" s="104"/>
      <c r="V45" s="104"/>
      <c r="W45" s="104"/>
      <c r="X45" s="104"/>
      <c r="Y45" s="104"/>
      <c r="Z45" s="104"/>
      <c r="AA45" s="104"/>
      <c r="AB45" s="104"/>
      <c r="AC45" s="104"/>
      <c r="AD45" s="104"/>
      <c r="AE45" s="104"/>
    </row>
    <row r="46" spans="2:31" s="99" customFormat="1" x14ac:dyDescent="0.25">
      <c r="C46" s="99" t="s">
        <v>152</v>
      </c>
      <c r="D46" s="99" t="str">
        <f>$V$18</f>
        <v xml:space="preserve">Other Agriculture Chemicals </v>
      </c>
      <c r="E46" s="104" t="str">
        <f t="shared" ref="E46:E58" si="4">E31</f>
        <v>INDCOASUB</v>
      </c>
      <c r="F46" s="154"/>
      <c r="G46" s="234">
        <f>G31</f>
        <v>0.8</v>
      </c>
      <c r="H46" s="251">
        <f>SUM(O46:O58)*G46*1.15</f>
        <v>0</v>
      </c>
      <c r="I46" s="251"/>
      <c r="J46" s="251"/>
      <c r="K46" s="251">
        <v>0</v>
      </c>
      <c r="L46" s="251" t="e">
        <f t="shared" ref="L46:L58" si="5">O46/SUM($O$46:$O$58)</f>
        <v>#DIV/0!</v>
      </c>
      <c r="M46" s="251">
        <f>1/1.2</f>
        <v>0.83333333333333337</v>
      </c>
      <c r="N46" s="251"/>
      <c r="O46" s="251">
        <f>HLOOKUP(E46,PCH_BAL!$D$6:$U$28,21,FALSE)</f>
        <v>0</v>
      </c>
      <c r="P46" s="211" t="s">
        <v>422</v>
      </c>
      <c r="Q46" s="104"/>
      <c r="R46" s="104"/>
      <c r="S46" s="104"/>
      <c r="T46" s="104"/>
      <c r="U46" s="104"/>
      <c r="V46" s="104"/>
      <c r="W46" s="104"/>
      <c r="X46" s="104"/>
      <c r="Y46" s="104"/>
      <c r="Z46" s="104"/>
      <c r="AA46" s="104"/>
      <c r="AB46" s="104"/>
      <c r="AC46" s="104"/>
      <c r="AD46" s="104"/>
      <c r="AE46" s="104"/>
    </row>
    <row r="47" spans="2:31" s="99" customFormat="1" x14ac:dyDescent="0.25">
      <c r="C47" s="99" t="s">
        <v>152</v>
      </c>
      <c r="D47" s="104"/>
      <c r="E47" s="104" t="str">
        <f t="shared" si="4"/>
        <v>INDPCHHTH</v>
      </c>
      <c r="F47" s="154"/>
      <c r="G47" s="234"/>
      <c r="H47" s="251"/>
      <c r="I47" s="251"/>
      <c r="J47" s="251"/>
      <c r="K47" s="251"/>
      <c r="L47" s="251" t="e">
        <f t="shared" si="5"/>
        <v>#DIV/0!</v>
      </c>
      <c r="M47" s="251"/>
      <c r="N47" s="251"/>
      <c r="O47" s="251">
        <f>HLOOKUP(E47,PCH_BAL!$D$6:$U$28,21,FALSE)</f>
        <v>0</v>
      </c>
      <c r="P47" s="211" t="s">
        <v>422</v>
      </c>
      <c r="Q47" s="104"/>
      <c r="R47" s="104"/>
      <c r="S47" s="104"/>
      <c r="T47" s="104"/>
      <c r="U47" s="104"/>
      <c r="V47" s="104"/>
      <c r="W47" s="104"/>
      <c r="X47" s="104"/>
      <c r="Y47" s="104"/>
      <c r="Z47" s="104"/>
      <c r="AA47" s="104"/>
      <c r="AB47" s="104"/>
      <c r="AC47" s="104"/>
      <c r="AD47" s="104"/>
      <c r="AE47" s="104"/>
    </row>
    <row r="48" spans="2:31" s="99" customFormat="1" x14ac:dyDescent="0.25">
      <c r="C48" s="99" t="s">
        <v>152</v>
      </c>
      <c r="D48" s="104"/>
      <c r="E48" s="104" t="str">
        <f t="shared" si="4"/>
        <v>INDOILHFO</v>
      </c>
      <c r="F48" s="154"/>
      <c r="G48" s="234"/>
      <c r="H48" s="251"/>
      <c r="I48" s="251"/>
      <c r="J48" s="251"/>
      <c r="K48" s="251"/>
      <c r="L48" s="251" t="e">
        <f t="shared" si="5"/>
        <v>#DIV/0!</v>
      </c>
      <c r="M48" s="251"/>
      <c r="N48" s="251"/>
      <c r="O48" s="251">
        <f>HLOOKUP(E48,PCH_BAL!$D$6:$U$28,21,FALSE)</f>
        <v>0</v>
      </c>
      <c r="P48" s="211" t="s">
        <v>422</v>
      </c>
      <c r="Q48" s="104"/>
      <c r="R48" s="104"/>
      <c r="S48" s="104"/>
      <c r="T48" s="104"/>
      <c r="U48" s="104"/>
      <c r="V48" s="104"/>
      <c r="W48" s="104"/>
      <c r="X48" s="104"/>
      <c r="Y48" s="104"/>
      <c r="Z48" s="104"/>
      <c r="AA48" s="104"/>
      <c r="AB48" s="104"/>
      <c r="AC48" s="104"/>
      <c r="AD48" s="104"/>
      <c r="AE48" s="104"/>
    </row>
    <row r="49" spans="2:31" s="99" customFormat="1" x14ac:dyDescent="0.25">
      <c r="C49" s="99" t="s">
        <v>152</v>
      </c>
      <c r="D49" s="104"/>
      <c r="E49" s="104" t="str">
        <f t="shared" si="4"/>
        <v>INDGASNAT</v>
      </c>
      <c r="F49" s="154"/>
      <c r="G49" s="234"/>
      <c r="H49" s="251"/>
      <c r="I49" s="251"/>
      <c r="J49" s="251"/>
      <c r="K49" s="251"/>
      <c r="L49" s="251" t="e">
        <f t="shared" si="5"/>
        <v>#DIV/0!</v>
      </c>
      <c r="M49" s="251"/>
      <c r="N49" s="251"/>
      <c r="O49" s="251">
        <f>HLOOKUP(E49,PCH_BAL!$D$6:$U$28,21,FALSE)</f>
        <v>0</v>
      </c>
      <c r="P49" s="211" t="s">
        <v>422</v>
      </c>
      <c r="Q49" s="104"/>
      <c r="R49" s="104"/>
      <c r="S49" s="104"/>
      <c r="T49" s="104"/>
      <c r="U49" s="104"/>
      <c r="V49" s="104"/>
      <c r="W49" s="104"/>
      <c r="X49" s="104"/>
      <c r="Y49" s="104"/>
      <c r="Z49" s="104"/>
      <c r="AA49" s="104"/>
      <c r="AB49" s="104"/>
      <c r="AC49" s="104"/>
      <c r="AD49" s="104"/>
      <c r="AE49" s="104"/>
    </row>
    <row r="50" spans="2:31" s="99" customFormat="1" x14ac:dyDescent="0.25">
      <c r="C50" s="99" t="s">
        <v>152</v>
      </c>
      <c r="D50" s="104"/>
      <c r="E50" s="104" t="str">
        <f t="shared" si="4"/>
        <v>INDELC</v>
      </c>
      <c r="F50" s="154"/>
      <c r="G50" s="234"/>
      <c r="H50" s="251"/>
      <c r="I50" s="251"/>
      <c r="J50" s="251"/>
      <c r="K50" s="251"/>
      <c r="L50" s="251" t="e">
        <f t="shared" si="5"/>
        <v>#DIV/0!</v>
      </c>
      <c r="M50" s="251"/>
      <c r="N50" s="251"/>
      <c r="O50" s="251">
        <f>HLOOKUP(E50,PCH_BAL!$D$6:$U$28,21,FALSE)</f>
        <v>0</v>
      </c>
      <c r="P50" s="211" t="s">
        <v>422</v>
      </c>
      <c r="Q50" s="104"/>
      <c r="R50" s="104"/>
      <c r="S50" s="104"/>
      <c r="T50" s="104"/>
      <c r="U50" s="104"/>
      <c r="V50" s="104"/>
      <c r="W50" s="104"/>
      <c r="X50" s="104"/>
      <c r="Y50" s="104"/>
      <c r="Z50" s="104"/>
      <c r="AA50" s="104"/>
      <c r="AB50" s="104"/>
      <c r="AC50" s="104"/>
      <c r="AD50" s="104"/>
      <c r="AE50" s="104"/>
    </row>
    <row r="51" spans="2:31" s="99" customFormat="1" x14ac:dyDescent="0.25">
      <c r="B51" s="99" t="s">
        <v>152</v>
      </c>
      <c r="C51" s="99" t="s">
        <v>152</v>
      </c>
      <c r="D51" s="216"/>
      <c r="E51" s="99" t="str">
        <f t="shared" si="4"/>
        <v>*</v>
      </c>
      <c r="F51" s="154"/>
      <c r="G51" s="234"/>
      <c r="H51" s="251"/>
      <c r="I51" s="251"/>
      <c r="J51" s="251"/>
      <c r="K51" s="251"/>
      <c r="L51" s="251" t="e">
        <f t="shared" ref="L51" si="6">O51/SUM($O$17:$O$29)</f>
        <v>#DIV/0!</v>
      </c>
      <c r="M51" s="251"/>
      <c r="N51" s="251"/>
      <c r="O51" s="251"/>
      <c r="P51" s="211" t="s">
        <v>422</v>
      </c>
      <c r="Q51" s="104"/>
      <c r="R51" s="104"/>
      <c r="S51" s="104"/>
      <c r="T51" s="104"/>
      <c r="U51" s="104"/>
      <c r="V51" s="104"/>
      <c r="W51" s="104"/>
      <c r="X51" s="104"/>
      <c r="Y51" s="104"/>
      <c r="Z51" s="104"/>
      <c r="AA51" s="104"/>
      <c r="AB51" s="104"/>
      <c r="AC51" s="104"/>
      <c r="AD51" s="104"/>
      <c r="AE51" s="104"/>
    </row>
    <row r="52" spans="2:31" s="99" customFormat="1" x14ac:dyDescent="0.25">
      <c r="C52" s="99" t="s">
        <v>152</v>
      </c>
      <c r="D52" s="104"/>
      <c r="E52" s="104" t="str">
        <f t="shared" si="4"/>
        <v>INDCOACOC</v>
      </c>
      <c r="F52" s="154"/>
      <c r="G52" s="234"/>
      <c r="H52" s="251"/>
      <c r="I52" s="251"/>
      <c r="J52" s="251"/>
      <c r="K52" s="251"/>
      <c r="L52" s="251" t="e">
        <f t="shared" si="5"/>
        <v>#DIV/0!</v>
      </c>
      <c r="M52" s="251"/>
      <c r="N52" s="251"/>
      <c r="O52" s="251">
        <f>HLOOKUP(E52,PCH_BAL!$D$6:$U$28,21,FALSE)</f>
        <v>0</v>
      </c>
      <c r="P52" s="211" t="s">
        <v>422</v>
      </c>
      <c r="Q52" s="104"/>
      <c r="R52" s="104"/>
      <c r="S52" s="104"/>
      <c r="T52" s="104"/>
      <c r="U52" s="104"/>
      <c r="V52" s="104"/>
      <c r="W52" s="104"/>
      <c r="X52" s="104"/>
      <c r="Y52" s="104"/>
      <c r="Z52" s="104"/>
      <c r="AA52" s="104"/>
      <c r="AB52" s="104"/>
      <c r="AC52" s="104"/>
      <c r="AD52" s="104"/>
      <c r="AE52" s="104"/>
    </row>
    <row r="53" spans="2:31" s="99" customFormat="1" x14ac:dyDescent="0.25">
      <c r="C53" s="99" t="s">
        <v>152</v>
      </c>
      <c r="D53" s="104"/>
      <c r="E53" s="104" t="str">
        <f t="shared" si="4"/>
        <v>INDCOABCO</v>
      </c>
      <c r="F53" s="154"/>
      <c r="G53" s="234"/>
      <c r="H53" s="251"/>
      <c r="I53" s="251"/>
      <c r="J53" s="251"/>
      <c r="K53" s="251"/>
      <c r="L53" s="251" t="e">
        <f t="shared" si="5"/>
        <v>#DIV/0!</v>
      </c>
      <c r="M53" s="251"/>
      <c r="N53" s="251"/>
      <c r="O53" s="251">
        <f>HLOOKUP(E53,PCH_BAL!$D$6:$U$28,21,FALSE)</f>
        <v>0</v>
      </c>
      <c r="P53" s="211" t="s">
        <v>422</v>
      </c>
      <c r="Q53" s="104"/>
      <c r="R53" s="104"/>
      <c r="S53" s="104"/>
      <c r="T53" s="104"/>
      <c r="U53" s="104"/>
      <c r="V53" s="104"/>
      <c r="W53" s="104"/>
      <c r="X53" s="104"/>
      <c r="Y53" s="104"/>
      <c r="Z53" s="104"/>
      <c r="AA53" s="104"/>
      <c r="AB53" s="104"/>
      <c r="AC53" s="104"/>
      <c r="AD53" s="104"/>
      <c r="AE53" s="104"/>
    </row>
    <row r="54" spans="2:31" s="99" customFormat="1" x14ac:dyDescent="0.25">
      <c r="C54" s="99" t="s">
        <v>152</v>
      </c>
      <c r="D54" s="104"/>
      <c r="E54" s="104" t="str">
        <f t="shared" si="4"/>
        <v>INDCOABKB</v>
      </c>
      <c r="F54" s="154"/>
      <c r="G54" s="234"/>
      <c r="H54" s="251"/>
      <c r="I54" s="251"/>
      <c r="J54" s="251"/>
      <c r="K54" s="251"/>
      <c r="L54" s="251" t="e">
        <f t="shared" si="5"/>
        <v>#DIV/0!</v>
      </c>
      <c r="M54" s="251"/>
      <c r="N54" s="251"/>
      <c r="O54" s="251">
        <f>HLOOKUP(E54,PCH_BAL!$D$6:$U$28,21,FALSE)</f>
        <v>0</v>
      </c>
      <c r="P54" s="211" t="s">
        <v>422</v>
      </c>
      <c r="Q54" s="104"/>
      <c r="R54" s="104"/>
      <c r="S54" s="104"/>
      <c r="T54" s="104"/>
      <c r="U54" s="104"/>
      <c r="V54" s="104"/>
      <c r="W54" s="104"/>
      <c r="X54" s="104"/>
      <c r="Y54" s="104"/>
      <c r="Z54" s="104"/>
      <c r="AA54" s="104"/>
      <c r="AB54" s="104"/>
      <c r="AC54" s="104"/>
      <c r="AD54" s="104"/>
      <c r="AE54" s="104"/>
    </row>
    <row r="55" spans="2:31" s="99" customFormat="1" x14ac:dyDescent="0.25">
      <c r="C55" s="99" t="s">
        <v>152</v>
      </c>
      <c r="D55" s="104"/>
      <c r="E55" s="104" t="str">
        <f t="shared" si="4"/>
        <v>INDOILLPG</v>
      </c>
      <c r="F55" s="154"/>
      <c r="G55" s="234"/>
      <c r="H55" s="251"/>
      <c r="I55" s="251"/>
      <c r="J55" s="251"/>
      <c r="K55" s="251"/>
      <c r="L55" s="251" t="e">
        <f t="shared" si="5"/>
        <v>#DIV/0!</v>
      </c>
      <c r="M55" s="251"/>
      <c r="N55" s="251"/>
      <c r="O55" s="251">
        <f>HLOOKUP(E55,PCH_BAL!$D$6:$U$28,21,FALSE)</f>
        <v>0</v>
      </c>
      <c r="P55" s="211" t="s">
        <v>422</v>
      </c>
      <c r="Q55" s="104"/>
      <c r="R55" s="104"/>
      <c r="S55" s="104"/>
      <c r="T55" s="104"/>
      <c r="U55" s="104"/>
      <c r="V55" s="104"/>
      <c r="W55" s="104"/>
      <c r="X55" s="104"/>
      <c r="Y55" s="104"/>
      <c r="Z55" s="104"/>
      <c r="AA55" s="104"/>
      <c r="AB55" s="104"/>
      <c r="AC55" s="104"/>
      <c r="AD55" s="104"/>
      <c r="AE55" s="104"/>
    </row>
    <row r="56" spans="2:31" s="99" customFormat="1" x14ac:dyDescent="0.25">
      <c r="C56" s="99" t="s">
        <v>152</v>
      </c>
      <c r="D56" s="104"/>
      <c r="E56" s="104" t="str">
        <f t="shared" si="4"/>
        <v>INDOILDSL</v>
      </c>
      <c r="F56" s="154"/>
      <c r="G56" s="234"/>
      <c r="H56" s="251"/>
      <c r="I56" s="251"/>
      <c r="J56" s="251"/>
      <c r="K56" s="251"/>
      <c r="L56" s="251" t="e">
        <f t="shared" si="5"/>
        <v>#DIV/0!</v>
      </c>
      <c r="M56" s="251"/>
      <c r="N56" s="251"/>
      <c r="O56" s="251">
        <f>HLOOKUP(E56,PCH_BAL!$D$6:$U$28,21,FALSE)</f>
        <v>0</v>
      </c>
      <c r="P56" s="211" t="s">
        <v>422</v>
      </c>
      <c r="Q56" s="104"/>
      <c r="R56" s="104"/>
      <c r="S56" s="104"/>
      <c r="T56" s="104"/>
      <c r="U56" s="104"/>
      <c r="V56" s="104"/>
      <c r="W56" s="104"/>
      <c r="X56" s="104"/>
      <c r="Y56" s="104"/>
      <c r="Z56" s="104"/>
      <c r="AA56" s="104"/>
      <c r="AB56" s="104"/>
      <c r="AC56" s="104"/>
      <c r="AD56" s="104"/>
      <c r="AE56" s="104"/>
    </row>
    <row r="57" spans="2:31" s="99" customFormat="1" x14ac:dyDescent="0.25">
      <c r="C57" s="99" t="s">
        <v>152</v>
      </c>
      <c r="D57" s="104"/>
      <c r="E57" s="104" t="str">
        <f t="shared" si="4"/>
        <v>INDBIOLOG</v>
      </c>
      <c r="F57" s="154"/>
      <c r="G57" s="234"/>
      <c r="H57" s="251"/>
      <c r="I57" s="251"/>
      <c r="J57" s="251"/>
      <c r="K57" s="251"/>
      <c r="L57" s="251" t="e">
        <f t="shared" si="5"/>
        <v>#DIV/0!</v>
      </c>
      <c r="M57" s="251"/>
      <c r="N57" s="251"/>
      <c r="O57" s="251">
        <f>HLOOKUP(E57,PCH_BAL!$D$6:$U$28,21,FALSE)</f>
        <v>0</v>
      </c>
      <c r="P57" s="211" t="s">
        <v>422</v>
      </c>
      <c r="Q57" s="104"/>
      <c r="R57" s="104"/>
      <c r="S57" s="104"/>
      <c r="T57" s="104"/>
      <c r="U57" s="104"/>
      <c r="V57" s="104"/>
      <c r="W57" s="104"/>
      <c r="X57" s="104"/>
      <c r="Y57" s="104"/>
      <c r="Z57" s="104"/>
      <c r="AA57" s="104"/>
      <c r="AB57" s="104"/>
      <c r="AC57" s="104"/>
      <c r="AD57" s="104"/>
      <c r="AE57" s="104"/>
    </row>
    <row r="58" spans="2:31" s="99" customFormat="1" x14ac:dyDescent="0.25">
      <c r="C58" s="99" t="s">
        <v>152</v>
      </c>
      <c r="D58" s="104"/>
      <c r="E58" s="104" t="str">
        <f t="shared" si="4"/>
        <v>INDOILOTH</v>
      </c>
      <c r="F58" s="154"/>
      <c r="G58" s="234"/>
      <c r="H58" s="251"/>
      <c r="I58" s="251"/>
      <c r="J58" s="251"/>
      <c r="K58" s="251"/>
      <c r="L58" s="251" t="e">
        <f t="shared" si="5"/>
        <v>#DIV/0!</v>
      </c>
      <c r="M58" s="211"/>
      <c r="N58" s="211"/>
      <c r="O58" s="251">
        <f>HLOOKUP(E58,PCH_BAL!$D$6:$U$28,21,FALSE)</f>
        <v>0</v>
      </c>
      <c r="P58" s="211" t="s">
        <v>422</v>
      </c>
      <c r="Q58" s="104"/>
      <c r="R58" s="104"/>
      <c r="S58" s="104"/>
      <c r="T58" s="104"/>
      <c r="U58" s="104"/>
      <c r="V58" s="104"/>
      <c r="W58" s="104"/>
      <c r="X58" s="104"/>
      <c r="Y58" s="104"/>
      <c r="Z58" s="104"/>
      <c r="AA58" s="104"/>
      <c r="AB58" s="104"/>
      <c r="AC58" s="104"/>
      <c r="AD58" s="104"/>
      <c r="AE58" s="104"/>
    </row>
    <row r="59" spans="2:31" s="99" customFormat="1" x14ac:dyDescent="0.25">
      <c r="B59" s="149"/>
      <c r="C59" s="99" t="s">
        <v>152</v>
      </c>
      <c r="D59" s="149"/>
      <c r="E59" s="149"/>
      <c r="F59" s="150" t="str">
        <f>Commodities!Y19</f>
        <v>INDACH</v>
      </c>
      <c r="G59" s="155"/>
      <c r="H59" s="295"/>
      <c r="I59" s="295"/>
      <c r="J59" s="295"/>
      <c r="K59" s="295"/>
      <c r="L59" s="295"/>
      <c r="M59" s="295"/>
      <c r="N59" s="295"/>
      <c r="O59" s="295"/>
      <c r="P59" s="211"/>
      <c r="Q59" s="104"/>
      <c r="R59" s="104"/>
      <c r="S59" s="104"/>
      <c r="T59" s="104"/>
      <c r="U59" s="104"/>
      <c r="V59" s="104"/>
      <c r="W59" s="104"/>
      <c r="X59" s="104"/>
      <c r="Y59" s="104"/>
      <c r="Z59" s="104"/>
      <c r="AA59" s="104"/>
      <c r="AB59" s="104"/>
      <c r="AC59" s="104"/>
      <c r="AD59" s="104"/>
      <c r="AE59" s="104"/>
    </row>
    <row r="60" spans="2:31" s="99" customFormat="1" x14ac:dyDescent="0.25">
      <c r="C60" s="99" t="s">
        <v>152</v>
      </c>
      <c r="D60" s="99" t="str">
        <f>V19</f>
        <v xml:space="preserve">Other Chemicals </v>
      </c>
      <c r="E60" s="99" t="str">
        <f>E17</f>
        <v>INDCOASUB</v>
      </c>
      <c r="F60" s="154"/>
      <c r="G60" s="234">
        <f>G46</f>
        <v>0.8</v>
      </c>
      <c r="H60" s="251">
        <f>SUM(O60:O72)*G60*1.15</f>
        <v>0</v>
      </c>
      <c r="I60" s="251"/>
      <c r="J60" s="251"/>
      <c r="K60" s="251">
        <v>0</v>
      </c>
      <c r="L60" s="251" t="e">
        <f t="shared" ref="L60:L72" si="7">O60/SUM($O$60:$O$72)</f>
        <v>#DIV/0!</v>
      </c>
      <c r="M60" s="251">
        <f>1/1.2</f>
        <v>0.83333333333333337</v>
      </c>
      <c r="N60" s="251"/>
      <c r="O60" s="251">
        <f>HLOOKUP(E60,PCH_BAL!$D$6:$U$28,23,FALSE)</f>
        <v>0</v>
      </c>
      <c r="P60" s="211" t="s">
        <v>423</v>
      </c>
      <c r="Q60" s="104"/>
      <c r="R60" s="104"/>
      <c r="S60" s="104"/>
      <c r="T60" s="104"/>
      <c r="U60" s="104"/>
      <c r="V60" s="104"/>
      <c r="W60" s="104"/>
      <c r="X60" s="104"/>
      <c r="Y60" s="104"/>
      <c r="Z60" s="104"/>
      <c r="AA60" s="104"/>
      <c r="AB60" s="104"/>
      <c r="AC60" s="104"/>
      <c r="AD60" s="104"/>
      <c r="AE60" s="104"/>
    </row>
    <row r="61" spans="2:31" s="99" customFormat="1" x14ac:dyDescent="0.25">
      <c r="C61" s="99" t="s">
        <v>152</v>
      </c>
      <c r="D61" s="104"/>
      <c r="E61" s="99" t="str">
        <f>E18</f>
        <v>INDPCHHTH</v>
      </c>
      <c r="F61" s="154"/>
      <c r="G61" s="234"/>
      <c r="H61" s="251"/>
      <c r="I61" s="251"/>
      <c r="J61" s="251"/>
      <c r="K61" s="251"/>
      <c r="L61" s="251" t="e">
        <f t="shared" si="7"/>
        <v>#DIV/0!</v>
      </c>
      <c r="M61" s="251"/>
      <c r="N61" s="251"/>
      <c r="O61" s="251">
        <f>HLOOKUP(E61,PCH_BAL!$D$6:$U$28,23,FALSE)</f>
        <v>0</v>
      </c>
      <c r="P61" s="211" t="s">
        <v>423</v>
      </c>
      <c r="Q61" s="104"/>
      <c r="R61" s="104"/>
      <c r="S61" s="104"/>
      <c r="T61" s="104"/>
      <c r="U61" s="104"/>
      <c r="V61" s="104"/>
      <c r="W61" s="104"/>
      <c r="X61" s="104"/>
      <c r="Y61" s="104"/>
      <c r="Z61" s="104"/>
      <c r="AA61" s="104"/>
      <c r="AB61" s="104"/>
      <c r="AC61" s="104"/>
      <c r="AD61" s="104"/>
      <c r="AE61" s="104"/>
    </row>
    <row r="62" spans="2:31" s="99" customFormat="1" x14ac:dyDescent="0.25">
      <c r="C62" s="99" t="s">
        <v>152</v>
      </c>
      <c r="D62" s="104"/>
      <c r="E62" s="99" t="str">
        <f>E19</f>
        <v>INDOILHFO</v>
      </c>
      <c r="F62" s="154"/>
      <c r="G62" s="234"/>
      <c r="H62" s="251"/>
      <c r="I62" s="251"/>
      <c r="J62" s="251"/>
      <c r="K62" s="251"/>
      <c r="L62" s="251" t="e">
        <f t="shared" si="7"/>
        <v>#DIV/0!</v>
      </c>
      <c r="M62" s="251"/>
      <c r="N62" s="251"/>
      <c r="O62" s="251">
        <f>HLOOKUP(E62,PCH_BAL!$D$6:$U$28,23,FALSE)</f>
        <v>0</v>
      </c>
      <c r="P62" s="211" t="s">
        <v>423</v>
      </c>
      <c r="Q62" s="104"/>
      <c r="R62" s="104"/>
      <c r="S62" s="104"/>
      <c r="T62" s="104"/>
      <c r="U62" s="104"/>
      <c r="V62" s="104"/>
      <c r="W62" s="104"/>
      <c r="X62" s="104"/>
      <c r="Y62" s="104"/>
      <c r="Z62" s="104"/>
      <c r="AA62" s="104"/>
      <c r="AB62" s="104"/>
      <c r="AC62" s="104"/>
      <c r="AD62" s="104"/>
      <c r="AE62" s="104"/>
    </row>
    <row r="63" spans="2:31" s="99" customFormat="1" x14ac:dyDescent="0.25">
      <c r="C63" s="99" t="s">
        <v>152</v>
      </c>
      <c r="D63" s="104"/>
      <c r="E63" s="99" t="str">
        <f>E20</f>
        <v>INDGASNAT</v>
      </c>
      <c r="F63" s="154"/>
      <c r="G63" s="234"/>
      <c r="H63" s="251"/>
      <c r="I63" s="251"/>
      <c r="J63" s="251"/>
      <c r="K63" s="251"/>
      <c r="L63" s="251" t="e">
        <f t="shared" si="7"/>
        <v>#DIV/0!</v>
      </c>
      <c r="M63" s="251"/>
      <c r="N63" s="251"/>
      <c r="O63" s="251">
        <f>HLOOKUP(E63,PCH_BAL!$D$6:$U$28,23,FALSE)</f>
        <v>0</v>
      </c>
      <c r="P63" s="211" t="s">
        <v>423</v>
      </c>
      <c r="Q63" s="104"/>
      <c r="R63" s="104"/>
      <c r="S63" s="104"/>
      <c r="T63" s="104"/>
      <c r="U63" s="104"/>
      <c r="V63" s="104"/>
      <c r="W63" s="104"/>
      <c r="X63" s="104"/>
      <c r="Y63" s="104"/>
      <c r="Z63" s="104"/>
      <c r="AA63" s="104"/>
      <c r="AB63" s="104"/>
      <c r="AC63" s="104"/>
      <c r="AD63" s="104"/>
      <c r="AE63" s="104"/>
    </row>
    <row r="64" spans="2:31" s="99" customFormat="1" x14ac:dyDescent="0.25">
      <c r="C64" s="99" t="s">
        <v>152</v>
      </c>
      <c r="D64" s="104"/>
      <c r="E64" s="99" t="str">
        <f>E21</f>
        <v>INDELC</v>
      </c>
      <c r="F64" s="154"/>
      <c r="G64" s="234"/>
      <c r="H64" s="251"/>
      <c r="I64" s="251"/>
      <c r="J64" s="251"/>
      <c r="K64" s="251"/>
      <c r="L64" s="251" t="e">
        <f t="shared" si="7"/>
        <v>#DIV/0!</v>
      </c>
      <c r="M64" s="251"/>
      <c r="N64" s="251"/>
      <c r="O64" s="251">
        <f>HLOOKUP(E64,PCH_BAL!$D$6:$U$28,23,FALSE)</f>
        <v>0</v>
      </c>
      <c r="P64" s="211" t="s">
        <v>423</v>
      </c>
      <c r="Q64" s="104"/>
      <c r="R64" s="104"/>
      <c r="S64" s="104"/>
      <c r="T64" s="104"/>
      <c r="U64" s="104"/>
      <c r="V64" s="104"/>
      <c r="W64" s="104"/>
      <c r="X64" s="104"/>
      <c r="Y64" s="104"/>
      <c r="Z64" s="104"/>
      <c r="AA64" s="104"/>
      <c r="AB64" s="104"/>
      <c r="AC64" s="104"/>
      <c r="AD64" s="104"/>
      <c r="AE64" s="104"/>
    </row>
    <row r="65" spans="2:31" s="99" customFormat="1" x14ac:dyDescent="0.25">
      <c r="B65" s="99" t="s">
        <v>152</v>
      </c>
      <c r="C65" s="99" t="s">
        <v>152</v>
      </c>
      <c r="D65" s="216"/>
      <c r="E65" s="99" t="str">
        <f>E51</f>
        <v>*</v>
      </c>
      <c r="F65" s="154"/>
      <c r="G65" s="234"/>
      <c r="H65" s="251"/>
      <c r="I65" s="251"/>
      <c r="J65" s="251"/>
      <c r="K65" s="251"/>
      <c r="L65" s="251" t="e">
        <f t="shared" ref="L65" si="8">O65/SUM($O$17:$O$29)</f>
        <v>#DIV/0!</v>
      </c>
      <c r="M65" s="251"/>
      <c r="N65" s="251"/>
      <c r="O65" s="251"/>
      <c r="P65" s="211" t="s">
        <v>423</v>
      </c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  <c r="AB65" s="104"/>
      <c r="AC65" s="104"/>
      <c r="AD65" s="104"/>
      <c r="AE65" s="104"/>
    </row>
    <row r="66" spans="2:31" s="99" customFormat="1" x14ac:dyDescent="0.25">
      <c r="C66" s="99" t="s">
        <v>152</v>
      </c>
      <c r="D66" s="104"/>
      <c r="E66" s="99" t="str">
        <f t="shared" ref="E66:E72" si="9">E23</f>
        <v>INDCOACOC</v>
      </c>
      <c r="F66" s="154"/>
      <c r="G66" s="234"/>
      <c r="H66" s="251"/>
      <c r="I66" s="251"/>
      <c r="J66" s="251"/>
      <c r="K66" s="251"/>
      <c r="L66" s="251" t="e">
        <f t="shared" si="7"/>
        <v>#DIV/0!</v>
      </c>
      <c r="M66" s="251"/>
      <c r="N66" s="251"/>
      <c r="O66" s="251">
        <f>HLOOKUP(E66,PCH_BAL!$D$6:$U$28,23,FALSE)</f>
        <v>0</v>
      </c>
      <c r="P66" s="211" t="s">
        <v>423</v>
      </c>
      <c r="Q66" s="104"/>
      <c r="R66" s="104"/>
      <c r="S66" s="104"/>
      <c r="T66" s="104"/>
      <c r="U66" s="104"/>
      <c r="V66" s="104"/>
      <c r="W66" s="104"/>
      <c r="X66" s="104"/>
      <c r="Y66" s="104"/>
      <c r="Z66" s="104"/>
      <c r="AA66" s="104"/>
      <c r="AB66" s="104"/>
      <c r="AC66" s="104"/>
      <c r="AD66" s="104"/>
      <c r="AE66" s="104"/>
    </row>
    <row r="67" spans="2:31" s="99" customFormat="1" x14ac:dyDescent="0.25">
      <c r="C67" s="99" t="s">
        <v>152</v>
      </c>
      <c r="D67" s="104"/>
      <c r="E67" s="99" t="str">
        <f t="shared" si="9"/>
        <v>INDCOABCO</v>
      </c>
      <c r="F67" s="154"/>
      <c r="G67" s="234"/>
      <c r="H67" s="251"/>
      <c r="I67" s="251"/>
      <c r="J67" s="251"/>
      <c r="K67" s="251"/>
      <c r="L67" s="251" t="e">
        <f t="shared" si="7"/>
        <v>#DIV/0!</v>
      </c>
      <c r="M67" s="251"/>
      <c r="N67" s="251"/>
      <c r="O67" s="251">
        <f>HLOOKUP(E67,PCH_BAL!$D$6:$U$28,23,FALSE)</f>
        <v>0</v>
      </c>
      <c r="P67" s="211" t="s">
        <v>423</v>
      </c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  <c r="AB67" s="104"/>
      <c r="AC67" s="104"/>
      <c r="AD67" s="104"/>
      <c r="AE67" s="104"/>
    </row>
    <row r="68" spans="2:31" s="99" customFormat="1" x14ac:dyDescent="0.25">
      <c r="C68" s="99" t="s">
        <v>152</v>
      </c>
      <c r="D68" s="104"/>
      <c r="E68" s="99" t="str">
        <f t="shared" si="9"/>
        <v>INDCOABKB</v>
      </c>
      <c r="F68" s="154"/>
      <c r="G68" s="234"/>
      <c r="H68" s="251"/>
      <c r="I68" s="251"/>
      <c r="J68" s="251"/>
      <c r="K68" s="251"/>
      <c r="L68" s="251" t="e">
        <f t="shared" si="7"/>
        <v>#DIV/0!</v>
      </c>
      <c r="M68" s="251"/>
      <c r="N68" s="251"/>
      <c r="O68" s="251">
        <f>HLOOKUP(E68,PCH_BAL!$D$6:$U$28,23,FALSE)</f>
        <v>0</v>
      </c>
      <c r="P68" s="211" t="s">
        <v>423</v>
      </c>
      <c r="Q68" s="104"/>
      <c r="R68" s="104"/>
      <c r="S68" s="104"/>
      <c r="T68" s="104"/>
      <c r="U68" s="104"/>
      <c r="V68" s="104"/>
      <c r="W68" s="104"/>
      <c r="X68" s="104"/>
      <c r="Y68" s="104"/>
      <c r="Z68" s="104"/>
      <c r="AA68" s="104"/>
      <c r="AB68" s="104"/>
      <c r="AC68" s="104"/>
      <c r="AD68" s="104"/>
      <c r="AE68" s="104"/>
    </row>
    <row r="69" spans="2:31" s="99" customFormat="1" x14ac:dyDescent="0.25">
      <c r="C69" s="99" t="s">
        <v>152</v>
      </c>
      <c r="D69" s="104"/>
      <c r="E69" s="99" t="str">
        <f t="shared" si="9"/>
        <v>INDOILLPG</v>
      </c>
      <c r="F69" s="154"/>
      <c r="G69" s="234"/>
      <c r="H69" s="251"/>
      <c r="I69" s="251"/>
      <c r="J69" s="251"/>
      <c r="K69" s="251"/>
      <c r="L69" s="251" t="e">
        <f t="shared" si="7"/>
        <v>#DIV/0!</v>
      </c>
      <c r="M69" s="251"/>
      <c r="N69" s="251"/>
      <c r="O69" s="251">
        <f>HLOOKUP(E69,PCH_BAL!$D$6:$U$28,23,FALSE)</f>
        <v>0</v>
      </c>
      <c r="P69" s="211" t="s">
        <v>423</v>
      </c>
      <c r="Q69" s="104"/>
      <c r="R69" s="104"/>
      <c r="S69" s="104"/>
      <c r="T69" s="104"/>
      <c r="U69" s="104"/>
      <c r="V69" s="104"/>
      <c r="W69" s="104"/>
      <c r="X69" s="104"/>
      <c r="Y69" s="104"/>
      <c r="Z69" s="104"/>
      <c r="AA69" s="104"/>
      <c r="AB69" s="104"/>
      <c r="AC69" s="104"/>
      <c r="AD69" s="104"/>
      <c r="AE69" s="104"/>
    </row>
    <row r="70" spans="2:31" s="99" customFormat="1" x14ac:dyDescent="0.25">
      <c r="C70" s="99" t="s">
        <v>152</v>
      </c>
      <c r="D70" s="104"/>
      <c r="E70" s="99" t="str">
        <f t="shared" si="9"/>
        <v>INDOILDSL</v>
      </c>
      <c r="F70" s="154"/>
      <c r="G70" s="234"/>
      <c r="H70" s="251"/>
      <c r="I70" s="251"/>
      <c r="J70" s="251"/>
      <c r="K70" s="251"/>
      <c r="L70" s="251" t="e">
        <f t="shared" si="7"/>
        <v>#DIV/0!</v>
      </c>
      <c r="M70" s="251"/>
      <c r="N70" s="251"/>
      <c r="O70" s="251">
        <f>HLOOKUP(E70,PCH_BAL!$D$6:$U$28,23,FALSE)</f>
        <v>0</v>
      </c>
      <c r="P70" s="211" t="s">
        <v>423</v>
      </c>
      <c r="Q70" s="104"/>
      <c r="R70" s="104"/>
      <c r="S70" s="104"/>
      <c r="T70" s="104"/>
      <c r="U70" s="104"/>
      <c r="V70" s="104"/>
      <c r="W70" s="104"/>
      <c r="X70" s="104"/>
      <c r="Y70" s="104"/>
      <c r="Z70" s="104"/>
      <c r="AA70" s="104"/>
      <c r="AB70" s="104"/>
      <c r="AC70" s="104"/>
      <c r="AD70" s="104"/>
      <c r="AE70" s="104"/>
    </row>
    <row r="71" spans="2:31" s="99" customFormat="1" x14ac:dyDescent="0.25">
      <c r="C71" s="99" t="s">
        <v>152</v>
      </c>
      <c r="D71" s="104"/>
      <c r="E71" s="99" t="str">
        <f t="shared" si="9"/>
        <v>INDBIOLOG</v>
      </c>
      <c r="F71" s="154"/>
      <c r="G71" s="234"/>
      <c r="H71" s="251"/>
      <c r="I71" s="251"/>
      <c r="J71" s="251"/>
      <c r="K71" s="251"/>
      <c r="L71" s="251" t="e">
        <f t="shared" si="7"/>
        <v>#DIV/0!</v>
      </c>
      <c r="M71" s="251"/>
      <c r="N71" s="251"/>
      <c r="O71" s="251">
        <f>HLOOKUP(E71,PCH_BAL!$D$6:$U$28,23,FALSE)</f>
        <v>0</v>
      </c>
      <c r="P71" s="211" t="s">
        <v>423</v>
      </c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  <c r="AB71" s="104"/>
      <c r="AC71" s="104"/>
      <c r="AD71" s="104"/>
      <c r="AE71" s="104"/>
    </row>
    <row r="72" spans="2:31" s="99" customFormat="1" x14ac:dyDescent="0.25">
      <c r="C72" s="99" t="s">
        <v>152</v>
      </c>
      <c r="D72" s="104"/>
      <c r="E72" s="99" t="str">
        <f t="shared" si="9"/>
        <v>INDOILOTH</v>
      </c>
      <c r="F72" s="154"/>
      <c r="G72" s="234"/>
      <c r="H72" s="251"/>
      <c r="I72" s="251"/>
      <c r="J72" s="251"/>
      <c r="K72" s="251"/>
      <c r="L72" s="251" t="e">
        <f t="shared" si="7"/>
        <v>#DIV/0!</v>
      </c>
      <c r="M72" s="211"/>
      <c r="N72" s="211"/>
      <c r="O72" s="251">
        <f>HLOOKUP(E72,PCH_BAL!$D$6:$U$28,23,FALSE)</f>
        <v>0</v>
      </c>
      <c r="P72" s="211" t="s">
        <v>423</v>
      </c>
      <c r="Q72" s="104"/>
      <c r="R72" s="104"/>
      <c r="S72" s="104"/>
      <c r="T72" s="104"/>
      <c r="U72" s="104"/>
      <c r="V72" s="104"/>
      <c r="W72" s="104"/>
      <c r="X72" s="104"/>
      <c r="Y72" s="104"/>
      <c r="Z72" s="104"/>
      <c r="AA72" s="104"/>
      <c r="AB72" s="104"/>
      <c r="AC72" s="104"/>
      <c r="AD72" s="104"/>
      <c r="AE72" s="104"/>
    </row>
    <row r="73" spans="2:31" s="99" customFormat="1" x14ac:dyDescent="0.25">
      <c r="B73" s="149"/>
      <c r="C73" s="99" t="s">
        <v>152</v>
      </c>
      <c r="D73" s="149"/>
      <c r="E73" s="149"/>
      <c r="F73" s="149" t="str">
        <f>Commodities!Y20</f>
        <v>INDOCH</v>
      </c>
      <c r="G73" s="155"/>
      <c r="H73" s="295"/>
      <c r="I73" s="295"/>
      <c r="J73" s="295"/>
      <c r="K73" s="295"/>
      <c r="L73" s="295"/>
      <c r="M73" s="295"/>
      <c r="N73" s="295"/>
      <c r="O73" s="295"/>
      <c r="P73" s="211"/>
      <c r="Q73" s="104"/>
      <c r="R73" s="104"/>
      <c r="S73" s="104"/>
      <c r="T73" s="104"/>
      <c r="U73" s="104"/>
      <c r="V73" s="104"/>
      <c r="W73" s="104"/>
      <c r="X73" s="104"/>
      <c r="Y73" s="104"/>
      <c r="Z73" s="104"/>
      <c r="AA73" s="104"/>
      <c r="AB73" s="104"/>
      <c r="AC73" s="104"/>
      <c r="AD73" s="104"/>
      <c r="AE73" s="104"/>
    </row>
    <row r="74" spans="2:31" s="99" customFormat="1" x14ac:dyDescent="0.25">
      <c r="B74" s="104"/>
      <c r="C74" s="104"/>
      <c r="D74" s="104"/>
      <c r="E74" s="104"/>
      <c r="F74" s="104"/>
      <c r="G74" s="146"/>
      <c r="H74" s="223"/>
      <c r="I74" s="146"/>
      <c r="J74" s="146"/>
      <c r="K74" s="146"/>
      <c r="L74" s="211"/>
      <c r="M74" s="211"/>
      <c r="N74" s="146"/>
      <c r="O74" s="211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  <c r="AB74" s="104"/>
      <c r="AC74" s="104"/>
      <c r="AD74" s="104"/>
      <c r="AE74" s="104"/>
    </row>
    <row r="75" spans="2:31" s="99" customFormat="1" x14ac:dyDescent="0.25">
      <c r="B75" s="104"/>
      <c r="C75" s="104"/>
      <c r="D75" s="104"/>
      <c r="E75" s="104"/>
      <c r="F75" s="104"/>
      <c r="G75" s="146"/>
      <c r="H75" s="223"/>
      <c r="I75" s="146"/>
      <c r="J75" s="146"/>
      <c r="K75" s="146"/>
      <c r="L75" s="211"/>
      <c r="M75" s="146"/>
      <c r="N75" s="211"/>
      <c r="O75" s="104"/>
      <c r="P75" s="104"/>
      <c r="Q75" s="104"/>
      <c r="R75" s="104"/>
      <c r="S75" s="104"/>
      <c r="T75" s="104"/>
      <c r="U75" s="104"/>
      <c r="V75" s="104"/>
      <c r="W75" s="104"/>
      <c r="X75" s="104"/>
      <c r="Y75" s="104"/>
      <c r="Z75" s="104"/>
      <c r="AA75" s="104"/>
      <c r="AB75" s="104"/>
      <c r="AC75" s="104"/>
      <c r="AD75" s="104"/>
    </row>
    <row r="76" spans="2:31" s="99" customFormat="1" x14ac:dyDescent="0.25">
      <c r="F76" s="126" t="s">
        <v>15</v>
      </c>
      <c r="G76" s="127"/>
      <c r="H76" s="127"/>
      <c r="I76" s="127"/>
      <c r="J76" s="129"/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  <c r="Z76" s="104"/>
      <c r="AA76" s="104"/>
      <c r="AB76" s="104"/>
      <c r="AC76" s="104"/>
      <c r="AD76" s="104"/>
    </row>
    <row r="77" spans="2:31" s="99" customFormat="1" x14ac:dyDescent="0.25">
      <c r="B77" s="130" t="s">
        <v>33</v>
      </c>
      <c r="C77" s="130" t="s">
        <v>1</v>
      </c>
      <c r="D77" s="131" t="s">
        <v>41</v>
      </c>
      <c r="E77" s="130" t="s">
        <v>7</v>
      </c>
      <c r="F77" s="132" t="s">
        <v>8</v>
      </c>
      <c r="G77" s="133" t="s">
        <v>17</v>
      </c>
      <c r="H77" s="133" t="s">
        <v>285</v>
      </c>
      <c r="I77" s="133" t="s">
        <v>299</v>
      </c>
      <c r="J77" s="133" t="s">
        <v>3</v>
      </c>
      <c r="K77" s="133" t="s">
        <v>6</v>
      </c>
      <c r="L77" s="133" t="s">
        <v>148</v>
      </c>
      <c r="M77" s="133" t="s">
        <v>426</v>
      </c>
      <c r="N77" s="133"/>
      <c r="O77" s="133" t="s">
        <v>402</v>
      </c>
      <c r="P77" s="134"/>
      <c r="Q77" s="134"/>
      <c r="R77" s="170"/>
      <c r="S77" s="104"/>
      <c r="T77" s="104"/>
      <c r="U77" s="104"/>
      <c r="V77" s="104"/>
      <c r="W77" s="104"/>
      <c r="X77" s="104"/>
      <c r="Y77" s="104"/>
      <c r="Z77" s="104"/>
      <c r="AA77" s="104"/>
      <c r="AB77" s="104"/>
      <c r="AC77" s="104"/>
      <c r="AD77" s="104"/>
      <c r="AE77" s="104"/>
    </row>
    <row r="78" spans="2:31" s="99" customFormat="1" ht="28.2" thickBot="1" x14ac:dyDescent="0.3">
      <c r="B78" s="135" t="s">
        <v>150</v>
      </c>
      <c r="C78" s="136" t="s">
        <v>24</v>
      </c>
      <c r="D78" s="136" t="s">
        <v>25</v>
      </c>
      <c r="E78" s="136" t="s">
        <v>35</v>
      </c>
      <c r="F78" s="137" t="s">
        <v>36</v>
      </c>
      <c r="G78" s="136" t="s">
        <v>37</v>
      </c>
      <c r="H78" s="136" t="s">
        <v>286</v>
      </c>
      <c r="I78" s="136" t="s">
        <v>476</v>
      </c>
      <c r="J78" s="136" t="s">
        <v>40</v>
      </c>
      <c r="K78" s="136" t="s">
        <v>39</v>
      </c>
      <c r="L78" s="136" t="s">
        <v>151</v>
      </c>
      <c r="M78" s="136" t="s">
        <v>448</v>
      </c>
      <c r="N78" s="136"/>
      <c r="O78" s="136"/>
      <c r="P78" s="138"/>
      <c r="Q78" s="138"/>
      <c r="R78" s="138"/>
      <c r="S78" s="104"/>
      <c r="T78" s="104"/>
      <c r="U78" s="104"/>
      <c r="V78" s="104"/>
      <c r="W78" s="104"/>
      <c r="X78" s="104"/>
      <c r="Y78" s="104"/>
      <c r="Z78" s="104"/>
      <c r="AA78" s="104"/>
      <c r="AB78" s="104"/>
      <c r="AC78" s="104"/>
      <c r="AD78" s="104"/>
      <c r="AE78" s="104"/>
    </row>
    <row r="79" spans="2:31" s="99" customFormat="1" x14ac:dyDescent="0.25">
      <c r="B79" s="140" t="s">
        <v>152</v>
      </c>
      <c r="C79" s="140"/>
      <c r="D79" s="141"/>
      <c r="E79" s="141" t="s">
        <v>48</v>
      </c>
      <c r="F79" s="172"/>
      <c r="G79" s="141" t="s">
        <v>330</v>
      </c>
      <c r="H79" s="141" t="s">
        <v>436</v>
      </c>
      <c r="I79" s="141" t="s">
        <v>330</v>
      </c>
      <c r="J79" s="141" t="s">
        <v>326</v>
      </c>
      <c r="K79" s="141" t="s">
        <v>324</v>
      </c>
      <c r="L79" s="141" t="s">
        <v>294</v>
      </c>
      <c r="M79" s="141" t="s">
        <v>330</v>
      </c>
      <c r="N79" s="141"/>
      <c r="O79" s="141"/>
      <c r="P79" s="138"/>
      <c r="Q79" s="138"/>
      <c r="R79" s="138"/>
      <c r="S79" s="104"/>
      <c r="T79" s="104"/>
      <c r="U79" s="104"/>
      <c r="V79" s="104"/>
      <c r="W79" s="104"/>
      <c r="X79" s="104"/>
      <c r="Y79" s="104"/>
      <c r="Z79" s="104"/>
      <c r="AA79" s="104"/>
      <c r="AB79" s="104"/>
      <c r="AC79" s="104"/>
      <c r="AD79" s="104"/>
      <c r="AE79" s="104"/>
    </row>
    <row r="80" spans="2:31" s="99" customFormat="1" x14ac:dyDescent="0.25">
      <c r="B80" s="206"/>
      <c r="C80" s="206" t="str">
        <f>U20</f>
        <v>INDPCHBOIE_00</v>
      </c>
      <c r="D80" s="206" t="str">
        <f>V20</f>
        <v xml:space="preserve">Boilers </v>
      </c>
      <c r="E80" s="206" t="s">
        <v>100</v>
      </c>
      <c r="F80" s="147"/>
      <c r="G80" s="312">
        <v>0.8</v>
      </c>
      <c r="H80" s="313">
        <v>0</v>
      </c>
      <c r="I80" s="313">
        <v>0.9</v>
      </c>
      <c r="J80" s="314"/>
      <c r="K80" s="314"/>
      <c r="L80" s="314"/>
      <c r="M80" s="315"/>
      <c r="N80" s="314"/>
      <c r="O80" s="313"/>
      <c r="P80" s="146"/>
      <c r="Q80" s="146"/>
      <c r="R80" s="104"/>
      <c r="S80" s="104"/>
      <c r="T80" s="104"/>
      <c r="U80" s="104"/>
      <c r="V80" s="104"/>
      <c r="W80" s="104"/>
      <c r="X80" s="104"/>
      <c r="Y80" s="104"/>
      <c r="Z80" s="104"/>
      <c r="AA80" s="104"/>
      <c r="AB80" s="104"/>
      <c r="AC80" s="104"/>
      <c r="AD80" s="104"/>
      <c r="AE80" s="104"/>
    </row>
    <row r="81" spans="1:37" x14ac:dyDescent="0.25">
      <c r="A81" s="99"/>
      <c r="D81" s="224"/>
      <c r="E81" s="104" t="s">
        <v>449</v>
      </c>
      <c r="F81" s="154"/>
      <c r="G81" s="153"/>
      <c r="H81" s="223"/>
      <c r="I81" s="223"/>
      <c r="J81" s="146"/>
      <c r="K81" s="146"/>
      <c r="L81" s="146"/>
      <c r="M81" s="211"/>
      <c r="N81" s="146"/>
      <c r="O81" s="223"/>
      <c r="P81" s="146"/>
      <c r="Q81" s="146"/>
      <c r="AF81" s="99"/>
      <c r="AG81" s="99"/>
      <c r="AH81" s="99"/>
      <c r="AI81" s="99"/>
      <c r="AJ81" s="99"/>
    </row>
    <row r="82" spans="1:37" x14ac:dyDescent="0.25">
      <c r="A82" s="99"/>
      <c r="D82" s="224"/>
      <c r="E82" s="104" t="s">
        <v>112</v>
      </c>
      <c r="F82" s="154"/>
      <c r="G82" s="153"/>
      <c r="H82" s="223"/>
      <c r="I82" s="223"/>
      <c r="J82" s="146"/>
      <c r="K82" s="146"/>
      <c r="L82" s="146"/>
      <c r="M82" s="211"/>
      <c r="N82" s="146"/>
      <c r="O82" s="223"/>
      <c r="P82" s="146"/>
      <c r="Q82" s="146"/>
      <c r="AF82" s="99"/>
      <c r="AG82" s="99"/>
      <c r="AH82" s="99"/>
      <c r="AI82" s="99"/>
      <c r="AJ82" s="99"/>
    </row>
    <row r="83" spans="1:37" x14ac:dyDescent="0.25">
      <c r="A83" s="99"/>
      <c r="D83" s="224"/>
      <c r="E83" s="104" t="s">
        <v>129</v>
      </c>
      <c r="F83" s="154"/>
      <c r="G83" s="153"/>
      <c r="H83" s="223"/>
      <c r="I83" s="223"/>
      <c r="J83" s="146"/>
      <c r="K83" s="146"/>
      <c r="L83" s="146"/>
      <c r="M83" s="211"/>
      <c r="N83" s="146"/>
      <c r="O83" s="223"/>
      <c r="P83" s="146"/>
      <c r="Q83" s="146"/>
      <c r="AF83" s="99"/>
      <c r="AG83" s="99"/>
      <c r="AH83" s="99"/>
      <c r="AI83" s="99"/>
      <c r="AJ83" s="99"/>
    </row>
    <row r="84" spans="1:37" x14ac:dyDescent="0.25">
      <c r="A84" s="99"/>
      <c r="D84" s="224"/>
      <c r="E84" s="104" t="s">
        <v>110</v>
      </c>
      <c r="F84" s="154"/>
      <c r="G84" s="153"/>
      <c r="H84" s="223"/>
      <c r="I84" s="223"/>
      <c r="J84" s="146"/>
      <c r="K84" s="146"/>
      <c r="L84" s="146"/>
      <c r="M84" s="211"/>
      <c r="N84" s="146"/>
      <c r="O84" s="223"/>
      <c r="P84" s="146"/>
      <c r="Q84" s="146"/>
      <c r="AF84" s="99"/>
      <c r="AG84" s="99"/>
      <c r="AH84" s="99"/>
      <c r="AI84" s="99"/>
      <c r="AJ84" s="99"/>
    </row>
    <row r="85" spans="1:37" x14ac:dyDescent="0.25">
      <c r="A85" s="99"/>
      <c r="D85" s="224"/>
      <c r="E85" s="104" t="s">
        <v>101</v>
      </c>
      <c r="F85" s="154"/>
      <c r="G85" s="153"/>
      <c r="H85" s="223"/>
      <c r="I85" s="223"/>
      <c r="J85" s="146"/>
      <c r="K85" s="146"/>
      <c r="L85" s="146"/>
      <c r="M85" s="211"/>
      <c r="N85" s="146"/>
      <c r="O85" s="223"/>
      <c r="P85" s="146"/>
      <c r="Q85" s="146"/>
      <c r="AF85" s="99"/>
      <c r="AG85" s="99"/>
      <c r="AH85" s="99"/>
      <c r="AI85" s="99"/>
      <c r="AJ85" s="99"/>
    </row>
    <row r="86" spans="1:37" x14ac:dyDescent="0.25">
      <c r="A86" s="99"/>
      <c r="D86" s="224"/>
      <c r="E86" s="104" t="s">
        <v>612</v>
      </c>
      <c r="F86" s="154"/>
      <c r="G86" s="153"/>
      <c r="H86" s="223"/>
      <c r="I86" s="223"/>
      <c r="J86" s="146"/>
      <c r="K86" s="146"/>
      <c r="L86" s="146"/>
      <c r="M86" s="211"/>
      <c r="N86" s="146"/>
      <c r="O86" s="223"/>
      <c r="P86" s="146"/>
      <c r="Q86" s="146"/>
      <c r="AF86" s="99"/>
      <c r="AG86" s="99"/>
      <c r="AH86" s="99"/>
      <c r="AI86" s="99"/>
      <c r="AJ86" s="99"/>
    </row>
    <row r="87" spans="1:37" x14ac:dyDescent="0.25">
      <c r="A87" s="99"/>
      <c r="D87" s="224"/>
      <c r="E87" s="104" t="s">
        <v>103</v>
      </c>
      <c r="F87" s="154"/>
      <c r="G87" s="153"/>
      <c r="H87" s="223"/>
      <c r="I87" s="223"/>
      <c r="J87" s="146"/>
      <c r="K87" s="146"/>
      <c r="L87" s="146"/>
      <c r="M87" s="211"/>
      <c r="N87" s="146"/>
      <c r="O87" s="223"/>
      <c r="P87" s="146"/>
      <c r="Q87" s="146"/>
      <c r="AF87" s="99"/>
      <c r="AG87" s="99"/>
      <c r="AH87" s="99"/>
      <c r="AI87" s="99"/>
      <c r="AJ87" s="99"/>
    </row>
    <row r="88" spans="1:37" x14ac:dyDescent="0.25">
      <c r="A88" s="99"/>
      <c r="D88" s="224"/>
      <c r="E88" s="104" t="s">
        <v>106</v>
      </c>
      <c r="F88" s="154"/>
      <c r="G88" s="153"/>
      <c r="H88" s="223"/>
      <c r="I88" s="223"/>
      <c r="J88" s="146"/>
      <c r="K88" s="146"/>
      <c r="L88" s="146"/>
      <c r="M88" s="211"/>
      <c r="N88" s="146"/>
      <c r="O88" s="223"/>
      <c r="P88" s="146"/>
      <c r="Q88" s="146"/>
      <c r="AF88" s="99"/>
      <c r="AG88" s="99"/>
      <c r="AH88" s="99"/>
      <c r="AI88" s="99"/>
      <c r="AJ88" s="99"/>
    </row>
    <row r="89" spans="1:37" x14ac:dyDescent="0.25">
      <c r="A89" s="99"/>
      <c r="D89" s="224"/>
      <c r="E89" s="104" t="s">
        <v>104</v>
      </c>
      <c r="F89" s="154"/>
      <c r="G89" s="153"/>
      <c r="H89" s="223"/>
      <c r="I89" s="223"/>
      <c r="J89" s="146"/>
      <c r="K89" s="146"/>
      <c r="L89" s="146"/>
      <c r="M89" s="211"/>
      <c r="N89" s="146"/>
      <c r="O89" s="223"/>
      <c r="P89" s="146"/>
      <c r="Q89" s="146"/>
      <c r="AF89" s="99"/>
      <c r="AG89" s="99"/>
      <c r="AH89" s="99"/>
      <c r="AI89" s="99"/>
      <c r="AJ89" s="99"/>
    </row>
    <row r="90" spans="1:37" x14ac:dyDescent="0.25">
      <c r="A90" s="99"/>
      <c r="D90" s="224"/>
      <c r="E90" s="104" t="s">
        <v>114</v>
      </c>
      <c r="F90" s="154"/>
      <c r="G90" s="153"/>
      <c r="H90" s="223"/>
      <c r="I90" s="223"/>
      <c r="J90" s="146"/>
      <c r="K90" s="146"/>
      <c r="L90" s="146"/>
      <c r="M90" s="211"/>
      <c r="N90" s="146"/>
      <c r="O90" s="223"/>
      <c r="P90" s="146"/>
      <c r="Q90" s="146"/>
      <c r="AF90" s="99"/>
      <c r="AG90" s="99"/>
      <c r="AH90" s="99"/>
      <c r="AI90" s="99"/>
      <c r="AJ90" s="99"/>
    </row>
    <row r="91" spans="1:37" x14ac:dyDescent="0.25">
      <c r="A91" s="99"/>
      <c r="D91" s="224"/>
      <c r="E91" s="104" t="s">
        <v>111</v>
      </c>
      <c r="F91" s="154"/>
      <c r="G91" s="153"/>
      <c r="H91" s="223"/>
      <c r="I91" s="223"/>
      <c r="J91" s="146"/>
      <c r="K91" s="146"/>
      <c r="L91" s="146"/>
      <c r="M91" s="211"/>
      <c r="N91" s="146"/>
      <c r="O91" s="223"/>
      <c r="P91" s="146"/>
      <c r="Q91" s="146"/>
      <c r="AF91" s="99"/>
      <c r="AG91" s="99"/>
      <c r="AH91" s="99"/>
      <c r="AI91" s="99"/>
      <c r="AJ91" s="99"/>
    </row>
    <row r="92" spans="1:37" x14ac:dyDescent="0.25">
      <c r="A92" s="99"/>
      <c r="B92" s="149"/>
      <c r="C92" s="149"/>
      <c r="D92" s="225"/>
      <c r="E92" s="149"/>
      <c r="F92" s="150" t="str">
        <f>Commodities!D91</f>
        <v>INDPCHHTH</v>
      </c>
      <c r="G92" s="155"/>
      <c r="H92" s="226"/>
      <c r="I92" s="226"/>
      <c r="J92" s="152"/>
      <c r="K92" s="152"/>
      <c r="L92" s="152"/>
      <c r="M92" s="152"/>
      <c r="N92" s="152"/>
      <c r="O92" s="152"/>
      <c r="P92" s="146"/>
      <c r="Q92" s="146"/>
      <c r="AF92" s="99"/>
      <c r="AG92" s="99"/>
      <c r="AH92" s="99"/>
      <c r="AI92" s="99"/>
      <c r="AJ92" s="99"/>
    </row>
    <row r="93" spans="1:37" x14ac:dyDescent="0.25">
      <c r="G93" s="153"/>
      <c r="H93" s="223"/>
      <c r="I93" s="223"/>
      <c r="J93" s="146"/>
      <c r="K93" s="146"/>
      <c r="L93" s="146"/>
      <c r="M93" s="211"/>
      <c r="N93" s="146"/>
      <c r="O93" s="146"/>
    </row>
    <row r="94" spans="1:37" x14ac:dyDescent="0.25">
      <c r="G94" s="146"/>
      <c r="H94" s="223"/>
      <c r="I94" s="223"/>
      <c r="J94" s="146"/>
      <c r="K94" s="146"/>
      <c r="L94" s="146"/>
      <c r="M94" s="211"/>
      <c r="N94" s="146"/>
      <c r="O94" s="146"/>
    </row>
    <row r="95" spans="1:37" x14ac:dyDescent="0.25">
      <c r="B95" s="99"/>
      <c r="C95" s="99"/>
      <c r="D95" s="99"/>
      <c r="E95" s="99"/>
      <c r="F95" s="126" t="s">
        <v>15</v>
      </c>
      <c r="G95" s="127"/>
      <c r="H95" s="165"/>
      <c r="I95" s="127"/>
      <c r="J95" s="127"/>
      <c r="K95" s="127"/>
      <c r="L95" s="129"/>
      <c r="M95" s="99"/>
      <c r="N95" s="99"/>
      <c r="O95" s="99"/>
      <c r="AK95" s="104"/>
    </row>
    <row r="96" spans="1:37" x14ac:dyDescent="0.25">
      <c r="B96" s="130" t="s">
        <v>33</v>
      </c>
      <c r="C96" s="130" t="s">
        <v>1</v>
      </c>
      <c r="D96" s="131" t="s">
        <v>41</v>
      </c>
      <c r="E96" s="130" t="s">
        <v>7</v>
      </c>
      <c r="F96" s="132" t="s">
        <v>8</v>
      </c>
      <c r="G96" s="133" t="s">
        <v>17</v>
      </c>
      <c r="H96" s="133" t="s">
        <v>302</v>
      </c>
      <c r="I96" s="133" t="s">
        <v>285</v>
      </c>
      <c r="J96" s="133" t="s">
        <v>299</v>
      </c>
      <c r="K96" s="133" t="s">
        <v>3</v>
      </c>
      <c r="L96" s="133" t="s">
        <v>6</v>
      </c>
      <c r="M96" s="133" t="s">
        <v>148</v>
      </c>
      <c r="N96" s="133" t="s">
        <v>426</v>
      </c>
      <c r="O96" s="133" t="s">
        <v>300</v>
      </c>
      <c r="P96" s="134"/>
      <c r="Q96" s="170"/>
      <c r="R96" s="170"/>
      <c r="S96" s="170"/>
      <c r="T96" s="170"/>
      <c r="U96" s="170"/>
      <c r="AK96" s="104"/>
    </row>
    <row r="97" spans="2:37" ht="28.2" thickBot="1" x14ac:dyDescent="0.3">
      <c r="B97" s="135" t="s">
        <v>150</v>
      </c>
      <c r="C97" s="136" t="s">
        <v>24</v>
      </c>
      <c r="D97" s="136" t="s">
        <v>25</v>
      </c>
      <c r="E97" s="136" t="s">
        <v>35</v>
      </c>
      <c r="F97" s="137" t="s">
        <v>36</v>
      </c>
      <c r="G97" s="136" t="s">
        <v>37</v>
      </c>
      <c r="H97" s="136"/>
      <c r="I97" s="136" t="s">
        <v>286</v>
      </c>
      <c r="J97" s="136" t="s">
        <v>476</v>
      </c>
      <c r="K97" s="136" t="s">
        <v>40</v>
      </c>
      <c r="L97" s="136" t="s">
        <v>39</v>
      </c>
      <c r="M97" s="136" t="s">
        <v>151</v>
      </c>
      <c r="N97" s="136" t="s">
        <v>448</v>
      </c>
      <c r="O97" s="136" t="s">
        <v>468</v>
      </c>
      <c r="P97" s="138"/>
      <c r="Q97" s="138"/>
      <c r="R97" s="138"/>
      <c r="S97" s="138"/>
      <c r="T97" s="138"/>
      <c r="U97" s="138"/>
      <c r="AK97" s="104"/>
    </row>
    <row r="98" spans="2:37" s="104" customFormat="1" x14ac:dyDescent="0.25">
      <c r="B98" s="140" t="s">
        <v>152</v>
      </c>
      <c r="C98" s="140"/>
      <c r="D98" s="141"/>
      <c r="E98" s="141" t="s">
        <v>48</v>
      </c>
      <c r="F98" s="172"/>
      <c r="G98" s="141" t="s">
        <v>330</v>
      </c>
      <c r="H98" s="141"/>
      <c r="I98" s="141" t="s">
        <v>328</v>
      </c>
      <c r="J98" s="141" t="s">
        <v>330</v>
      </c>
      <c r="K98" s="141" t="s">
        <v>326</v>
      </c>
      <c r="L98" s="141" t="s">
        <v>324</v>
      </c>
      <c r="M98" s="141" t="s">
        <v>294</v>
      </c>
      <c r="N98" s="141" t="s">
        <v>330</v>
      </c>
      <c r="O98" s="141"/>
      <c r="P98" s="138"/>
      <c r="Q98" s="138"/>
      <c r="R98" s="138"/>
      <c r="S98" s="138"/>
      <c r="T98" s="138"/>
      <c r="U98" s="138"/>
    </row>
    <row r="99" spans="2:37" s="104" customFormat="1" x14ac:dyDescent="0.25">
      <c r="B99" s="206"/>
      <c r="C99" s="206" t="str">
        <f>U21</f>
        <v>INDPCHCHPE_00</v>
      </c>
      <c r="D99" s="206" t="str">
        <f>V21</f>
        <v xml:space="preserve">onsite CHP </v>
      </c>
      <c r="E99" s="206" t="s">
        <v>100</v>
      </c>
      <c r="F99" s="147"/>
      <c r="G99" s="312">
        <v>0.35</v>
      </c>
      <c r="H99" s="313"/>
      <c r="I99" s="219">
        <v>0</v>
      </c>
      <c r="J99" s="219">
        <v>0.4</v>
      </c>
      <c r="K99" s="118"/>
      <c r="L99" s="118"/>
      <c r="M99" s="118"/>
      <c r="N99" s="316"/>
      <c r="O99" s="251">
        <v>0.5</v>
      </c>
      <c r="P99" s="146"/>
      <c r="Q99" s="148"/>
      <c r="R99" s="211"/>
      <c r="S99" s="211"/>
      <c r="T99" s="146"/>
      <c r="U99" s="146"/>
    </row>
    <row r="100" spans="2:37" s="104" customFormat="1" x14ac:dyDescent="0.25">
      <c r="D100" s="224"/>
      <c r="E100" s="104" t="s">
        <v>449</v>
      </c>
      <c r="F100" s="154"/>
      <c r="G100" s="153"/>
      <c r="H100" s="223"/>
      <c r="I100" s="219"/>
      <c r="J100" s="219"/>
      <c r="K100" s="118"/>
      <c r="L100" s="118"/>
      <c r="M100" s="118"/>
      <c r="N100" s="316"/>
      <c r="O100" s="251"/>
      <c r="P100" s="146"/>
      <c r="Q100" s="211"/>
      <c r="R100" s="211"/>
      <c r="S100" s="211"/>
      <c r="T100" s="146"/>
      <c r="U100" s="146"/>
    </row>
    <row r="101" spans="2:37" s="104" customFormat="1" x14ac:dyDescent="0.25">
      <c r="D101" s="224"/>
      <c r="E101" s="104" t="s">
        <v>112</v>
      </c>
      <c r="F101" s="154"/>
      <c r="G101" s="153"/>
      <c r="H101" s="223"/>
      <c r="I101" s="219"/>
      <c r="J101" s="219"/>
      <c r="K101" s="118"/>
      <c r="L101" s="118"/>
      <c r="M101" s="118"/>
      <c r="N101" s="316"/>
      <c r="O101" s="251"/>
      <c r="P101" s="146"/>
      <c r="Q101" s="211"/>
      <c r="R101" s="211"/>
      <c r="S101" s="211"/>
      <c r="T101" s="146"/>
      <c r="U101" s="146"/>
    </row>
    <row r="102" spans="2:37" s="104" customFormat="1" x14ac:dyDescent="0.25">
      <c r="D102" s="224"/>
      <c r="E102" s="104" t="s">
        <v>110</v>
      </c>
      <c r="F102" s="154"/>
      <c r="G102" s="153"/>
      <c r="H102" s="223"/>
      <c r="I102" s="219"/>
      <c r="J102" s="219"/>
      <c r="K102" s="118"/>
      <c r="L102" s="118"/>
      <c r="M102" s="118"/>
      <c r="N102" s="316"/>
      <c r="O102" s="251"/>
      <c r="P102" s="146"/>
      <c r="Q102" s="211"/>
      <c r="R102" s="211"/>
      <c r="S102" s="211"/>
      <c r="T102" s="146"/>
      <c r="U102" s="146"/>
    </row>
    <row r="103" spans="2:37" s="104" customFormat="1" x14ac:dyDescent="0.25">
      <c r="D103" s="224"/>
      <c r="E103" s="104" t="s">
        <v>101</v>
      </c>
      <c r="F103" s="154"/>
      <c r="G103" s="153"/>
      <c r="H103" s="223"/>
      <c r="I103" s="219"/>
      <c r="J103" s="219"/>
      <c r="K103" s="118"/>
      <c r="L103" s="118"/>
      <c r="M103" s="118"/>
      <c r="N103" s="316"/>
      <c r="O103" s="251"/>
      <c r="P103" s="146"/>
      <c r="Q103" s="211"/>
      <c r="R103" s="211"/>
      <c r="S103" s="211"/>
      <c r="T103" s="146"/>
      <c r="U103" s="146"/>
    </row>
    <row r="104" spans="2:37" s="104" customFormat="1" x14ac:dyDescent="0.25">
      <c r="D104" s="224"/>
      <c r="E104" s="104" t="s">
        <v>612</v>
      </c>
      <c r="F104" s="154"/>
      <c r="G104" s="153"/>
      <c r="H104" s="223"/>
      <c r="I104" s="219"/>
      <c r="J104" s="219"/>
      <c r="K104" s="118"/>
      <c r="L104" s="118"/>
      <c r="M104" s="118"/>
      <c r="N104" s="316"/>
      <c r="O104" s="251"/>
      <c r="P104" s="146"/>
      <c r="Q104" s="211"/>
      <c r="R104" s="211"/>
      <c r="S104" s="211"/>
      <c r="T104" s="146"/>
      <c r="U104" s="146"/>
    </row>
    <row r="105" spans="2:37" s="104" customFormat="1" x14ac:dyDescent="0.25">
      <c r="D105" s="224"/>
      <c r="E105" s="104" t="str">
        <f>IND_Fuels!F23</f>
        <v>INDOILRFG</v>
      </c>
      <c r="F105" s="154"/>
      <c r="G105" s="153"/>
      <c r="H105" s="223"/>
      <c r="I105" s="219"/>
      <c r="J105" s="219"/>
      <c r="K105" s="118"/>
      <c r="L105" s="118"/>
      <c r="M105" s="118"/>
      <c r="N105" s="316"/>
      <c r="O105" s="251"/>
      <c r="P105" s="146"/>
      <c r="Q105" s="211"/>
      <c r="R105" s="211"/>
      <c r="S105" s="211"/>
      <c r="T105" s="146"/>
      <c r="U105" s="146"/>
    </row>
    <row r="106" spans="2:37" s="104" customFormat="1" x14ac:dyDescent="0.25">
      <c r="D106" s="224"/>
      <c r="E106" s="104" t="s">
        <v>106</v>
      </c>
      <c r="F106" s="154"/>
      <c r="G106" s="153"/>
      <c r="H106" s="223"/>
      <c r="I106" s="219"/>
      <c r="J106" s="219"/>
      <c r="K106" s="118"/>
      <c r="L106" s="118"/>
      <c r="M106" s="118"/>
      <c r="N106" s="316"/>
      <c r="O106" s="251"/>
      <c r="P106" s="146"/>
      <c r="Q106" s="211"/>
      <c r="R106" s="211"/>
      <c r="S106" s="211"/>
      <c r="T106" s="146"/>
      <c r="U106" s="146"/>
    </row>
    <row r="107" spans="2:37" s="104" customFormat="1" x14ac:dyDescent="0.25">
      <c r="D107" s="224"/>
      <c r="E107" s="104" t="s">
        <v>104</v>
      </c>
      <c r="F107" s="154"/>
      <c r="G107" s="153"/>
      <c r="H107" s="223"/>
      <c r="I107" s="219"/>
      <c r="J107" s="219"/>
      <c r="K107" s="118"/>
      <c r="L107" s="118"/>
      <c r="M107" s="118"/>
      <c r="N107" s="316"/>
      <c r="O107" s="251"/>
      <c r="P107" s="146"/>
      <c r="Q107" s="211"/>
      <c r="R107" s="211"/>
      <c r="S107" s="211"/>
      <c r="T107" s="146"/>
      <c r="U107" s="146"/>
    </row>
    <row r="108" spans="2:37" s="104" customFormat="1" x14ac:dyDescent="0.25">
      <c r="D108" s="224"/>
      <c r="E108" s="104" t="s">
        <v>114</v>
      </c>
      <c r="F108" s="154"/>
      <c r="G108" s="153"/>
      <c r="H108" s="223"/>
      <c r="I108" s="219"/>
      <c r="J108" s="219"/>
      <c r="K108" s="118"/>
      <c r="L108" s="118"/>
      <c r="M108" s="118"/>
      <c r="N108" s="316"/>
      <c r="O108" s="251"/>
      <c r="P108" s="146"/>
      <c r="Q108" s="211"/>
      <c r="R108" s="211"/>
      <c r="S108" s="211"/>
      <c r="T108" s="146"/>
      <c r="U108" s="146"/>
    </row>
    <row r="109" spans="2:37" s="104" customFormat="1" x14ac:dyDescent="0.25">
      <c r="D109" s="224"/>
      <c r="E109" s="104" t="s">
        <v>111</v>
      </c>
      <c r="F109" s="154"/>
      <c r="G109" s="153"/>
      <c r="H109" s="223"/>
      <c r="I109" s="219"/>
      <c r="J109" s="219"/>
      <c r="K109" s="118"/>
      <c r="L109" s="118"/>
      <c r="M109" s="118"/>
      <c r="N109" s="316"/>
      <c r="O109" s="251"/>
      <c r="P109" s="146"/>
      <c r="Q109" s="211"/>
      <c r="R109" s="211"/>
      <c r="S109" s="211"/>
      <c r="T109" s="146"/>
      <c r="U109" s="146"/>
    </row>
    <row r="110" spans="2:37" s="104" customFormat="1" x14ac:dyDescent="0.25">
      <c r="D110" s="224"/>
      <c r="F110" s="154" t="str">
        <f>Commodities!D91</f>
        <v>INDPCHHTH</v>
      </c>
      <c r="G110" s="153"/>
      <c r="H110" s="223"/>
      <c r="I110" s="219"/>
      <c r="J110" s="219"/>
      <c r="K110" s="118"/>
      <c r="L110" s="118"/>
      <c r="M110" s="118"/>
      <c r="N110" s="219"/>
      <c r="O110" s="251"/>
      <c r="P110" s="146"/>
      <c r="Q110" s="211"/>
      <c r="R110" s="211"/>
      <c r="S110" s="211"/>
      <c r="T110" s="146"/>
      <c r="U110" s="146"/>
    </row>
    <row r="111" spans="2:37" s="104" customFormat="1" x14ac:dyDescent="0.25">
      <c r="B111" s="149"/>
      <c r="C111" s="149"/>
      <c r="D111" s="225"/>
      <c r="E111" s="149"/>
      <c r="F111" s="150" t="str">
        <f>Commodities!D77</f>
        <v>INDELC</v>
      </c>
      <c r="G111" s="317"/>
      <c r="H111" s="226"/>
      <c r="I111" s="226"/>
      <c r="J111" s="226"/>
      <c r="K111" s="152"/>
      <c r="L111" s="152"/>
      <c r="M111" s="152"/>
      <c r="N111" s="226"/>
      <c r="O111" s="295"/>
      <c r="P111" s="146"/>
      <c r="Q111" s="211"/>
      <c r="R111" s="211"/>
      <c r="S111" s="211"/>
      <c r="T111" s="146"/>
      <c r="U111" s="146"/>
    </row>
  </sheetData>
  <pageMargins left="0.7" right="0.7" top="0.75" bottom="0.75" header="0.3" footer="0.3"/>
  <pageSetup orientation="portrait" horizontalDpi="4294967292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H45"/>
  <sheetViews>
    <sheetView topLeftCell="C1" zoomScale="70" zoomScaleNormal="70" workbookViewId="0">
      <selection activeCell="C1" sqref="A1:XFD1048576"/>
    </sheetView>
  </sheetViews>
  <sheetFormatPr defaultColWidth="13.44140625" defaultRowHeight="13.8" x14ac:dyDescent="0.25"/>
  <cols>
    <col min="1" max="1" width="5" style="99" bestFit="1" customWidth="1"/>
    <col min="2" max="2" width="72.5546875" style="99" bestFit="1" customWidth="1"/>
    <col min="3" max="3" width="10.33203125" style="99" bestFit="1" customWidth="1"/>
    <col min="4" max="5" width="18" style="99" customWidth="1"/>
    <col min="6" max="7" width="17.44140625" style="99" customWidth="1"/>
    <col min="8" max="21" width="18" style="99" customWidth="1"/>
    <col min="22" max="22" width="13.44140625" style="99" customWidth="1"/>
    <col min="23" max="23" width="13.44140625" style="99"/>
    <col min="24" max="25" width="17.5546875" style="99" customWidth="1"/>
    <col min="26" max="27" width="16.6640625" style="99" customWidth="1"/>
    <col min="28" max="28" width="16.44140625" style="99" customWidth="1"/>
    <col min="29" max="16384" width="13.44140625" style="99"/>
  </cols>
  <sheetData>
    <row r="1" spans="1:34" s="296" customFormat="1" x14ac:dyDescent="0.25">
      <c r="A1" s="108"/>
      <c r="B1" s="108" t="s">
        <v>610</v>
      </c>
      <c r="C1" s="108"/>
      <c r="E1" s="99"/>
    </row>
    <row r="2" spans="1:34" s="296" customFormat="1" x14ac:dyDescent="0.25">
      <c r="A2" s="108"/>
      <c r="B2" s="108"/>
      <c r="C2" s="108"/>
      <c r="D2" s="99"/>
      <c r="E2" s="99"/>
    </row>
    <row r="3" spans="1:34" s="296" customFormat="1" ht="19.5" customHeight="1" x14ac:dyDescent="0.25">
      <c r="A3" s="108"/>
      <c r="B3" s="108"/>
      <c r="C3" s="108"/>
      <c r="D3" s="297"/>
      <c r="E3" s="297"/>
      <c r="F3" s="297"/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7"/>
      <c r="R3" s="297"/>
      <c r="S3" s="297"/>
      <c r="T3" s="297"/>
      <c r="U3" s="297"/>
    </row>
    <row r="4" spans="1:34" s="301" customFormat="1" ht="31.5" customHeight="1" thickBot="1" x14ac:dyDescent="0.3">
      <c r="A4" s="108"/>
      <c r="B4" s="299" t="s">
        <v>270</v>
      </c>
      <c r="C4" s="130"/>
      <c r="D4" s="135" t="s">
        <v>625</v>
      </c>
      <c r="E4" s="135" t="s">
        <v>626</v>
      </c>
      <c r="F4" s="135" t="s">
        <v>155</v>
      </c>
      <c r="G4" s="135" t="s">
        <v>57</v>
      </c>
      <c r="H4" s="135" t="s">
        <v>156</v>
      </c>
      <c r="I4" s="135" t="s">
        <v>163</v>
      </c>
      <c r="J4" s="135" t="s">
        <v>164</v>
      </c>
      <c r="K4" s="135" t="s">
        <v>168</v>
      </c>
      <c r="L4" s="135" t="s">
        <v>169</v>
      </c>
      <c r="M4" s="135" t="s">
        <v>77</v>
      </c>
      <c r="N4" s="135" t="s">
        <v>172</v>
      </c>
      <c r="O4" s="135" t="s">
        <v>174</v>
      </c>
      <c r="P4" s="135" t="s">
        <v>176</v>
      </c>
      <c r="Q4" s="135" t="s">
        <v>182</v>
      </c>
      <c r="R4" s="135" t="s">
        <v>94</v>
      </c>
      <c r="S4" s="135" t="s">
        <v>183</v>
      </c>
      <c r="T4" s="135" t="s">
        <v>189</v>
      </c>
      <c r="U4" s="135" t="s">
        <v>190</v>
      </c>
      <c r="W4" s="296"/>
      <c r="X4" s="296"/>
      <c r="Y4" s="296"/>
      <c r="Z4" s="296"/>
      <c r="AA4" s="296"/>
      <c r="AB4" s="296"/>
      <c r="AC4" s="296"/>
      <c r="AD4" s="296"/>
      <c r="AE4" s="296"/>
      <c r="AF4" s="296"/>
      <c r="AG4" s="296"/>
      <c r="AH4" s="296"/>
    </row>
    <row r="5" spans="1:34" s="296" customFormat="1" x14ac:dyDescent="0.25">
      <c r="A5" s="108"/>
      <c r="B5" s="303" t="s">
        <v>226</v>
      </c>
      <c r="C5" s="303"/>
      <c r="D5" s="304">
        <f>'En.Bal-Final_Energy'!K20/1000*41.868</f>
        <v>0</v>
      </c>
      <c r="E5" s="304">
        <f>'En.Bal-Final_Energy'!L20/1000*41.868</f>
        <v>0</v>
      </c>
      <c r="F5" s="304">
        <f>'En.Bal-Final_Energy'!N20/1000*41.868</f>
        <v>0</v>
      </c>
      <c r="G5" s="304">
        <f>'En.Bal-Final_Energy'!O20/1000*41.868</f>
        <v>0</v>
      </c>
      <c r="H5" s="304"/>
      <c r="I5" s="304">
        <f>'En.Bal-Final_Energy'!X20/1000*41.868</f>
        <v>0</v>
      </c>
      <c r="J5" s="304">
        <f>'En.Bal-Final_Energy'!Y20/1000*41.868</f>
        <v>0</v>
      </c>
      <c r="K5" s="304">
        <f>'En.Bal-Final_Energy'!AE20/1000*41.868</f>
        <v>0</v>
      </c>
      <c r="L5" s="304">
        <f>'En.Bal-Final_Energy'!AG20/1000*41.868</f>
        <v>0</v>
      </c>
      <c r="M5" s="304"/>
      <c r="N5" s="304"/>
      <c r="O5" s="304">
        <f>'En.Bal-Final_Energy'!AN20/1000*41.868</f>
        <v>0.41868000000000005</v>
      </c>
      <c r="P5" s="304">
        <f>'En.Bal-Final_Energy'!AQ20/1000*41.868</f>
        <v>0</v>
      </c>
      <c r="Q5" s="304"/>
      <c r="R5" s="304"/>
      <c r="S5" s="304"/>
      <c r="T5" s="304">
        <f>'En.Bal-Final_Energy'!BD20/1000*41.868</f>
        <v>0</v>
      </c>
      <c r="U5" s="304">
        <f>'En.Bal-Final_Energy'!BE20/1000*41.868</f>
        <v>0.41868000000000005</v>
      </c>
    </row>
    <row r="6" spans="1:34" ht="14.4" thickBot="1" x14ac:dyDescent="0.3">
      <c r="A6" s="108"/>
      <c r="D6" s="308" t="str">
        <f>Commodities!D46</f>
        <v>INDCOABIC</v>
      </c>
      <c r="E6" s="308" t="str">
        <f>Commodities!D47</f>
        <v>INDCOASUB</v>
      </c>
      <c r="F6" s="308" t="str">
        <f>Commodities!D48</f>
        <v>INDCOABCO</v>
      </c>
      <c r="G6" s="308" t="str">
        <f>Commodities!D49</f>
        <v>INDCOACOC</v>
      </c>
      <c r="H6" s="308" t="str">
        <f>Commodities!D51</f>
        <v>INDCOABKB</v>
      </c>
      <c r="I6" s="308" t="str">
        <f>Commodities!D54</f>
        <v>INDOILLPG</v>
      </c>
      <c r="J6" s="308" t="str">
        <f>Commodities!D53</f>
        <v>INDOILGSL</v>
      </c>
      <c r="K6" s="308" t="str">
        <f>Commodities!D52</f>
        <v>INDOILDSL</v>
      </c>
      <c r="L6" s="308" t="str">
        <f>Commodities!D56</f>
        <v>INDOILHFO</v>
      </c>
      <c r="M6" s="308" t="str">
        <f>Commodities!D59</f>
        <v>INDOILPCK</v>
      </c>
      <c r="N6" s="308" t="str">
        <f>Commodities!D60</f>
        <v>INDOILOTH</v>
      </c>
      <c r="O6" s="308" t="str">
        <f>Commodities!D61</f>
        <v>INDGASNAT</v>
      </c>
      <c r="P6" s="308" t="str">
        <f>Commodities!D62</f>
        <v>INDGASBFG</v>
      </c>
      <c r="Q6" s="308" t="str">
        <f>Commodities!D63</f>
        <v>INDBIOLOG</v>
      </c>
      <c r="R6" s="308" t="str">
        <f>Commodities!D71</f>
        <v>INDBIOCHR</v>
      </c>
      <c r="S6" s="308" t="str">
        <f>Commodities!D69</f>
        <v>INDBIOBGS</v>
      </c>
      <c r="T6" s="308" t="str">
        <f>MIQ_Techs!$E$21</f>
        <v>INDMIQHTH</v>
      </c>
      <c r="U6" s="308" t="str">
        <f>Commodities!D77</f>
        <v>INDELC</v>
      </c>
      <c r="W6" s="296"/>
      <c r="X6" s="296"/>
      <c r="Y6" s="296"/>
      <c r="Z6" s="296"/>
      <c r="AA6" s="296"/>
      <c r="AB6" s="296"/>
      <c r="AC6" s="296"/>
      <c r="AD6" s="296"/>
      <c r="AE6" s="296"/>
      <c r="AF6" s="296"/>
      <c r="AG6" s="296"/>
      <c r="AH6" s="296"/>
    </row>
    <row r="7" spans="1:34" x14ac:dyDescent="0.25">
      <c r="W7" s="296"/>
      <c r="X7" s="296"/>
      <c r="Y7" s="296"/>
      <c r="Z7" s="296"/>
      <c r="AA7" s="296"/>
      <c r="AB7" s="296"/>
      <c r="AC7" s="296"/>
      <c r="AD7" s="296"/>
      <c r="AE7" s="296"/>
      <c r="AF7" s="296"/>
      <c r="AG7" s="296"/>
      <c r="AH7" s="296"/>
    </row>
    <row r="8" spans="1:34" x14ac:dyDescent="0.25">
      <c r="Y8" s="296"/>
      <c r="Z8" s="296"/>
      <c r="AA8" s="296"/>
      <c r="AB8" s="296"/>
      <c r="AC8" s="296"/>
      <c r="AD8" s="296"/>
      <c r="AE8" s="296"/>
      <c r="AF8" s="296"/>
      <c r="AG8" s="296"/>
      <c r="AH8" s="296"/>
    </row>
    <row r="9" spans="1:34" x14ac:dyDescent="0.25">
      <c r="Y9" s="296"/>
      <c r="Z9" s="296"/>
      <c r="AA9" s="296"/>
      <c r="AB9" s="296"/>
      <c r="AC9" s="296"/>
      <c r="AD9" s="296"/>
      <c r="AE9" s="296"/>
      <c r="AF9" s="296"/>
      <c r="AG9" s="296"/>
      <c r="AH9" s="296"/>
    </row>
    <row r="10" spans="1:34" x14ac:dyDescent="0.25">
      <c r="Y10" s="296"/>
      <c r="Z10" s="296"/>
      <c r="AA10" s="296"/>
      <c r="AB10" s="296"/>
      <c r="AC10" s="296"/>
      <c r="AD10" s="296"/>
      <c r="AE10" s="296"/>
      <c r="AF10" s="296"/>
      <c r="AG10" s="296"/>
      <c r="AH10" s="296"/>
    </row>
    <row r="11" spans="1:34" x14ac:dyDescent="0.25">
      <c r="Y11" s="296"/>
      <c r="Z11" s="296"/>
      <c r="AA11" s="296"/>
      <c r="AB11" s="296"/>
      <c r="AC11" s="296"/>
      <c r="AD11" s="296"/>
      <c r="AE11" s="296"/>
      <c r="AF11" s="296"/>
      <c r="AG11" s="296"/>
      <c r="AH11" s="296"/>
    </row>
    <row r="12" spans="1:34" x14ac:dyDescent="0.25">
      <c r="Y12" s="296"/>
      <c r="Z12" s="296"/>
      <c r="AA12" s="296"/>
      <c r="AB12" s="296"/>
      <c r="AC12" s="296"/>
      <c r="AD12" s="296"/>
      <c r="AE12" s="296"/>
      <c r="AF12" s="296"/>
      <c r="AG12" s="296"/>
      <c r="AH12" s="296"/>
    </row>
    <row r="13" spans="1:34" x14ac:dyDescent="0.25">
      <c r="Y13" s="296"/>
      <c r="Z13" s="296"/>
      <c r="AA13" s="296"/>
      <c r="AB13" s="296"/>
      <c r="AC13" s="296"/>
      <c r="AD13" s="296"/>
      <c r="AE13" s="296"/>
      <c r="AF13" s="296"/>
      <c r="AG13" s="296"/>
      <c r="AH13" s="296"/>
    </row>
    <row r="17" s="99" customFormat="1" x14ac:dyDescent="0.25"/>
    <row r="18" s="99" customFormat="1" x14ac:dyDescent="0.25"/>
    <row r="19" s="99" customFormat="1" x14ac:dyDescent="0.25"/>
    <row r="20" s="99" customFormat="1" x14ac:dyDescent="0.25"/>
    <row r="21" s="99" customFormat="1" x14ac:dyDescent="0.25"/>
    <row r="22" s="99" customFormat="1" x14ac:dyDescent="0.25"/>
    <row r="23" s="99" customFormat="1" x14ac:dyDescent="0.25"/>
    <row r="24" s="99" customFormat="1" x14ac:dyDescent="0.25"/>
    <row r="25" s="99" customFormat="1" x14ac:dyDescent="0.25"/>
    <row r="26" s="99" customFormat="1" x14ac:dyDescent="0.25"/>
    <row r="27" s="99" customFormat="1" x14ac:dyDescent="0.25"/>
    <row r="28" s="99" customFormat="1" x14ac:dyDescent="0.25"/>
    <row r="29" s="99" customFormat="1" x14ac:dyDescent="0.25"/>
    <row r="30" s="99" customFormat="1" x14ac:dyDescent="0.25"/>
    <row r="31" s="99" customFormat="1" x14ac:dyDescent="0.25"/>
    <row r="32" s="99" customFormat="1" x14ac:dyDescent="0.25"/>
    <row r="45" spans="4:22" x14ac:dyDescent="0.25">
      <c r="D45" s="310"/>
      <c r="E45" s="310"/>
      <c r="F45" s="310"/>
      <c r="G45" s="310"/>
      <c r="H45" s="310"/>
      <c r="I45" s="310"/>
      <c r="J45" s="310"/>
      <c r="K45" s="310"/>
      <c r="L45" s="310"/>
      <c r="M45" s="310"/>
      <c r="N45" s="310"/>
      <c r="O45" s="310"/>
      <c r="P45" s="310"/>
      <c r="Q45" s="310"/>
      <c r="R45" s="310"/>
      <c r="S45" s="310"/>
      <c r="T45" s="310"/>
      <c r="U45" s="310"/>
      <c r="V45" s="310"/>
    </row>
  </sheetData>
  <conditionalFormatting sqref="D7:U7">
    <cfRule type="cellIs" dxfId="16" priority="1" stopIfTrue="1" operator="notEqual">
      <formula>0</formula>
    </cfRule>
  </conditionalFormatting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AA27"/>
  <sheetViews>
    <sheetView zoomScale="60" zoomScaleNormal="60" workbookViewId="0">
      <selection sqref="A1:XFD1048576"/>
    </sheetView>
  </sheetViews>
  <sheetFormatPr defaultColWidth="9.109375" defaultRowHeight="13.8" x14ac:dyDescent="0.25"/>
  <cols>
    <col min="1" max="1" width="5.88671875" style="99" customWidth="1"/>
    <col min="2" max="2" width="15.5546875" style="99" customWidth="1"/>
    <col min="3" max="3" width="22.6640625" style="99" bestFit="1" customWidth="1"/>
    <col min="4" max="4" width="36.88671875" style="99" customWidth="1"/>
    <col min="5" max="5" width="37.88671875" style="99" customWidth="1"/>
    <col min="6" max="6" width="16.6640625" style="99" customWidth="1"/>
    <col min="7" max="7" width="18.5546875" style="99" customWidth="1"/>
    <col min="8" max="8" width="23.5546875" style="99" customWidth="1"/>
    <col min="9" max="9" width="23.44140625" style="99" bestFit="1" customWidth="1"/>
    <col min="10" max="10" width="16.88671875" style="99" bestFit="1" customWidth="1"/>
    <col min="11" max="11" width="21.33203125" style="99" customWidth="1"/>
    <col min="12" max="12" width="27.109375" style="99" bestFit="1" customWidth="1"/>
    <col min="13" max="16" width="16.88671875" style="99" customWidth="1"/>
    <col min="17" max="17" width="11.88671875" style="99" customWidth="1"/>
    <col min="18" max="18" width="11.6640625" style="99" customWidth="1"/>
    <col min="19" max="19" width="24.88671875" style="99" customWidth="1"/>
    <col min="20" max="20" width="13" style="99" bestFit="1" customWidth="1"/>
    <col min="21" max="21" width="31" style="99" customWidth="1"/>
    <col min="22" max="22" width="42.6640625" style="99" customWidth="1"/>
    <col min="23" max="23" width="11.44140625" style="99" bestFit="1" customWidth="1"/>
    <col min="24" max="24" width="12.44140625" style="99" bestFit="1" customWidth="1"/>
    <col min="25" max="25" width="9.6640625" style="99" bestFit="1" customWidth="1"/>
    <col min="26" max="26" width="13" style="99" bestFit="1" customWidth="1"/>
    <col min="27" max="27" width="9.5546875" style="99" bestFit="1" customWidth="1"/>
    <col min="28" max="28" width="9.109375" style="99"/>
    <col min="29" max="29" width="43" style="99" bestFit="1" customWidth="1"/>
    <col min="30" max="30" width="22" style="99" bestFit="1" customWidth="1"/>
    <col min="31" max="16384" width="9.109375" style="99"/>
  </cols>
  <sheetData>
    <row r="1" spans="2:27" x14ac:dyDescent="0.25">
      <c r="B1" s="108" t="s">
        <v>276</v>
      </c>
    </row>
    <row r="2" spans="2:27" x14ac:dyDescent="0.25">
      <c r="E2" s="108" t="s">
        <v>15</v>
      </c>
      <c r="F2" s="108"/>
    </row>
    <row r="3" spans="2:27" x14ac:dyDescent="0.25">
      <c r="B3" s="130" t="s">
        <v>33</v>
      </c>
      <c r="C3" s="217" t="s">
        <v>278</v>
      </c>
      <c r="D3" s="217" t="s">
        <v>284</v>
      </c>
      <c r="E3" s="217" t="s">
        <v>0</v>
      </c>
      <c r="F3" s="217" t="s">
        <v>279</v>
      </c>
      <c r="G3" s="218" t="str">
        <f>BASE_YEAR</f>
        <v>2017</v>
      </c>
    </row>
    <row r="4" spans="2:27" ht="14.4" thickBot="1" x14ac:dyDescent="0.3">
      <c r="B4" s="135" t="s">
        <v>150</v>
      </c>
      <c r="C4" s="135" t="s">
        <v>152</v>
      </c>
      <c r="D4" s="135"/>
      <c r="E4" s="135" t="s">
        <v>280</v>
      </c>
      <c r="F4" s="135" t="s">
        <v>281</v>
      </c>
      <c r="G4" s="136" t="s">
        <v>282</v>
      </c>
    </row>
    <row r="5" spans="2:27" ht="14.4" thickBot="1" x14ac:dyDescent="0.3">
      <c r="B5" s="135" t="s">
        <v>152</v>
      </c>
      <c r="C5" s="135" t="s">
        <v>48</v>
      </c>
      <c r="D5" s="135"/>
      <c r="E5" s="135"/>
      <c r="F5" s="135"/>
      <c r="G5" s="136" t="s">
        <v>327</v>
      </c>
    </row>
    <row r="6" spans="2:27" x14ac:dyDescent="0.25">
      <c r="C6" s="99" t="s">
        <v>277</v>
      </c>
      <c r="D6" s="99" t="str">
        <f>Commodities!Z21</f>
        <v>Mining &amp; Quarrying</v>
      </c>
      <c r="E6" s="99" t="str">
        <f>Commodities!Y21</f>
        <v>INDMIQ</v>
      </c>
      <c r="F6" s="99" t="str">
        <f>General!$B$2</f>
        <v>PJ</v>
      </c>
      <c r="G6" s="219">
        <f>SUM(N17:N26)</f>
        <v>0.8373600000000001</v>
      </c>
    </row>
    <row r="9" spans="2:27" x14ac:dyDescent="0.25">
      <c r="B9" s="108"/>
      <c r="S9" s="109" t="s">
        <v>149</v>
      </c>
      <c r="T9" s="109"/>
    </row>
    <row r="11" spans="2:27" x14ac:dyDescent="0.25">
      <c r="B11" s="108"/>
      <c r="C11" s="108"/>
      <c r="D11" s="108"/>
      <c r="E11" s="108"/>
      <c r="F11" s="108"/>
      <c r="G11" s="108"/>
      <c r="H11" s="294"/>
      <c r="I11" s="124"/>
      <c r="J11" s="124"/>
      <c r="K11" s="124"/>
      <c r="L11" s="124"/>
      <c r="M11" s="124"/>
      <c r="N11" s="124"/>
      <c r="O11" s="124"/>
      <c r="P11" s="124"/>
      <c r="X11" s="111"/>
      <c r="Y11" s="111"/>
      <c r="Z11" s="111"/>
      <c r="AA11" s="111"/>
    </row>
    <row r="12" spans="2:27" x14ac:dyDescent="0.25">
      <c r="B12" s="108"/>
      <c r="C12" s="123"/>
      <c r="E12" s="122"/>
      <c r="F12" s="122"/>
      <c r="G12" s="122"/>
      <c r="H12" s="294"/>
      <c r="I12" s="124"/>
      <c r="J12" s="124"/>
      <c r="K12" s="124"/>
      <c r="L12" s="124"/>
      <c r="M12" s="124"/>
      <c r="N12" s="124"/>
      <c r="O12" s="124"/>
      <c r="P12" s="124"/>
      <c r="X12" s="111"/>
      <c r="Y12" s="111"/>
      <c r="Z12" s="111"/>
      <c r="AA12" s="111"/>
    </row>
    <row r="13" spans="2:27" x14ac:dyDescent="0.25">
      <c r="F13" s="126" t="s">
        <v>15</v>
      </c>
      <c r="G13" s="127"/>
      <c r="H13" s="127"/>
      <c r="I13" s="129"/>
      <c r="S13" s="110" t="s">
        <v>18</v>
      </c>
      <c r="T13" s="110"/>
      <c r="U13" s="111"/>
      <c r="V13" s="111"/>
      <c r="W13" s="111"/>
      <c r="X13" s="111"/>
      <c r="Y13" s="111"/>
      <c r="Z13" s="111"/>
      <c r="AA13" s="111"/>
    </row>
    <row r="14" spans="2:27" ht="27.6" x14ac:dyDescent="0.25">
      <c r="B14" s="130" t="s">
        <v>33</v>
      </c>
      <c r="C14" s="130" t="s">
        <v>1</v>
      </c>
      <c r="D14" s="131" t="s">
        <v>41</v>
      </c>
      <c r="E14" s="130" t="s">
        <v>7</v>
      </c>
      <c r="F14" s="132" t="s">
        <v>8</v>
      </c>
      <c r="G14" s="133" t="s">
        <v>17</v>
      </c>
      <c r="H14" s="133" t="s">
        <v>3</v>
      </c>
      <c r="I14" s="133" t="s">
        <v>6</v>
      </c>
      <c r="J14" s="133" t="s">
        <v>148</v>
      </c>
      <c r="K14" s="133" t="s">
        <v>401</v>
      </c>
      <c r="L14" s="133" t="s">
        <v>285</v>
      </c>
      <c r="M14" s="133"/>
      <c r="N14" s="220" t="s">
        <v>402</v>
      </c>
      <c r="O14" s="170"/>
      <c r="P14" s="170"/>
      <c r="S14" s="113" t="s">
        <v>13</v>
      </c>
      <c r="T14" s="113" t="s">
        <v>33</v>
      </c>
      <c r="U14" s="113" t="s">
        <v>1</v>
      </c>
      <c r="V14" s="113" t="s">
        <v>2</v>
      </c>
      <c r="W14" s="113" t="s">
        <v>19</v>
      </c>
      <c r="X14" s="113" t="s">
        <v>20</v>
      </c>
      <c r="Y14" s="113" t="s">
        <v>21</v>
      </c>
      <c r="Z14" s="113" t="s">
        <v>22</v>
      </c>
      <c r="AA14" s="113" t="s">
        <v>23</v>
      </c>
    </row>
    <row r="15" spans="2:27" ht="29.25" customHeight="1" thickBot="1" x14ac:dyDescent="0.3">
      <c r="B15" s="135" t="s">
        <v>150</v>
      </c>
      <c r="C15" s="136" t="s">
        <v>24</v>
      </c>
      <c r="D15" s="136" t="s">
        <v>25</v>
      </c>
      <c r="E15" s="136" t="s">
        <v>35</v>
      </c>
      <c r="F15" s="137" t="s">
        <v>36</v>
      </c>
      <c r="G15" s="136" t="s">
        <v>37</v>
      </c>
      <c r="H15" s="136" t="s">
        <v>40</v>
      </c>
      <c r="I15" s="136" t="s">
        <v>39</v>
      </c>
      <c r="J15" s="136" t="s">
        <v>151</v>
      </c>
      <c r="K15" s="136"/>
      <c r="L15" s="136" t="s">
        <v>286</v>
      </c>
      <c r="M15" s="136"/>
      <c r="N15" s="136"/>
      <c r="O15" s="138"/>
      <c r="P15" s="138"/>
      <c r="S15" s="139" t="s">
        <v>43</v>
      </c>
      <c r="T15" s="139" t="s">
        <v>34</v>
      </c>
      <c r="U15" s="139" t="s">
        <v>24</v>
      </c>
      <c r="V15" s="139" t="s">
        <v>25</v>
      </c>
      <c r="W15" s="139" t="s">
        <v>26</v>
      </c>
      <c r="X15" s="139" t="s">
        <v>27</v>
      </c>
      <c r="Y15" s="139" t="s">
        <v>47</v>
      </c>
      <c r="Z15" s="139" t="s">
        <v>46</v>
      </c>
      <c r="AA15" s="139" t="s">
        <v>28</v>
      </c>
    </row>
    <row r="16" spans="2:27" ht="12.75" customHeight="1" x14ac:dyDescent="0.25">
      <c r="B16" s="140" t="s">
        <v>152</v>
      </c>
      <c r="C16" s="140"/>
      <c r="D16" s="141"/>
      <c r="E16" s="141" t="s">
        <v>48</v>
      </c>
      <c r="F16" s="172"/>
      <c r="G16" s="141" t="s">
        <v>330</v>
      </c>
      <c r="H16" s="141" t="str">
        <f>General!$D$14</f>
        <v>$/GJ/a</v>
      </c>
      <c r="I16" s="141" t="str">
        <f>General!$D$15</f>
        <v>$/GJ</v>
      </c>
      <c r="J16" s="141" t="str">
        <f>General!$D$20</f>
        <v>Years</v>
      </c>
      <c r="K16" s="141"/>
      <c r="L16" s="141" t="str">
        <f>General!$C$5</f>
        <v>PJa</v>
      </c>
      <c r="M16" s="141"/>
      <c r="N16" s="141"/>
      <c r="O16" s="138"/>
      <c r="P16" s="138"/>
      <c r="S16" s="99" t="s">
        <v>275</v>
      </c>
      <c r="U16" s="99" t="s">
        <v>496</v>
      </c>
      <c r="V16" s="99" t="s">
        <v>497</v>
      </c>
      <c r="W16" s="99" t="str">
        <f>General!$B$2</f>
        <v>PJ</v>
      </c>
      <c r="X16" s="99" t="str">
        <f>General!$C$5</f>
        <v>PJa</v>
      </c>
    </row>
    <row r="17" spans="2:24" x14ac:dyDescent="0.25">
      <c r="C17" s="99" t="str">
        <f>$U$16</f>
        <v>INDDEMMIQE_00</v>
      </c>
      <c r="D17" s="99" t="str">
        <f>$V$16</f>
        <v>Mining and Quarrying Demand Technology</v>
      </c>
      <c r="E17" s="99" t="str">
        <f>Commodities!D48</f>
        <v>INDCOABCO</v>
      </c>
      <c r="F17" s="147"/>
      <c r="G17" s="234">
        <v>1</v>
      </c>
      <c r="H17" s="118"/>
      <c r="I17" s="118"/>
      <c r="J17" s="118">
        <v>20</v>
      </c>
      <c r="K17" s="251">
        <f t="shared" ref="K17:K26" si="0">N17/SUM($N$17:$N$26)</f>
        <v>0</v>
      </c>
      <c r="L17" s="251">
        <f>SUM(N17:N26)*1.1</f>
        <v>0.92109600000000014</v>
      </c>
      <c r="M17" s="118"/>
      <c r="N17" s="251">
        <f>SUMPRODUCT(--(MIQ_BAL!$D$6:$U$6=MIQ_Techs!E17),MIQ_BAL!$D$5:$U$5)</f>
        <v>0</v>
      </c>
      <c r="O17" s="118"/>
      <c r="P17" s="239"/>
    </row>
    <row r="18" spans="2:24" x14ac:dyDescent="0.25">
      <c r="D18" s="216"/>
      <c r="E18" s="99" t="str">
        <f>Commodities!D53</f>
        <v>INDOILGSL</v>
      </c>
      <c r="F18" s="154"/>
      <c r="G18" s="234"/>
      <c r="H18" s="118"/>
      <c r="I18" s="118"/>
      <c r="J18" s="118"/>
      <c r="K18" s="251">
        <f t="shared" si="0"/>
        <v>0</v>
      </c>
      <c r="L18" s="118"/>
      <c r="M18" s="118"/>
      <c r="N18" s="251">
        <f>SUMPRODUCT(--(MIQ_BAL!$D$6:$U$6=MIQ_Techs!E18),MIQ_BAL!$D$5:$U$5)</f>
        <v>0</v>
      </c>
      <c r="O18" s="118"/>
      <c r="P18" s="239"/>
    </row>
    <row r="19" spans="2:24" x14ac:dyDescent="0.25">
      <c r="D19" s="216"/>
      <c r="E19" s="99" t="str">
        <f>Commodities!D54</f>
        <v>INDOILLPG</v>
      </c>
      <c r="F19" s="154"/>
      <c r="G19" s="234"/>
      <c r="H19" s="118"/>
      <c r="I19" s="118"/>
      <c r="J19" s="118"/>
      <c r="K19" s="251">
        <f t="shared" si="0"/>
        <v>0</v>
      </c>
      <c r="L19" s="118"/>
      <c r="M19" s="118"/>
      <c r="N19" s="251">
        <f>SUMPRODUCT(--(MIQ_BAL!$D$6:$U$6=MIQ_Techs!E19),MIQ_BAL!$D$5:$U$5)</f>
        <v>0</v>
      </c>
      <c r="O19" s="118"/>
      <c r="P19" s="239"/>
      <c r="W19" s="104"/>
      <c r="X19" s="104"/>
    </row>
    <row r="20" spans="2:24" x14ac:dyDescent="0.25">
      <c r="D20" s="216"/>
      <c r="E20" s="99" t="str">
        <f>Commodities!D77</f>
        <v>INDELC</v>
      </c>
      <c r="F20" s="154"/>
      <c r="G20" s="234"/>
      <c r="H20" s="118"/>
      <c r="I20" s="118"/>
      <c r="J20" s="118"/>
      <c r="K20" s="251">
        <f t="shared" si="0"/>
        <v>0.5</v>
      </c>
      <c r="L20" s="118"/>
      <c r="M20" s="118"/>
      <c r="N20" s="251">
        <f>SUMPRODUCT(--(MIQ_BAL!$D$6:$U$6=MIQ_Techs!E20),MIQ_BAL!$D$5:$U$5)</f>
        <v>0.41868000000000005</v>
      </c>
      <c r="O20" s="118"/>
      <c r="P20" s="239"/>
      <c r="W20" s="104"/>
      <c r="X20" s="104"/>
    </row>
    <row r="21" spans="2:24" x14ac:dyDescent="0.25">
      <c r="D21" s="216"/>
      <c r="E21" s="99" t="str">
        <f>Commodities!D94</f>
        <v>INDMIQHTH</v>
      </c>
      <c r="F21" s="154"/>
      <c r="G21" s="234"/>
      <c r="H21" s="118"/>
      <c r="I21" s="118"/>
      <c r="J21" s="118"/>
      <c r="K21" s="251">
        <f t="shared" si="0"/>
        <v>0</v>
      </c>
      <c r="L21" s="118"/>
      <c r="M21" s="118"/>
      <c r="N21" s="251">
        <f>SUMPRODUCT(--(MIQ_BAL!$D$6:$U$6=MIQ_Techs!E21),MIQ_BAL!$D$5:$U$5)</f>
        <v>0</v>
      </c>
      <c r="O21" s="118"/>
      <c r="P21" s="239"/>
      <c r="W21" s="104"/>
      <c r="X21" s="104"/>
    </row>
    <row r="22" spans="2:24" x14ac:dyDescent="0.25">
      <c r="D22" s="216"/>
      <c r="E22" s="99" t="str">
        <f>Commodities!D52</f>
        <v>INDOILDSL</v>
      </c>
      <c r="F22" s="154"/>
      <c r="G22" s="234"/>
      <c r="H22" s="118"/>
      <c r="I22" s="118"/>
      <c r="J22" s="118"/>
      <c r="K22" s="251">
        <f t="shared" si="0"/>
        <v>0</v>
      </c>
      <c r="L22" s="118"/>
      <c r="M22" s="118"/>
      <c r="N22" s="251">
        <f>SUMPRODUCT(--(MIQ_BAL!$D$6:$U$6=MIQ_Techs!E22),MIQ_BAL!$D$5:$U$5)</f>
        <v>0</v>
      </c>
      <c r="O22" s="118"/>
      <c r="P22" s="239"/>
    </row>
    <row r="23" spans="2:24" x14ac:dyDescent="0.25">
      <c r="D23" s="216"/>
      <c r="E23" s="99" t="str">
        <f>Commodities!D56</f>
        <v>INDOILHFO</v>
      </c>
      <c r="F23" s="154"/>
      <c r="G23" s="234"/>
      <c r="H23" s="118"/>
      <c r="I23" s="118"/>
      <c r="J23" s="118"/>
      <c r="K23" s="251">
        <f t="shared" si="0"/>
        <v>0</v>
      </c>
      <c r="L23" s="118"/>
      <c r="M23" s="118"/>
      <c r="N23" s="251">
        <f>SUMPRODUCT(--(MIQ_BAL!$D$6:$U$6=MIQ_Techs!E23),MIQ_BAL!$D$5:$U$5)</f>
        <v>0</v>
      </c>
      <c r="O23" s="118"/>
      <c r="P23" s="239"/>
    </row>
    <row r="24" spans="2:24" x14ac:dyDescent="0.25">
      <c r="D24" s="216"/>
      <c r="E24" s="99" t="str">
        <f>Commodities!D61</f>
        <v>INDGASNAT</v>
      </c>
      <c r="F24" s="154"/>
      <c r="G24" s="234"/>
      <c r="H24" s="118"/>
      <c r="I24" s="118"/>
      <c r="J24" s="118"/>
      <c r="K24" s="251">
        <f t="shared" si="0"/>
        <v>0.5</v>
      </c>
      <c r="L24" s="118"/>
      <c r="M24" s="118"/>
      <c r="N24" s="251">
        <f>SUMPRODUCT(--(MIQ_BAL!$D$6:$U$6=MIQ_Techs!E24),MIQ_BAL!$D$5:$U$5)</f>
        <v>0.41868000000000005</v>
      </c>
      <c r="O24" s="118"/>
      <c r="P24" s="239"/>
    </row>
    <row r="25" spans="2:24" x14ac:dyDescent="0.25">
      <c r="D25" s="216"/>
      <c r="E25" s="99" t="str">
        <f>Commodities!D63</f>
        <v>INDBIOLOG</v>
      </c>
      <c r="F25" s="154"/>
      <c r="G25" s="234"/>
      <c r="H25" s="118"/>
      <c r="I25" s="118"/>
      <c r="J25" s="118"/>
      <c r="K25" s="251">
        <f t="shared" si="0"/>
        <v>0</v>
      </c>
      <c r="L25" s="118"/>
      <c r="M25" s="118"/>
      <c r="N25" s="251">
        <f>SUMPRODUCT(--(MIQ_BAL!$D$6:$U$6=MIQ_Techs!E25),MIQ_BAL!$D$5:$U$5)</f>
        <v>0</v>
      </c>
      <c r="O25" s="118"/>
      <c r="P25" s="239"/>
    </row>
    <row r="26" spans="2:24" x14ac:dyDescent="0.25">
      <c r="D26" s="216"/>
      <c r="E26" s="99" t="str">
        <f>Commodities!D69</f>
        <v>INDBIOBGS</v>
      </c>
      <c r="F26" s="154"/>
      <c r="G26" s="234"/>
      <c r="H26" s="118"/>
      <c r="I26" s="118"/>
      <c r="J26" s="118"/>
      <c r="K26" s="251">
        <f t="shared" si="0"/>
        <v>0</v>
      </c>
      <c r="L26" s="118"/>
      <c r="M26" s="118"/>
      <c r="N26" s="251">
        <f>SUMPRODUCT(--(MIQ_BAL!$D$6:$U$6=MIQ_Techs!E26),MIQ_BAL!$D$5:$U$5)</f>
        <v>0</v>
      </c>
      <c r="O26" s="118"/>
      <c r="P26" s="239"/>
    </row>
    <row r="27" spans="2:24" x14ac:dyDescent="0.25">
      <c r="B27" s="149"/>
      <c r="C27" s="149"/>
      <c r="D27" s="225"/>
      <c r="E27" s="149"/>
      <c r="F27" s="150" t="str">
        <f>Commodities!Y21</f>
        <v>INDMIQ</v>
      </c>
      <c r="G27" s="155"/>
      <c r="H27" s="152"/>
      <c r="I27" s="152"/>
      <c r="J27" s="152"/>
      <c r="K27" s="151"/>
      <c r="L27" s="152"/>
      <c r="M27" s="152"/>
      <c r="N27" s="152"/>
      <c r="O27" s="146"/>
      <c r="P27" s="146"/>
    </row>
  </sheetData>
  <pageMargins left="0.7" right="0.7" top="0.75" bottom="0.75" header="0.3" footer="0.3"/>
  <pageSetup orientation="portrait" horizontalDpi="4294967292" r:id="rId1"/>
  <headerFooter alignWithMargins="0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C7"/>
  <sheetViews>
    <sheetView topLeftCell="E1" zoomScale="70" zoomScaleNormal="70" workbookViewId="0">
      <selection activeCell="E1" sqref="A1:XFD1048576"/>
    </sheetView>
  </sheetViews>
  <sheetFormatPr defaultColWidth="13.44140625" defaultRowHeight="13.8" x14ac:dyDescent="0.25"/>
  <cols>
    <col min="1" max="1" width="5" style="99" bestFit="1" customWidth="1"/>
    <col min="2" max="2" width="72.5546875" style="99" bestFit="1" customWidth="1"/>
    <col min="3" max="3" width="10.33203125" style="99" bestFit="1" customWidth="1"/>
    <col min="4" max="5" width="18" style="99" customWidth="1"/>
    <col min="6" max="7" width="17.44140625" style="99" customWidth="1"/>
    <col min="8" max="21" width="18" style="99" customWidth="1"/>
    <col min="22" max="22" width="13.44140625" style="99" customWidth="1"/>
    <col min="23" max="23" width="13.44140625" style="99"/>
    <col min="24" max="25" width="17.5546875" style="99" customWidth="1"/>
    <col min="26" max="27" width="16.6640625" style="99" customWidth="1"/>
    <col min="28" max="28" width="16.44140625" style="99" customWidth="1"/>
    <col min="29" max="16384" width="13.44140625" style="99"/>
  </cols>
  <sheetData>
    <row r="1" spans="1:29" s="296" customFormat="1" x14ac:dyDescent="0.25">
      <c r="A1" s="108"/>
      <c r="B1" s="108" t="s">
        <v>617</v>
      </c>
      <c r="C1" s="108"/>
      <c r="E1" s="108"/>
    </row>
    <row r="2" spans="1:29" s="296" customFormat="1" x14ac:dyDescent="0.25">
      <c r="A2" s="108"/>
      <c r="B2" s="108"/>
      <c r="C2" s="108"/>
      <c r="D2" s="108"/>
      <c r="E2" s="108"/>
    </row>
    <row r="3" spans="1:29" s="296" customFormat="1" ht="19.5" customHeight="1" x14ac:dyDescent="0.25">
      <c r="A3" s="108"/>
      <c r="B3" s="108"/>
      <c r="C3" s="108"/>
      <c r="D3" s="297"/>
      <c r="E3" s="297"/>
      <c r="F3" s="297"/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7"/>
      <c r="R3" s="297"/>
      <c r="S3" s="297"/>
      <c r="T3" s="297"/>
      <c r="U3" s="297"/>
      <c r="X3" s="298"/>
    </row>
    <row r="4" spans="1:29" s="301" customFormat="1" ht="31.5" customHeight="1" thickBot="1" x14ac:dyDescent="0.3">
      <c r="A4" s="108"/>
      <c r="B4" s="299" t="s">
        <v>270</v>
      </c>
      <c r="C4" s="130" t="s">
        <v>33</v>
      </c>
      <c r="D4" s="135" t="s">
        <v>625</v>
      </c>
      <c r="E4" s="135" t="s">
        <v>626</v>
      </c>
      <c r="F4" s="135" t="s">
        <v>155</v>
      </c>
      <c r="G4" s="135" t="s">
        <v>57</v>
      </c>
      <c r="H4" s="135" t="s">
        <v>156</v>
      </c>
      <c r="I4" s="135" t="s">
        <v>163</v>
      </c>
      <c r="J4" s="135" t="s">
        <v>164</v>
      </c>
      <c r="K4" s="135" t="s">
        <v>168</v>
      </c>
      <c r="L4" s="135" t="s">
        <v>169</v>
      </c>
      <c r="M4" s="135" t="s">
        <v>77</v>
      </c>
      <c r="N4" s="135" t="s">
        <v>172</v>
      </c>
      <c r="O4" s="135" t="s">
        <v>174</v>
      </c>
      <c r="P4" s="135" t="s">
        <v>176</v>
      </c>
      <c r="Q4" s="135" t="s">
        <v>182</v>
      </c>
      <c r="R4" s="135" t="s">
        <v>94</v>
      </c>
      <c r="S4" s="135" t="s">
        <v>183</v>
      </c>
      <c r="T4" s="135" t="s">
        <v>189</v>
      </c>
      <c r="U4" s="135" t="s">
        <v>190</v>
      </c>
      <c r="V4" s="300"/>
      <c r="W4" s="300"/>
      <c r="X4" s="215" t="s">
        <v>332</v>
      </c>
      <c r="Y4" s="138" t="s">
        <v>335</v>
      </c>
      <c r="Z4" s="215" t="s">
        <v>333</v>
      </c>
      <c r="AA4" s="138" t="s">
        <v>335</v>
      </c>
      <c r="AB4" s="215" t="s">
        <v>334</v>
      </c>
      <c r="AC4" s="138" t="s">
        <v>335</v>
      </c>
    </row>
    <row r="5" spans="1:29" s="296" customFormat="1" x14ac:dyDescent="0.25">
      <c r="A5" s="108"/>
      <c r="B5" s="302" t="s">
        <v>234</v>
      </c>
      <c r="C5" s="303"/>
      <c r="D5" s="304">
        <f>'En.Bal-Final_Energy'!K24/1000*41.868</f>
        <v>0</v>
      </c>
      <c r="E5" s="304">
        <f>'En.Bal-Final_Energy'!L24/1000*41.868</f>
        <v>0</v>
      </c>
      <c r="F5" s="304">
        <f>'En.Bal-Final_Energy'!M24/1000*41.868</f>
        <v>0</v>
      </c>
      <c r="G5" s="304"/>
      <c r="H5" s="304"/>
      <c r="I5" s="304">
        <f>'En.Bal-Final_Energy'!X24/1000*41.868</f>
        <v>0</v>
      </c>
      <c r="J5" s="304">
        <f>'En.Bal-Final_Energy'!Y24/1000*41.868</f>
        <v>0</v>
      </c>
      <c r="K5" s="304">
        <f>'En.Bal-Final_Energy'!AE24/1000*41.868</f>
        <v>2.9307600000000003</v>
      </c>
      <c r="L5" s="304"/>
      <c r="M5" s="304"/>
      <c r="N5" s="304">
        <f>SUM('En.Bal-Final_Energy'!AF24:AL24)/1000*41.868</f>
        <v>0.20934000000000003</v>
      </c>
      <c r="O5" s="304">
        <f>'En.Bal-Final_Energy'!AN24/1000*41.868</f>
        <v>0.8373600000000001</v>
      </c>
      <c r="P5" s="304"/>
      <c r="Q5" s="304"/>
      <c r="R5" s="304"/>
      <c r="S5" s="304"/>
      <c r="T5" s="304">
        <f>'En.Bal-Final_Energy'!BD24/1000*41.868</f>
        <v>0</v>
      </c>
      <c r="U5" s="304">
        <f>'En.Bal-Final_Energy'!BE24/1000*41.868</f>
        <v>2.0934000000000004</v>
      </c>
      <c r="V5" s="305">
        <f>SUM(D5:U5)</f>
        <v>6.0708600000000015</v>
      </c>
      <c r="W5" s="306">
        <f>'En.Bal-Final_Energy'!BG24</f>
        <v>6.9082200000000009</v>
      </c>
      <c r="X5" s="307">
        <v>1000</v>
      </c>
      <c r="Y5" s="281"/>
      <c r="Z5" s="307">
        <v>10000</v>
      </c>
      <c r="AA5" s="281"/>
      <c r="AB5" s="307">
        <v>1000</v>
      </c>
      <c r="AC5" s="281"/>
    </row>
    <row r="6" spans="1:29" ht="14.4" thickBot="1" x14ac:dyDescent="0.3">
      <c r="A6" s="108"/>
      <c r="D6" s="308" t="str">
        <f>Commodities!D46</f>
        <v>INDCOABIC</v>
      </c>
      <c r="E6" s="308" t="str">
        <f>Commodities!D47</f>
        <v>INDCOASUB</v>
      </c>
      <c r="F6" s="308" t="str">
        <f>Commodities!D48</f>
        <v>INDCOABCO</v>
      </c>
      <c r="G6" s="308" t="str">
        <f>Commodities!D49</f>
        <v>INDCOACOC</v>
      </c>
      <c r="H6" s="308" t="str">
        <f>Commodities!D51</f>
        <v>INDCOABKB</v>
      </c>
      <c r="I6" s="308" t="str">
        <f>Commodities!D54</f>
        <v>INDOILLPG</v>
      </c>
      <c r="J6" s="308" t="str">
        <f>Commodities!D53</f>
        <v>INDOILGSL</v>
      </c>
      <c r="K6" s="308" t="str">
        <f>Commodities!D52</f>
        <v>INDOILDSL</v>
      </c>
      <c r="L6" s="308" t="str">
        <f>Commodities!D56</f>
        <v>INDOILHFO</v>
      </c>
      <c r="M6" s="308" t="str">
        <f>Commodities!D59</f>
        <v>INDOILPCK</v>
      </c>
      <c r="N6" s="308" t="str">
        <f>Commodities!D60</f>
        <v>INDOILOTH</v>
      </c>
      <c r="O6" s="308" t="str">
        <f>Commodities!D61</f>
        <v>INDGASNAT</v>
      </c>
      <c r="P6" s="308" t="str">
        <f>Commodities!D62</f>
        <v>INDGASBFG</v>
      </c>
      <c r="Q6" s="308" t="str">
        <f>Commodities!D63</f>
        <v>INDBIOLOG</v>
      </c>
      <c r="R6" s="308" t="str">
        <f>Commodities!D71</f>
        <v>INDBIOCHR</v>
      </c>
      <c r="S6" s="308" t="str">
        <f>Commodities!D69</f>
        <v>INDBIOBGS</v>
      </c>
      <c r="T6" s="308" t="str">
        <f>CON_Techs!E21</f>
        <v>INDCONHTH</v>
      </c>
      <c r="U6" s="308" t="str">
        <f>Commodities!D77</f>
        <v>INDELC</v>
      </c>
      <c r="V6" s="104"/>
      <c r="W6" s="104"/>
      <c r="X6" s="104"/>
      <c r="Y6" s="104"/>
      <c r="Z6" s="104"/>
      <c r="AA6" s="104"/>
      <c r="AB6" s="104"/>
      <c r="AC6" s="104"/>
    </row>
    <row r="7" spans="1:29" x14ac:dyDescent="0.25">
      <c r="D7" s="309"/>
      <c r="E7" s="309"/>
      <c r="F7" s="309"/>
      <c r="G7" s="309"/>
      <c r="H7" s="309"/>
      <c r="I7" s="309"/>
      <c r="J7" s="309"/>
      <c r="K7" s="309"/>
      <c r="L7" s="309"/>
      <c r="M7" s="309"/>
      <c r="N7" s="309"/>
      <c r="O7" s="309"/>
      <c r="P7" s="309"/>
      <c r="Q7" s="309"/>
      <c r="R7" s="309"/>
      <c r="S7" s="309"/>
      <c r="T7" s="309"/>
      <c r="U7" s="309"/>
    </row>
  </sheetData>
  <conditionalFormatting sqref="D7:U7">
    <cfRule type="cellIs" dxfId="15" priority="1" stopIfTrue="1" operator="notEqual">
      <formula>0</formula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Y27"/>
  <sheetViews>
    <sheetView zoomScale="60" zoomScaleNormal="60" workbookViewId="0">
      <selection sqref="A1:XFD1048576"/>
    </sheetView>
  </sheetViews>
  <sheetFormatPr defaultColWidth="9.109375" defaultRowHeight="13.8" x14ac:dyDescent="0.25"/>
  <cols>
    <col min="1" max="1" width="5.88671875" style="99" customWidth="1"/>
    <col min="2" max="2" width="15.5546875" style="99" customWidth="1"/>
    <col min="3" max="3" width="22.6640625" style="99" bestFit="1" customWidth="1"/>
    <col min="4" max="4" width="36.88671875" style="99" customWidth="1"/>
    <col min="5" max="5" width="37.88671875" style="99" customWidth="1"/>
    <col min="6" max="6" width="16.6640625" style="99" customWidth="1"/>
    <col min="7" max="7" width="18.5546875" style="99" customWidth="1"/>
    <col min="8" max="8" width="23.5546875" style="99" customWidth="1"/>
    <col min="9" max="9" width="23.44140625" style="99" bestFit="1" customWidth="1"/>
    <col min="10" max="10" width="16.88671875" style="99" bestFit="1" customWidth="1"/>
    <col min="11" max="11" width="16.88671875" style="99" customWidth="1"/>
    <col min="12" max="12" width="27.109375" style="99" bestFit="1" customWidth="1"/>
    <col min="13" max="14" width="16.88671875" style="99" customWidth="1"/>
    <col min="15" max="15" width="11.88671875" style="99" customWidth="1"/>
    <col min="16" max="16" width="11.6640625" style="99" customWidth="1"/>
    <col min="17" max="17" width="24.88671875" style="99" customWidth="1"/>
    <col min="18" max="18" width="13" style="99" bestFit="1" customWidth="1"/>
    <col min="19" max="19" width="31" style="99" customWidth="1"/>
    <col min="20" max="20" width="42.6640625" style="99" customWidth="1"/>
    <col min="21" max="21" width="11.44140625" style="99" bestFit="1" customWidth="1"/>
    <col min="22" max="22" width="12.44140625" style="99" bestFit="1" customWidth="1"/>
    <col min="23" max="23" width="9.6640625" style="99" bestFit="1" customWidth="1"/>
    <col min="24" max="24" width="13" style="99" bestFit="1" customWidth="1"/>
    <col min="25" max="25" width="9.5546875" style="99" bestFit="1" customWidth="1"/>
    <col min="26" max="26" width="9.109375" style="99"/>
    <col min="27" max="27" width="24.44140625" style="99" bestFit="1" customWidth="1"/>
    <col min="28" max="28" width="22" style="99" bestFit="1" customWidth="1"/>
    <col min="29" max="16384" width="9.109375" style="99"/>
  </cols>
  <sheetData>
    <row r="1" spans="2:25" x14ac:dyDescent="0.25">
      <c r="B1" s="108" t="s">
        <v>276</v>
      </c>
    </row>
    <row r="2" spans="2:25" x14ac:dyDescent="0.25">
      <c r="E2" s="108" t="s">
        <v>15</v>
      </c>
      <c r="F2" s="108"/>
    </row>
    <row r="3" spans="2:25" x14ac:dyDescent="0.25">
      <c r="B3" s="130" t="s">
        <v>33</v>
      </c>
      <c r="C3" s="217" t="s">
        <v>278</v>
      </c>
      <c r="D3" s="217" t="s">
        <v>284</v>
      </c>
      <c r="E3" s="217" t="s">
        <v>0</v>
      </c>
      <c r="F3" s="217" t="s">
        <v>279</v>
      </c>
      <c r="G3" s="218" t="str">
        <f>BASE_YEAR</f>
        <v>2017</v>
      </c>
    </row>
    <row r="4" spans="2:25" ht="14.4" thickBot="1" x14ac:dyDescent="0.3">
      <c r="B4" s="135" t="s">
        <v>150</v>
      </c>
      <c r="C4" s="135" t="s">
        <v>152</v>
      </c>
      <c r="D4" s="135"/>
      <c r="E4" s="135" t="s">
        <v>280</v>
      </c>
      <c r="F4" s="135" t="s">
        <v>281</v>
      </c>
      <c r="G4" s="136" t="s">
        <v>282</v>
      </c>
    </row>
    <row r="5" spans="2:25" ht="14.4" thickBot="1" x14ac:dyDescent="0.3">
      <c r="B5" s="135" t="s">
        <v>152</v>
      </c>
      <c r="C5" s="135" t="s">
        <v>48</v>
      </c>
      <c r="D5" s="135"/>
      <c r="E5" s="135"/>
      <c r="F5" s="135"/>
      <c r="G5" s="136" t="s">
        <v>327</v>
      </c>
    </row>
    <row r="6" spans="2:25" x14ac:dyDescent="0.25">
      <c r="C6" s="99" t="s">
        <v>277</v>
      </c>
      <c r="E6" s="99" t="str">
        <f>F27</f>
        <v>INDCON</v>
      </c>
      <c r="F6" s="99" t="s">
        <v>327</v>
      </c>
      <c r="G6" s="292">
        <f>SUM(N17:N26)*G17</f>
        <v>5.8615200000000005</v>
      </c>
    </row>
    <row r="7" spans="2:25" x14ac:dyDescent="0.25">
      <c r="C7" s="104"/>
      <c r="D7" s="104"/>
      <c r="F7" s="119"/>
    </row>
    <row r="8" spans="2:25" x14ac:dyDescent="0.25">
      <c r="B8" s="293"/>
      <c r="C8" s="234"/>
      <c r="D8" s="234"/>
    </row>
    <row r="9" spans="2:25" x14ac:dyDescent="0.25">
      <c r="B9" s="108"/>
      <c r="Q9" s="109" t="s">
        <v>149</v>
      </c>
      <c r="R9" s="109"/>
    </row>
    <row r="11" spans="2:25" x14ac:dyDescent="0.25">
      <c r="B11" s="108"/>
      <c r="C11" s="108"/>
      <c r="D11" s="108"/>
      <c r="E11" s="108"/>
      <c r="F11" s="108"/>
      <c r="G11" s="108"/>
      <c r="H11" s="294"/>
      <c r="I11" s="124"/>
      <c r="J11" s="124"/>
      <c r="K11" s="124"/>
      <c r="L11" s="124"/>
      <c r="M11" s="124"/>
      <c r="N11" s="124"/>
      <c r="Q11" s="111" t="s">
        <v>38</v>
      </c>
      <c r="R11" s="111"/>
      <c r="S11" s="111" t="s">
        <v>283</v>
      </c>
      <c r="T11" s="111"/>
      <c r="U11" s="111"/>
      <c r="V11" s="111"/>
      <c r="W11" s="111"/>
      <c r="X11" s="111"/>
      <c r="Y11" s="111"/>
    </row>
    <row r="12" spans="2:25" x14ac:dyDescent="0.25">
      <c r="B12" s="108"/>
      <c r="C12" s="123"/>
      <c r="E12" s="122"/>
      <c r="F12" s="122"/>
      <c r="G12" s="122"/>
      <c r="H12" s="294"/>
      <c r="I12" s="124"/>
      <c r="J12" s="124"/>
      <c r="K12" s="124"/>
      <c r="L12" s="124"/>
      <c r="M12" s="124"/>
      <c r="N12" s="124"/>
      <c r="Q12" s="111"/>
      <c r="R12" s="111"/>
      <c r="S12" s="111"/>
      <c r="T12" s="111"/>
      <c r="U12" s="111"/>
      <c r="V12" s="111"/>
      <c r="W12" s="111"/>
      <c r="X12" s="111"/>
      <c r="Y12" s="111"/>
    </row>
    <row r="13" spans="2:25" x14ac:dyDescent="0.25">
      <c r="F13" s="126" t="s">
        <v>15</v>
      </c>
      <c r="G13" s="127"/>
      <c r="H13" s="127"/>
      <c r="I13" s="129"/>
      <c r="Q13" s="110" t="s">
        <v>18</v>
      </c>
      <c r="R13" s="110"/>
      <c r="S13" s="111"/>
      <c r="T13" s="111"/>
      <c r="U13" s="111"/>
      <c r="V13" s="111"/>
      <c r="W13" s="111"/>
      <c r="X13" s="111"/>
      <c r="Y13" s="111"/>
    </row>
    <row r="14" spans="2:25" ht="27.6" x14ac:dyDescent="0.25">
      <c r="B14" s="130" t="s">
        <v>33</v>
      </c>
      <c r="C14" s="130" t="s">
        <v>1</v>
      </c>
      <c r="D14" s="131" t="s">
        <v>41</v>
      </c>
      <c r="E14" s="130" t="s">
        <v>7</v>
      </c>
      <c r="F14" s="132" t="s">
        <v>8</v>
      </c>
      <c r="G14" s="133" t="s">
        <v>17</v>
      </c>
      <c r="H14" s="133" t="s">
        <v>3</v>
      </c>
      <c r="I14" s="133" t="s">
        <v>6</v>
      </c>
      <c r="J14" s="133" t="s">
        <v>148</v>
      </c>
      <c r="K14" s="133" t="s">
        <v>401</v>
      </c>
      <c r="L14" s="133" t="s">
        <v>285</v>
      </c>
      <c r="M14" s="133"/>
      <c r="N14" s="220" t="s">
        <v>402</v>
      </c>
      <c r="Q14" s="113" t="s">
        <v>13</v>
      </c>
      <c r="R14" s="113" t="s">
        <v>33</v>
      </c>
      <c r="S14" s="113" t="s">
        <v>1</v>
      </c>
      <c r="T14" s="113" t="s">
        <v>2</v>
      </c>
      <c r="U14" s="113" t="s">
        <v>19</v>
      </c>
      <c r="V14" s="113" t="s">
        <v>20</v>
      </c>
      <c r="W14" s="113" t="s">
        <v>21</v>
      </c>
      <c r="X14" s="113" t="s">
        <v>22</v>
      </c>
      <c r="Y14" s="113" t="s">
        <v>23</v>
      </c>
    </row>
    <row r="15" spans="2:25" ht="29.25" customHeight="1" thickBot="1" x14ac:dyDescent="0.3">
      <c r="B15" s="135" t="s">
        <v>150</v>
      </c>
      <c r="C15" s="136" t="s">
        <v>24</v>
      </c>
      <c r="D15" s="136" t="s">
        <v>25</v>
      </c>
      <c r="E15" s="136" t="s">
        <v>35</v>
      </c>
      <c r="F15" s="137" t="s">
        <v>36</v>
      </c>
      <c r="G15" s="136" t="s">
        <v>37</v>
      </c>
      <c r="H15" s="136" t="s">
        <v>40</v>
      </c>
      <c r="I15" s="136" t="s">
        <v>39</v>
      </c>
      <c r="J15" s="136" t="s">
        <v>151</v>
      </c>
      <c r="K15" s="136"/>
      <c r="L15" s="136" t="s">
        <v>286</v>
      </c>
      <c r="M15" s="136"/>
      <c r="N15" s="136"/>
      <c r="Q15" s="139" t="s">
        <v>43</v>
      </c>
      <c r="R15" s="139" t="s">
        <v>34</v>
      </c>
      <c r="S15" s="139" t="s">
        <v>24</v>
      </c>
      <c r="T15" s="139" t="s">
        <v>25</v>
      </c>
      <c r="U15" s="139" t="s">
        <v>26</v>
      </c>
      <c r="V15" s="139" t="s">
        <v>27</v>
      </c>
      <c r="W15" s="139" t="s">
        <v>47</v>
      </c>
      <c r="X15" s="139" t="s">
        <v>46</v>
      </c>
      <c r="Y15" s="139" t="s">
        <v>28</v>
      </c>
    </row>
    <row r="16" spans="2:25" ht="12.75" customHeight="1" x14ac:dyDescent="0.25">
      <c r="B16" s="140" t="s">
        <v>152</v>
      </c>
      <c r="C16" s="140"/>
      <c r="D16" s="141"/>
      <c r="E16" s="141" t="s">
        <v>48</v>
      </c>
      <c r="F16" s="172"/>
      <c r="G16" s="141" t="s">
        <v>330</v>
      </c>
      <c r="H16" s="141" t="str">
        <f>General!$D$14</f>
        <v>$/GJ/a</v>
      </c>
      <c r="I16" s="141" t="str">
        <f>General!$D$15</f>
        <v>$/GJ</v>
      </c>
      <c r="J16" s="141" t="str">
        <f>General!$D$20</f>
        <v>Years</v>
      </c>
      <c r="K16" s="141"/>
      <c r="L16" s="141" t="str">
        <f>General!$C$5</f>
        <v>PJa</v>
      </c>
      <c r="M16" s="141"/>
      <c r="N16" s="141"/>
      <c r="Q16" s="99" t="s">
        <v>275</v>
      </c>
      <c r="S16" s="99" t="s">
        <v>498</v>
      </c>
      <c r="T16" s="99" t="s">
        <v>499</v>
      </c>
      <c r="U16" s="99" t="str">
        <f>General!$B$2</f>
        <v>PJ</v>
      </c>
      <c r="V16" s="99" t="str">
        <f>General!$C$5</f>
        <v>PJa</v>
      </c>
    </row>
    <row r="17" spans="2:22" x14ac:dyDescent="0.25">
      <c r="C17" s="99" t="str">
        <f>$S$16</f>
        <v>INDDEMCONE_00</v>
      </c>
      <c r="D17" s="99" t="str">
        <f>$T$16</f>
        <v>Construction Demand Technology</v>
      </c>
      <c r="E17" s="99" t="str">
        <f>Commodities!D48</f>
        <v>INDCOABCO</v>
      </c>
      <c r="F17" s="147"/>
      <c r="G17" s="234">
        <v>1</v>
      </c>
      <c r="H17" s="118"/>
      <c r="I17" s="118"/>
      <c r="J17" s="118">
        <v>25</v>
      </c>
      <c r="K17" s="251">
        <f t="shared" ref="K17:K26" si="0">N17/SUM($N$17:$N$26)</f>
        <v>0</v>
      </c>
      <c r="L17" s="251">
        <f>SUM(N17:N26)*G17</f>
        <v>5.8615200000000005</v>
      </c>
      <c r="M17" s="118"/>
      <c r="N17" s="251" cm="1">
        <f t="array" ref="N17">SUMPRODUCT(--(CON_BAL!$D$6:$U$6=CON_Techs!E17),CON_BAL!$D$5:$U$5)</f>
        <v>0</v>
      </c>
    </row>
    <row r="18" spans="2:22" x14ac:dyDescent="0.25">
      <c r="D18" s="216"/>
      <c r="E18" s="99" t="str">
        <f>Commodities!D53</f>
        <v>INDOILGSL</v>
      </c>
      <c r="F18" s="154"/>
      <c r="G18" s="234"/>
      <c r="H18" s="118"/>
      <c r="I18" s="118"/>
      <c r="J18" s="118"/>
      <c r="K18" s="251">
        <f t="shared" si="0"/>
        <v>0</v>
      </c>
      <c r="L18" s="118"/>
      <c r="M18" s="118"/>
      <c r="N18" s="251" cm="1">
        <f t="array" ref="N18">SUMPRODUCT(--(CON_BAL!$D$6:$U$6=CON_Techs!E18),CON_BAL!$D$5:$U$5)</f>
        <v>0</v>
      </c>
    </row>
    <row r="19" spans="2:22" x14ac:dyDescent="0.25">
      <c r="D19" s="216"/>
      <c r="E19" s="99" t="str">
        <f>Commodities!D54</f>
        <v>INDOILLPG</v>
      </c>
      <c r="F19" s="154"/>
      <c r="G19" s="234"/>
      <c r="H19" s="118"/>
      <c r="I19" s="118"/>
      <c r="J19" s="118"/>
      <c r="K19" s="251">
        <f t="shared" si="0"/>
        <v>0</v>
      </c>
      <c r="L19" s="118"/>
      <c r="M19" s="118"/>
      <c r="N19" s="251" cm="1">
        <f t="array" ref="N19">SUMPRODUCT(--(CON_BAL!$D$6:$U$6=CON_Techs!E19),CON_BAL!$D$5:$U$5)</f>
        <v>0</v>
      </c>
      <c r="U19" s="104"/>
      <c r="V19" s="104"/>
    </row>
    <row r="20" spans="2:22" x14ac:dyDescent="0.25">
      <c r="D20" s="216"/>
      <c r="E20" s="99" t="str">
        <f>Commodities!D77</f>
        <v>INDELC</v>
      </c>
      <c r="F20" s="154"/>
      <c r="G20" s="234"/>
      <c r="H20" s="118"/>
      <c r="I20" s="118"/>
      <c r="J20" s="118"/>
      <c r="K20" s="251">
        <f t="shared" si="0"/>
        <v>0.35714285714285715</v>
      </c>
      <c r="L20" s="118"/>
      <c r="M20" s="118"/>
      <c r="N20" s="251" cm="1">
        <f t="array" ref="N20">SUMPRODUCT(--(CON_BAL!$D$6:$U$6=CON_Techs!E20),CON_BAL!$D$5:$U$5)</f>
        <v>2.0934000000000004</v>
      </c>
      <c r="U20" s="104"/>
      <c r="V20" s="104"/>
    </row>
    <row r="21" spans="2:22" x14ac:dyDescent="0.25">
      <c r="D21" s="216"/>
      <c r="E21" s="99" t="str">
        <f>Commodities!D95</f>
        <v>INDCONHTH</v>
      </c>
      <c r="F21" s="154"/>
      <c r="G21" s="234"/>
      <c r="H21" s="118"/>
      <c r="I21" s="118"/>
      <c r="J21" s="118"/>
      <c r="K21" s="251">
        <f t="shared" ref="K21" si="1">N21/SUM($N$17:$N$26)</f>
        <v>0</v>
      </c>
      <c r="L21" s="118"/>
      <c r="M21" s="118"/>
      <c r="N21" s="251" cm="1">
        <f t="array" ref="N21">SUMPRODUCT(--(CON_BAL!$D$6:$U$6=CON_Techs!E21),CON_BAL!$D$5:$U$5)</f>
        <v>0</v>
      </c>
      <c r="U21" s="104"/>
      <c r="V21" s="104"/>
    </row>
    <row r="22" spans="2:22" x14ac:dyDescent="0.25">
      <c r="D22" s="216"/>
      <c r="E22" s="99" t="str">
        <f>Commodities!D52</f>
        <v>INDOILDSL</v>
      </c>
      <c r="F22" s="154"/>
      <c r="G22" s="234"/>
      <c r="H22" s="118"/>
      <c r="I22" s="118"/>
      <c r="J22" s="118"/>
      <c r="K22" s="251">
        <f t="shared" si="0"/>
        <v>0.5</v>
      </c>
      <c r="L22" s="118"/>
      <c r="M22" s="118"/>
      <c r="N22" s="251" cm="1">
        <f t="array" ref="N22">SUMPRODUCT(--(CON_BAL!$D$6:$U$6=CON_Techs!E22),CON_BAL!$D$5:$U$5)</f>
        <v>2.9307600000000003</v>
      </c>
    </row>
    <row r="23" spans="2:22" x14ac:dyDescent="0.25">
      <c r="D23" s="216"/>
      <c r="E23" s="99" t="str">
        <f>Commodities!D56</f>
        <v>INDOILHFO</v>
      </c>
      <c r="F23" s="154"/>
      <c r="G23" s="234"/>
      <c r="H23" s="118"/>
      <c r="I23" s="118"/>
      <c r="J23" s="118"/>
      <c r="K23" s="251">
        <f t="shared" si="0"/>
        <v>0</v>
      </c>
      <c r="L23" s="118"/>
      <c r="M23" s="118"/>
      <c r="N23" s="251" cm="1">
        <f t="array" ref="N23">SUMPRODUCT(--(CON_BAL!$D$6:$U$6=CON_Techs!E23),CON_BAL!$D$5:$U$5)</f>
        <v>0</v>
      </c>
    </row>
    <row r="24" spans="2:22" x14ac:dyDescent="0.25">
      <c r="D24" s="216"/>
      <c r="E24" s="99" t="str">
        <f>Commodities!D61</f>
        <v>INDGASNAT</v>
      </c>
      <c r="F24" s="154"/>
      <c r="G24" s="234"/>
      <c r="H24" s="118"/>
      <c r="I24" s="118"/>
      <c r="J24" s="118"/>
      <c r="K24" s="251">
        <f t="shared" si="0"/>
        <v>0.14285714285714285</v>
      </c>
      <c r="L24" s="118"/>
      <c r="M24" s="118"/>
      <c r="N24" s="251" cm="1">
        <f t="array" ref="N24">SUMPRODUCT(--(CON_BAL!$D$6:$U$6=CON_Techs!E24),CON_BAL!$D$5:$U$5)</f>
        <v>0.8373600000000001</v>
      </c>
    </row>
    <row r="25" spans="2:22" x14ac:dyDescent="0.25">
      <c r="D25" s="216"/>
      <c r="E25" s="99" t="str">
        <f>Commodities!D63</f>
        <v>INDBIOLOG</v>
      </c>
      <c r="F25" s="154"/>
      <c r="G25" s="234"/>
      <c r="H25" s="118"/>
      <c r="I25" s="118"/>
      <c r="J25" s="118"/>
      <c r="K25" s="251">
        <f t="shared" si="0"/>
        <v>0</v>
      </c>
      <c r="L25" s="118"/>
      <c r="M25" s="118"/>
      <c r="N25" s="251" cm="1">
        <f t="array" ref="N25">SUMPRODUCT(--(CON_BAL!$D$6:$U$6=CON_Techs!E25),CON_BAL!$D$5:$U$5)</f>
        <v>0</v>
      </c>
    </row>
    <row r="26" spans="2:22" x14ac:dyDescent="0.25">
      <c r="D26" s="216"/>
      <c r="E26" s="99" t="str">
        <f>Commodities!D69</f>
        <v>INDBIOBGS</v>
      </c>
      <c r="F26" s="154"/>
      <c r="G26" s="234"/>
      <c r="H26" s="118"/>
      <c r="I26" s="118"/>
      <c r="J26" s="118"/>
      <c r="K26" s="251">
        <f t="shared" si="0"/>
        <v>0</v>
      </c>
      <c r="L26" s="118"/>
      <c r="M26" s="118"/>
      <c r="N26" s="251" cm="1">
        <f t="array" ref="N26">SUMPRODUCT(--(CON_BAL!$D$6:$U$6=CON_Techs!E26),CON_BAL!$D$5:$U$5)</f>
        <v>0</v>
      </c>
    </row>
    <row r="27" spans="2:22" x14ac:dyDescent="0.25">
      <c r="B27" s="149"/>
      <c r="C27" s="149"/>
      <c r="D27" s="225"/>
      <c r="E27" s="149"/>
      <c r="F27" s="150" t="str">
        <f>Commodities!Y23</f>
        <v>INDCON</v>
      </c>
      <c r="G27" s="155"/>
      <c r="H27" s="152"/>
      <c r="I27" s="152"/>
      <c r="J27" s="152"/>
      <c r="K27" s="295"/>
      <c r="L27" s="152"/>
      <c r="M27" s="152"/>
      <c r="N27" s="152"/>
    </row>
  </sheetData>
  <pageMargins left="0.7" right="0.7" top="0.75" bottom="0.75" header="0.3" footer="0.3"/>
  <pageSetup orientation="portrait" horizontalDpi="4294967292" r:id="rId1"/>
  <headerFooter alignWithMargins="0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94E80-A45C-4D9D-B384-6AD7AE0CA892}">
  <dimension ref="A1:AB30"/>
  <sheetViews>
    <sheetView zoomScale="70" zoomScaleNormal="70" workbookViewId="0">
      <selection sqref="A1:XFD1048576"/>
    </sheetView>
  </sheetViews>
  <sheetFormatPr defaultColWidth="13.44140625" defaultRowHeight="13.8" x14ac:dyDescent="0.25"/>
  <cols>
    <col min="1" max="1" width="13.6640625" style="99" bestFit="1" customWidth="1"/>
    <col min="2" max="2" width="31.6640625" style="99" customWidth="1"/>
    <col min="3" max="3" width="15.6640625" style="99" bestFit="1" customWidth="1"/>
    <col min="4" max="4" width="22.44140625" style="99" bestFit="1" customWidth="1"/>
    <col min="5" max="5" width="20.109375" style="99" bestFit="1" customWidth="1"/>
    <col min="6" max="6" width="16.6640625" style="99" bestFit="1" customWidth="1"/>
    <col min="7" max="7" width="15.88671875" style="99" bestFit="1" customWidth="1"/>
    <col min="8" max="8" width="14.5546875" style="99" bestFit="1" customWidth="1"/>
    <col min="9" max="9" width="24.33203125" style="99" bestFit="1" customWidth="1"/>
    <col min="10" max="10" width="23.44140625" style="99" bestFit="1" customWidth="1"/>
    <col min="11" max="11" width="14.5546875" style="99" bestFit="1" customWidth="1"/>
    <col min="12" max="12" width="16.44140625" style="99" bestFit="1" customWidth="1"/>
    <col min="13" max="13" width="15.88671875" style="99" bestFit="1" customWidth="1"/>
    <col min="14" max="14" width="15.6640625" style="99" bestFit="1" customWidth="1"/>
    <col min="15" max="15" width="18.109375" style="99" bestFit="1" customWidth="1"/>
    <col min="16" max="16" width="15" style="99" bestFit="1" customWidth="1"/>
    <col min="17" max="17" width="14.88671875" style="99" bestFit="1" customWidth="1"/>
    <col min="18" max="18" width="15" style="99" bestFit="1" customWidth="1"/>
    <col min="19" max="19" width="13.109375" style="99" bestFit="1" customWidth="1"/>
    <col min="20" max="20" width="10.33203125" style="99" bestFit="1" customWidth="1"/>
    <col min="21" max="21" width="13.6640625" style="99" bestFit="1" customWidth="1"/>
    <col min="22" max="22" width="13.44140625" style="99"/>
    <col min="23" max="24" width="17.5546875" style="99" customWidth="1"/>
    <col min="25" max="26" width="16.6640625" style="99" customWidth="1"/>
    <col min="27" max="27" width="16.44140625" style="99" customWidth="1"/>
    <col min="28" max="16384" width="13.44140625" style="99"/>
  </cols>
  <sheetData>
    <row r="1" spans="1:28" ht="17.399999999999999" x14ac:dyDescent="0.3">
      <c r="A1" s="121"/>
      <c r="B1" s="121" t="s">
        <v>843</v>
      </c>
      <c r="C1" s="121"/>
      <c r="D1" s="121"/>
    </row>
    <row r="4" spans="1:28" s="275" customFormat="1" x14ac:dyDescent="0.25">
      <c r="A4" s="108"/>
      <c r="B4" s="108"/>
      <c r="D4" s="108"/>
    </row>
    <row r="5" spans="1:28" s="275" customFormat="1" ht="14.4" thickBot="1" x14ac:dyDescent="0.3">
      <c r="A5" s="108"/>
      <c r="B5" s="108"/>
      <c r="C5" s="135" t="s">
        <v>625</v>
      </c>
      <c r="D5" s="135" t="s">
        <v>626</v>
      </c>
      <c r="E5" s="135" t="s">
        <v>155</v>
      </c>
      <c r="F5" s="229" t="s">
        <v>57</v>
      </c>
      <c r="G5" s="229" t="s">
        <v>156</v>
      </c>
      <c r="H5" s="229" t="s">
        <v>163</v>
      </c>
      <c r="I5" s="229" t="s">
        <v>164</v>
      </c>
      <c r="J5" s="229" t="s">
        <v>168</v>
      </c>
      <c r="K5" s="229" t="s">
        <v>169</v>
      </c>
      <c r="L5" s="229" t="s">
        <v>77</v>
      </c>
      <c r="M5" s="229" t="s">
        <v>172</v>
      </c>
      <c r="N5" s="229" t="s">
        <v>174</v>
      </c>
      <c r="O5" s="229" t="s">
        <v>176</v>
      </c>
      <c r="P5" s="229" t="s">
        <v>182</v>
      </c>
      <c r="Q5" s="229" t="s">
        <v>94</v>
      </c>
      <c r="R5" s="229" t="s">
        <v>183</v>
      </c>
      <c r="S5" s="229" t="s">
        <v>189</v>
      </c>
      <c r="T5" s="229" t="s">
        <v>190</v>
      </c>
    </row>
    <row r="6" spans="1:28" s="275" customFormat="1" ht="19.5" customHeight="1" x14ac:dyDescent="0.25">
      <c r="A6" s="108"/>
      <c r="B6" s="108"/>
      <c r="C6" s="152"/>
      <c r="D6" s="152"/>
      <c r="E6" s="152"/>
      <c r="F6" s="152"/>
      <c r="G6" s="152"/>
      <c r="H6" s="152"/>
      <c r="I6" s="152"/>
      <c r="J6" s="152"/>
      <c r="K6" s="152"/>
      <c r="L6" s="152"/>
      <c r="M6" s="152"/>
      <c r="N6" s="152"/>
      <c r="O6" s="152"/>
      <c r="P6" s="152"/>
      <c r="Q6" s="152"/>
      <c r="R6" s="152"/>
      <c r="S6" s="152"/>
      <c r="T6" s="152"/>
      <c r="W6" s="276"/>
    </row>
    <row r="7" spans="1:28" s="108" customFormat="1" ht="15.75" customHeight="1" thickBot="1" x14ac:dyDescent="0.3">
      <c r="A7" s="108">
        <v>13</v>
      </c>
      <c r="B7" s="217" t="s">
        <v>270</v>
      </c>
      <c r="C7" s="135" t="s">
        <v>625</v>
      </c>
      <c r="D7" s="135" t="s">
        <v>626</v>
      </c>
      <c r="E7" s="135" t="s">
        <v>155</v>
      </c>
      <c r="F7" s="229" t="s">
        <v>57</v>
      </c>
      <c r="G7" s="229" t="s">
        <v>156</v>
      </c>
      <c r="H7" s="229" t="s">
        <v>163</v>
      </c>
      <c r="I7" s="229" t="s">
        <v>164</v>
      </c>
      <c r="J7" s="229" t="s">
        <v>168</v>
      </c>
      <c r="K7" s="229" t="s">
        <v>169</v>
      </c>
      <c r="L7" s="229" t="s">
        <v>77</v>
      </c>
      <c r="M7" s="229" t="s">
        <v>172</v>
      </c>
      <c r="N7" s="229" t="s">
        <v>174</v>
      </c>
      <c r="O7" s="229" t="s">
        <v>176</v>
      </c>
      <c r="P7" s="229" t="s">
        <v>182</v>
      </c>
      <c r="Q7" s="229" t="s">
        <v>94</v>
      </c>
      <c r="R7" s="229" t="s">
        <v>183</v>
      </c>
      <c r="S7" s="229" t="s">
        <v>189</v>
      </c>
      <c r="T7" s="229" t="s">
        <v>190</v>
      </c>
      <c r="W7" s="238"/>
      <c r="X7" s="236"/>
      <c r="Y7" s="238"/>
      <c r="Z7" s="236"/>
      <c r="AA7" s="238"/>
      <c r="AB7" s="236"/>
    </row>
    <row r="8" spans="1:28" s="275" customFormat="1" x14ac:dyDescent="0.25">
      <c r="A8" s="99"/>
      <c r="B8" s="277" t="s">
        <v>686</v>
      </c>
      <c r="C8" s="278">
        <f>('En.Bal-Final_Energy'!K26+'En.Bal-Final_Energy'!K25+'En.Bal-Final_Energy'!K23+'En.Bal-Final_Energy'!K22+'En.Bal-Final_Energy'!K19+'En.Bal-Final_Energy'!K18)/1000*41.868</f>
        <v>0</v>
      </c>
      <c r="D8" s="278">
        <f>('En.Bal-Final_Energy'!L26+'En.Bal-Final_Energy'!L25+'En.Bal-Final_Energy'!L23+'En.Bal-Final_Energy'!L22+'En.Bal-Final_Energy'!L19+'En.Bal-Final_Energy'!L18)/1000*41.868</f>
        <v>0</v>
      </c>
      <c r="E8" s="278">
        <f>('En.Bal-Final_Energy'!M26+'En.Bal-Final_Energy'!M25+'En.Bal-Final_Energy'!M23+'En.Bal-Final_Energy'!M22+'En.Bal-Final_Energy'!M19+'En.Bal-Final_Energy'!M18)/1000*41.868</f>
        <v>0</v>
      </c>
      <c r="F8" s="278"/>
      <c r="G8" s="278"/>
      <c r="H8" s="278">
        <f>('En.Bal-Final_Energy'!X26+'En.Bal-Final_Energy'!X25+'En.Bal-Final_Energy'!X23+'En.Bal-Final_Energy'!X22+'En.Bal-Final_Energy'!X19+'En.Bal-Final_Energy'!X18)/1000*41.868</f>
        <v>0</v>
      </c>
      <c r="I8" s="278">
        <f>('En.Bal-Final_Energy'!Y26+'En.Bal-Final_Energy'!Y25+'En.Bal-Final_Energy'!Y23+'En.Bal-Final_Energy'!Y22+'En.Bal-Final_Energy'!Y19+'En.Bal-Final_Energy'!Y18)/1000*41.868</f>
        <v>0</v>
      </c>
      <c r="J8" s="278">
        <f>('En.Bal-Final_Energy'!AE26+'En.Bal-Final_Energy'!AE25+'En.Bal-Final_Energy'!AE23+'En.Bal-Final_Energy'!AE22+'En.Bal-Final_Energy'!AE19+'En.Bal-Final_Energy'!AE18)/1000*41.868</f>
        <v>0.41868000000000005</v>
      </c>
      <c r="K8" s="278"/>
      <c r="L8" s="278"/>
      <c r="M8" s="278"/>
      <c r="N8" s="278">
        <f>('En.Bal-Final_Energy'!AN26+'En.Bal-Final_Energy'!AN25+'En.Bal-Final_Energy'!AN23+'En.Bal-Final_Energy'!AN22+'En.Bal-Final_Energy'!AN19+'En.Bal-Final_Energy'!AN18)/1000*41.868</f>
        <v>1.25604</v>
      </c>
      <c r="O8" s="278"/>
      <c r="P8" s="278"/>
      <c r="Q8" s="278"/>
      <c r="R8" s="278"/>
      <c r="S8" s="278">
        <f>('En.Bal-Final_Energy'!BD26+'En.Bal-Final_Energy'!BD25+'En.Bal-Final_Energy'!BD23+'En.Bal-Final_Energy'!BD22+'En.Bal-Final_Energy'!BD19+'En.Bal-Final_Energy'!BD18)/1000*41.868</f>
        <v>0</v>
      </c>
      <c r="T8" s="278">
        <f>('En.Bal-Final_Energy'!BE26+'En.Bal-Final_Energy'!BE25+'En.Bal-Final_Energy'!BE23+'En.Bal-Final_Energy'!BE22+'En.Bal-Final_Energy'!BE19+'En.Bal-Final_Energy'!BE18)/1000*41.868+NFM_BAL!U5-NFM_BAL!U7</f>
        <v>4.9423427499999999</v>
      </c>
      <c r="V8" s="279"/>
      <c r="W8" s="280"/>
      <c r="X8" s="281"/>
      <c r="Y8" s="280"/>
      <c r="Z8" s="281"/>
      <c r="AA8" s="280"/>
      <c r="AB8" s="281"/>
    </row>
    <row r="9" spans="1:28" ht="14.4" thickBot="1" x14ac:dyDescent="0.3">
      <c r="C9" s="282" t="s">
        <v>100</v>
      </c>
      <c r="D9" s="282" t="s">
        <v>616</v>
      </c>
      <c r="E9" s="282" t="s">
        <v>612</v>
      </c>
      <c r="F9" s="282" t="s">
        <v>101</v>
      </c>
      <c r="G9" s="282" t="s">
        <v>103</v>
      </c>
      <c r="H9" s="282" t="s">
        <v>106</v>
      </c>
      <c r="I9" s="282" t="s">
        <v>105</v>
      </c>
      <c r="J9" s="282" t="s">
        <v>104</v>
      </c>
      <c r="K9" s="282" t="s">
        <v>449</v>
      </c>
      <c r="L9" s="282" t="s">
        <v>110</v>
      </c>
      <c r="M9" s="282" t="s">
        <v>111</v>
      </c>
      <c r="N9" s="282" t="s">
        <v>112</v>
      </c>
      <c r="O9" s="282" t="s">
        <v>113</v>
      </c>
      <c r="P9" s="282" t="s">
        <v>114</v>
      </c>
      <c r="Q9" s="282" t="s">
        <v>121</v>
      </c>
      <c r="R9" s="282" t="s">
        <v>119</v>
      </c>
      <c r="S9" s="282" t="s">
        <v>678</v>
      </c>
      <c r="T9" s="282" t="s">
        <v>129</v>
      </c>
    </row>
    <row r="10" spans="1:28" x14ac:dyDescent="0.25">
      <c r="W10" s="108"/>
      <c r="X10" s="108"/>
      <c r="Y10" s="108"/>
      <c r="Z10" s="275"/>
      <c r="AA10" s="275"/>
    </row>
    <row r="11" spans="1:28" x14ac:dyDescent="0.25">
      <c r="W11" s="108"/>
      <c r="X11" s="108"/>
      <c r="Y11" s="108"/>
      <c r="Z11" s="275"/>
      <c r="AA11" s="275"/>
    </row>
    <row r="12" spans="1:28" x14ac:dyDescent="0.25">
      <c r="W12" s="108"/>
      <c r="X12" s="108"/>
      <c r="Y12" s="108"/>
      <c r="Z12" s="275"/>
      <c r="AA12" s="275"/>
    </row>
    <row r="15" spans="1:28" x14ac:dyDescent="0.25">
      <c r="B15" s="217" t="s">
        <v>681</v>
      </c>
      <c r="C15" s="217"/>
      <c r="D15" s="217"/>
      <c r="E15" s="217"/>
      <c r="F15" s="217"/>
      <c r="G15" s="217"/>
      <c r="H15" s="217"/>
      <c r="I15" s="217"/>
      <c r="J15" s="217"/>
      <c r="K15" s="217"/>
      <c r="L15" s="217"/>
      <c r="M15" s="217"/>
      <c r="N15" s="217"/>
      <c r="O15" s="217"/>
      <c r="P15" s="217"/>
      <c r="Q15" s="217"/>
      <c r="R15" s="217"/>
      <c r="S15" s="217"/>
      <c r="T15" s="217"/>
      <c r="U15" s="274"/>
    </row>
    <row r="16" spans="1:28" ht="14.4" thickBot="1" x14ac:dyDescent="0.3">
      <c r="B16" s="283" t="s">
        <v>403</v>
      </c>
      <c r="C16" s="284" t="str">
        <f>C$9</f>
        <v>INDCOABIC</v>
      </c>
      <c r="D16" s="284" t="str">
        <f t="shared" ref="D16:T16" si="0">D$9</f>
        <v>INDCOASUB</v>
      </c>
      <c r="E16" s="284" t="str">
        <f t="shared" si="0"/>
        <v>INDCOABCO</v>
      </c>
      <c r="F16" s="284" t="str">
        <f t="shared" si="0"/>
        <v>INDCOACOC</v>
      </c>
      <c r="G16" s="284" t="str">
        <f t="shared" si="0"/>
        <v>INDCOABKB</v>
      </c>
      <c r="H16" s="284" t="str">
        <f t="shared" si="0"/>
        <v>INDOILLPG</v>
      </c>
      <c r="I16" s="284" t="str">
        <f t="shared" si="0"/>
        <v>INDOILGSL</v>
      </c>
      <c r="J16" s="284" t="str">
        <f t="shared" si="0"/>
        <v>INDOILDSL</v>
      </c>
      <c r="K16" s="284" t="str">
        <f t="shared" si="0"/>
        <v>INDOILHFO</v>
      </c>
      <c r="L16" s="284" t="str">
        <f t="shared" si="0"/>
        <v>INDOILPCK</v>
      </c>
      <c r="M16" s="284" t="str">
        <f t="shared" si="0"/>
        <v>INDOILOTH</v>
      </c>
      <c r="N16" s="284" t="str">
        <f t="shared" si="0"/>
        <v>INDGASNAT</v>
      </c>
      <c r="O16" s="284" t="str">
        <f t="shared" si="0"/>
        <v>INDGASBFG</v>
      </c>
      <c r="P16" s="284" t="str">
        <f t="shared" si="0"/>
        <v>INDBIOLOG</v>
      </c>
      <c r="Q16" s="284" t="str">
        <f t="shared" si="0"/>
        <v>INDBIOCHR</v>
      </c>
      <c r="R16" s="284" t="str">
        <f t="shared" si="0"/>
        <v>INDBIOBGS</v>
      </c>
      <c r="S16" s="284" t="str">
        <f t="shared" si="0"/>
        <v>INDLTH</v>
      </c>
      <c r="T16" s="284" t="str">
        <f t="shared" si="0"/>
        <v>INDELC</v>
      </c>
      <c r="U16" s="285"/>
    </row>
    <row r="17" spans="1:22" ht="15" customHeight="1" x14ac:dyDescent="0.25">
      <c r="A17" s="99" t="s">
        <v>687</v>
      </c>
      <c r="B17" s="99" t="s">
        <v>640</v>
      </c>
      <c r="C17" s="278">
        <v>0.6</v>
      </c>
      <c r="D17" s="278">
        <v>0.6</v>
      </c>
      <c r="E17" s="278">
        <v>0.6</v>
      </c>
      <c r="F17" s="278"/>
      <c r="G17" s="278"/>
      <c r="H17" s="278">
        <v>0.6</v>
      </c>
      <c r="I17" s="278">
        <v>0.6</v>
      </c>
      <c r="J17" s="278">
        <v>0.1</v>
      </c>
      <c r="K17" s="278"/>
      <c r="L17" s="278"/>
      <c r="M17" s="278"/>
      <c r="N17" s="278">
        <v>0.6</v>
      </c>
      <c r="O17" s="278"/>
      <c r="P17" s="278">
        <v>0.9</v>
      </c>
      <c r="Q17" s="278"/>
      <c r="R17" s="278"/>
      <c r="S17" s="278">
        <v>1</v>
      </c>
      <c r="T17" s="278"/>
      <c r="V17" s="99" t="s">
        <v>687</v>
      </c>
    </row>
    <row r="18" spans="1:22" ht="15" customHeight="1" x14ac:dyDescent="0.25">
      <c r="A18" s="99" t="s">
        <v>452</v>
      </c>
      <c r="B18" s="99" t="s">
        <v>642</v>
      </c>
      <c r="C18" s="278">
        <v>0.4</v>
      </c>
      <c r="D18" s="278">
        <v>0.4</v>
      </c>
      <c r="E18" s="278">
        <v>0.4</v>
      </c>
      <c r="F18" s="278"/>
      <c r="G18" s="278"/>
      <c r="H18" s="278">
        <v>0.4</v>
      </c>
      <c r="I18" s="278">
        <v>0.4</v>
      </c>
      <c r="J18" s="278">
        <v>0.1</v>
      </c>
      <c r="K18" s="278"/>
      <c r="L18" s="278"/>
      <c r="M18" s="278"/>
      <c r="N18" s="278">
        <v>0.4</v>
      </c>
      <c r="O18" s="278"/>
      <c r="P18" s="278">
        <v>0.1</v>
      </c>
      <c r="Q18" s="278"/>
      <c r="R18" s="278"/>
      <c r="S18" s="278">
        <v>0</v>
      </c>
      <c r="T18" s="278">
        <v>0.1</v>
      </c>
      <c r="V18" s="99" t="s">
        <v>452</v>
      </c>
    </row>
    <row r="19" spans="1:22" ht="15" customHeight="1" x14ac:dyDescent="0.25">
      <c r="A19" s="99" t="s">
        <v>454</v>
      </c>
      <c r="B19" s="99" t="s">
        <v>396</v>
      </c>
      <c r="C19" s="278"/>
      <c r="D19" s="278"/>
      <c r="E19" s="278"/>
      <c r="F19" s="278"/>
      <c r="G19" s="278"/>
      <c r="H19" s="278"/>
      <c r="I19" s="278"/>
      <c r="J19" s="278">
        <v>0.8</v>
      </c>
      <c r="K19" s="278"/>
      <c r="L19" s="278"/>
      <c r="M19" s="278"/>
      <c r="N19" s="278"/>
      <c r="O19" s="278"/>
      <c r="P19" s="278"/>
      <c r="Q19" s="278"/>
      <c r="R19" s="278"/>
      <c r="S19" s="278"/>
      <c r="T19" s="278">
        <v>0.7</v>
      </c>
      <c r="V19" s="99" t="s">
        <v>454</v>
      </c>
    </row>
    <row r="20" spans="1:22" ht="15" customHeight="1" x14ac:dyDescent="0.25">
      <c r="A20" s="99" t="s">
        <v>456</v>
      </c>
      <c r="B20" s="149" t="s">
        <v>400</v>
      </c>
      <c r="C20" s="286"/>
      <c r="D20" s="286"/>
      <c r="E20" s="286"/>
      <c r="F20" s="286"/>
      <c r="G20" s="286"/>
      <c r="H20" s="286"/>
      <c r="I20" s="286"/>
      <c r="J20" s="286"/>
      <c r="K20" s="286"/>
      <c r="L20" s="286"/>
      <c r="M20" s="286"/>
      <c r="N20" s="286"/>
      <c r="O20" s="286"/>
      <c r="P20" s="286"/>
      <c r="Q20" s="286"/>
      <c r="R20" s="286"/>
      <c r="S20" s="286"/>
      <c r="T20" s="286">
        <v>0.2</v>
      </c>
      <c r="V20" s="99" t="s">
        <v>456</v>
      </c>
    </row>
    <row r="21" spans="1:22" ht="15" customHeight="1" x14ac:dyDescent="0.25">
      <c r="B21" s="287" t="s">
        <v>645</v>
      </c>
      <c r="C21" s="288" t="str">
        <f>IF(AND(C8&lt;&gt;0,SUM(C17:C20)&lt;&gt;1),"ERROR","")</f>
        <v/>
      </c>
      <c r="D21" s="288" t="str">
        <f t="shared" ref="D21:T21" si="1">IF(AND(D8&lt;&gt;0,SUM(D17:D20)&lt;&gt;1),"ERROR","")</f>
        <v/>
      </c>
      <c r="E21" s="288" t="str">
        <f t="shared" si="1"/>
        <v/>
      </c>
      <c r="F21" s="288" t="str">
        <f t="shared" si="1"/>
        <v/>
      </c>
      <c r="G21" s="288" t="str">
        <f t="shared" si="1"/>
        <v/>
      </c>
      <c r="H21" s="288" t="str">
        <f t="shared" si="1"/>
        <v/>
      </c>
      <c r="I21" s="288" t="str">
        <f t="shared" si="1"/>
        <v/>
      </c>
      <c r="J21" s="288" t="str">
        <f t="shared" si="1"/>
        <v/>
      </c>
      <c r="K21" s="288" t="str">
        <f t="shared" si="1"/>
        <v/>
      </c>
      <c r="L21" s="288" t="str">
        <f t="shared" si="1"/>
        <v/>
      </c>
      <c r="M21" s="288" t="str">
        <f t="shared" si="1"/>
        <v/>
      </c>
      <c r="N21" s="288" t="str">
        <f t="shared" si="1"/>
        <v/>
      </c>
      <c r="O21" s="288" t="str">
        <f t="shared" si="1"/>
        <v/>
      </c>
      <c r="P21" s="288" t="str">
        <f t="shared" si="1"/>
        <v/>
      </c>
      <c r="Q21" s="288" t="str">
        <f t="shared" si="1"/>
        <v/>
      </c>
      <c r="R21" s="288" t="str">
        <f t="shared" si="1"/>
        <v/>
      </c>
      <c r="S21" s="288" t="str">
        <f t="shared" si="1"/>
        <v/>
      </c>
      <c r="T21" s="288" t="str">
        <f t="shared" si="1"/>
        <v/>
      </c>
    </row>
    <row r="22" spans="1:22" x14ac:dyDescent="0.25">
      <c r="B22" s="217" t="s">
        <v>646</v>
      </c>
      <c r="C22" s="217"/>
      <c r="D22" s="217"/>
      <c r="E22" s="217"/>
      <c r="F22" s="217"/>
      <c r="G22" s="217"/>
      <c r="H22" s="217"/>
      <c r="I22" s="217"/>
      <c r="J22" s="217"/>
      <c r="K22" s="217"/>
      <c r="L22" s="217"/>
      <c r="M22" s="217"/>
      <c r="N22" s="217"/>
      <c r="O22" s="217"/>
      <c r="P22" s="217"/>
      <c r="Q22" s="217"/>
      <c r="R22" s="217"/>
      <c r="S22" s="217"/>
      <c r="T22" s="217"/>
      <c r="V22" s="274"/>
    </row>
    <row r="23" spans="1:22" ht="14.4" thickBot="1" x14ac:dyDescent="0.3">
      <c r="B23" s="283" t="s">
        <v>403</v>
      </c>
      <c r="C23" s="284" t="str">
        <f>C$9</f>
        <v>INDCOABIC</v>
      </c>
      <c r="D23" s="284" t="str">
        <f t="shared" ref="D23:T23" si="2">D$9</f>
        <v>INDCOASUB</v>
      </c>
      <c r="E23" s="284" t="str">
        <f t="shared" si="2"/>
        <v>INDCOABCO</v>
      </c>
      <c r="F23" s="284" t="str">
        <f t="shared" si="2"/>
        <v>INDCOACOC</v>
      </c>
      <c r="G23" s="284" t="str">
        <f t="shared" si="2"/>
        <v>INDCOABKB</v>
      </c>
      <c r="H23" s="284" t="str">
        <f t="shared" si="2"/>
        <v>INDOILLPG</v>
      </c>
      <c r="I23" s="284" t="str">
        <f t="shared" si="2"/>
        <v>INDOILGSL</v>
      </c>
      <c r="J23" s="284" t="str">
        <f t="shared" si="2"/>
        <v>INDOILDSL</v>
      </c>
      <c r="K23" s="284" t="str">
        <f t="shared" si="2"/>
        <v>INDOILHFO</v>
      </c>
      <c r="L23" s="284" t="str">
        <f t="shared" si="2"/>
        <v>INDOILPCK</v>
      </c>
      <c r="M23" s="284" t="str">
        <f t="shared" si="2"/>
        <v>INDOILOTH</v>
      </c>
      <c r="N23" s="284" t="str">
        <f t="shared" si="2"/>
        <v>INDGASNAT</v>
      </c>
      <c r="O23" s="284" t="str">
        <f t="shared" si="2"/>
        <v>INDGASBFG</v>
      </c>
      <c r="P23" s="284" t="str">
        <f t="shared" si="2"/>
        <v>INDBIOLOG</v>
      </c>
      <c r="Q23" s="284" t="str">
        <f t="shared" si="2"/>
        <v>INDBIOCHR</v>
      </c>
      <c r="R23" s="284" t="str">
        <f t="shared" si="2"/>
        <v>INDBIOBGS</v>
      </c>
      <c r="S23" s="284" t="str">
        <f t="shared" si="2"/>
        <v>INDLTH</v>
      </c>
      <c r="T23" s="284" t="str">
        <f t="shared" si="2"/>
        <v>INDELC</v>
      </c>
      <c r="V23" s="285"/>
    </row>
    <row r="24" spans="1:22" ht="15" customHeight="1" x14ac:dyDescent="0.25">
      <c r="A24" s="99" t="s">
        <v>687</v>
      </c>
      <c r="B24" s="99" t="s">
        <v>640</v>
      </c>
      <c r="C24" s="278">
        <f>C$8*C17</f>
        <v>0</v>
      </c>
      <c r="D24" s="278">
        <f t="shared" ref="D24:T27" si="3">D$8*D17</f>
        <v>0</v>
      </c>
      <c r="E24" s="278">
        <f t="shared" si="3"/>
        <v>0</v>
      </c>
      <c r="F24" s="278">
        <f t="shared" si="3"/>
        <v>0</v>
      </c>
      <c r="G24" s="278">
        <f t="shared" si="3"/>
        <v>0</v>
      </c>
      <c r="H24" s="278">
        <f t="shared" si="3"/>
        <v>0</v>
      </c>
      <c r="I24" s="278">
        <f t="shared" si="3"/>
        <v>0</v>
      </c>
      <c r="J24" s="278">
        <f t="shared" si="3"/>
        <v>4.1868000000000009E-2</v>
      </c>
      <c r="K24" s="278">
        <f t="shared" si="3"/>
        <v>0</v>
      </c>
      <c r="L24" s="278">
        <f t="shared" si="3"/>
        <v>0</v>
      </c>
      <c r="M24" s="278">
        <f t="shared" si="3"/>
        <v>0</v>
      </c>
      <c r="N24" s="278">
        <f t="shared" si="3"/>
        <v>0.75362399999999996</v>
      </c>
      <c r="O24" s="278">
        <f t="shared" si="3"/>
        <v>0</v>
      </c>
      <c r="P24" s="278">
        <f t="shared" si="3"/>
        <v>0</v>
      </c>
      <c r="Q24" s="278">
        <f t="shared" si="3"/>
        <v>0</v>
      </c>
      <c r="R24" s="278">
        <f t="shared" si="3"/>
        <v>0</v>
      </c>
      <c r="S24" s="278">
        <f t="shared" si="3"/>
        <v>0</v>
      </c>
      <c r="T24" s="278">
        <f t="shared" si="3"/>
        <v>0</v>
      </c>
      <c r="U24" s="289">
        <f>SUM(C24:T24)</f>
        <v>0.79549199999999998</v>
      </c>
      <c r="V24" s="99" t="s">
        <v>687</v>
      </c>
    </row>
    <row r="25" spans="1:22" ht="15" customHeight="1" x14ac:dyDescent="0.25">
      <c r="A25" s="99" t="s">
        <v>452</v>
      </c>
      <c r="B25" s="99" t="s">
        <v>642</v>
      </c>
      <c r="C25" s="278">
        <f>C$8*C18</f>
        <v>0</v>
      </c>
      <c r="D25" s="278">
        <f t="shared" si="3"/>
        <v>0</v>
      </c>
      <c r="E25" s="278">
        <f t="shared" si="3"/>
        <v>0</v>
      </c>
      <c r="F25" s="278">
        <f t="shared" si="3"/>
        <v>0</v>
      </c>
      <c r="G25" s="278">
        <f t="shared" si="3"/>
        <v>0</v>
      </c>
      <c r="H25" s="278">
        <f t="shared" si="3"/>
        <v>0</v>
      </c>
      <c r="I25" s="278">
        <f t="shared" si="3"/>
        <v>0</v>
      </c>
      <c r="J25" s="278">
        <f t="shared" si="3"/>
        <v>4.1868000000000009E-2</v>
      </c>
      <c r="K25" s="278">
        <f t="shared" si="3"/>
        <v>0</v>
      </c>
      <c r="L25" s="278">
        <f t="shared" si="3"/>
        <v>0</v>
      </c>
      <c r="M25" s="278">
        <f t="shared" si="3"/>
        <v>0</v>
      </c>
      <c r="N25" s="278">
        <f t="shared" si="3"/>
        <v>0.50241600000000008</v>
      </c>
      <c r="O25" s="278">
        <f t="shared" si="3"/>
        <v>0</v>
      </c>
      <c r="P25" s="278">
        <f t="shared" si="3"/>
        <v>0</v>
      </c>
      <c r="Q25" s="278">
        <f t="shared" si="3"/>
        <v>0</v>
      </c>
      <c r="R25" s="278">
        <f t="shared" si="3"/>
        <v>0</v>
      </c>
      <c r="S25" s="278">
        <f t="shared" si="3"/>
        <v>0</v>
      </c>
      <c r="T25" s="278">
        <f t="shared" si="3"/>
        <v>0.494234275</v>
      </c>
      <c r="U25" s="289">
        <f t="shared" ref="U25:U27" si="4">SUM(C25:T25)</f>
        <v>1.0385182750000002</v>
      </c>
      <c r="V25" s="99" t="s">
        <v>452</v>
      </c>
    </row>
    <row r="26" spans="1:22" ht="15" customHeight="1" x14ac:dyDescent="0.25">
      <c r="A26" s="99" t="s">
        <v>454</v>
      </c>
      <c r="B26" s="99" t="s">
        <v>396</v>
      </c>
      <c r="C26" s="278">
        <f>C$8*C19</f>
        <v>0</v>
      </c>
      <c r="D26" s="278">
        <f t="shared" si="3"/>
        <v>0</v>
      </c>
      <c r="E26" s="278">
        <f t="shared" si="3"/>
        <v>0</v>
      </c>
      <c r="F26" s="278">
        <f t="shared" si="3"/>
        <v>0</v>
      </c>
      <c r="G26" s="278">
        <f t="shared" si="3"/>
        <v>0</v>
      </c>
      <c r="H26" s="278">
        <f t="shared" si="3"/>
        <v>0</v>
      </c>
      <c r="I26" s="278">
        <f t="shared" si="3"/>
        <v>0</v>
      </c>
      <c r="J26" s="278">
        <f t="shared" si="3"/>
        <v>0.33494400000000008</v>
      </c>
      <c r="K26" s="278">
        <f t="shared" si="3"/>
        <v>0</v>
      </c>
      <c r="L26" s="278">
        <f t="shared" si="3"/>
        <v>0</v>
      </c>
      <c r="M26" s="278">
        <f t="shared" si="3"/>
        <v>0</v>
      </c>
      <c r="N26" s="278">
        <f t="shared" si="3"/>
        <v>0</v>
      </c>
      <c r="O26" s="278">
        <f t="shared" si="3"/>
        <v>0</v>
      </c>
      <c r="P26" s="278">
        <f t="shared" si="3"/>
        <v>0</v>
      </c>
      <c r="Q26" s="278">
        <f t="shared" si="3"/>
        <v>0</v>
      </c>
      <c r="R26" s="278">
        <f t="shared" si="3"/>
        <v>0</v>
      </c>
      <c r="S26" s="278">
        <f t="shared" si="3"/>
        <v>0</v>
      </c>
      <c r="T26" s="278">
        <f t="shared" si="3"/>
        <v>3.4596399249999998</v>
      </c>
      <c r="U26" s="289">
        <f t="shared" si="4"/>
        <v>3.794583925</v>
      </c>
      <c r="V26" s="99" t="s">
        <v>454</v>
      </c>
    </row>
    <row r="27" spans="1:22" ht="15" customHeight="1" x14ac:dyDescent="0.25">
      <c r="A27" s="99" t="s">
        <v>456</v>
      </c>
      <c r="B27" s="149" t="s">
        <v>400</v>
      </c>
      <c r="C27" s="286">
        <f>C$8*C20</f>
        <v>0</v>
      </c>
      <c r="D27" s="286">
        <f t="shared" si="3"/>
        <v>0</v>
      </c>
      <c r="E27" s="286">
        <f t="shared" si="3"/>
        <v>0</v>
      </c>
      <c r="F27" s="286">
        <f t="shared" si="3"/>
        <v>0</v>
      </c>
      <c r="G27" s="286">
        <f t="shared" si="3"/>
        <v>0</v>
      </c>
      <c r="H27" s="286">
        <f t="shared" si="3"/>
        <v>0</v>
      </c>
      <c r="I27" s="286">
        <f t="shared" si="3"/>
        <v>0</v>
      </c>
      <c r="J27" s="286">
        <f t="shared" si="3"/>
        <v>0</v>
      </c>
      <c r="K27" s="286">
        <f t="shared" si="3"/>
        <v>0</v>
      </c>
      <c r="L27" s="286">
        <f t="shared" si="3"/>
        <v>0</v>
      </c>
      <c r="M27" s="286">
        <f t="shared" si="3"/>
        <v>0</v>
      </c>
      <c r="N27" s="286">
        <f t="shared" si="3"/>
        <v>0</v>
      </c>
      <c r="O27" s="286">
        <f t="shared" si="3"/>
        <v>0</v>
      </c>
      <c r="P27" s="286">
        <f t="shared" si="3"/>
        <v>0</v>
      </c>
      <c r="Q27" s="286">
        <f t="shared" si="3"/>
        <v>0</v>
      </c>
      <c r="R27" s="286">
        <f t="shared" si="3"/>
        <v>0</v>
      </c>
      <c r="S27" s="286">
        <f t="shared" si="3"/>
        <v>0</v>
      </c>
      <c r="T27" s="286">
        <f t="shared" si="3"/>
        <v>0.98846855</v>
      </c>
      <c r="U27" s="289">
        <f t="shared" si="4"/>
        <v>0.98846855</v>
      </c>
      <c r="V27" s="99" t="s">
        <v>456</v>
      </c>
    </row>
    <row r="28" spans="1:22" x14ac:dyDescent="0.25">
      <c r="B28" s="290"/>
      <c r="C28" s="291"/>
      <c r="D28" s="291"/>
      <c r="E28" s="291"/>
      <c r="F28" s="291"/>
      <c r="G28" s="291"/>
      <c r="H28" s="291"/>
      <c r="I28" s="291"/>
      <c r="J28" s="291"/>
      <c r="K28" s="291"/>
      <c r="L28" s="291"/>
      <c r="M28" s="291"/>
      <c r="N28" s="291"/>
      <c r="O28" s="291"/>
      <c r="P28" s="291"/>
      <c r="Q28" s="291"/>
      <c r="R28" s="291"/>
      <c r="S28" s="291"/>
      <c r="T28" s="291"/>
      <c r="U28" s="291"/>
    </row>
    <row r="29" spans="1:22" x14ac:dyDescent="0.25">
      <c r="B29" s="290"/>
      <c r="C29" s="291"/>
      <c r="D29" s="291"/>
      <c r="E29" s="291"/>
      <c r="F29" s="291"/>
      <c r="G29" s="291"/>
      <c r="H29" s="291"/>
      <c r="I29" s="291"/>
      <c r="J29" s="291"/>
      <c r="K29" s="291"/>
      <c r="L29" s="291"/>
      <c r="M29" s="291"/>
      <c r="N29" s="291"/>
      <c r="O29" s="291"/>
      <c r="P29" s="291"/>
      <c r="Q29" s="291"/>
      <c r="R29" s="291"/>
      <c r="S29" s="291"/>
      <c r="T29" s="291"/>
      <c r="U29" s="291"/>
    </row>
    <row r="30" spans="1:22" x14ac:dyDescent="0.25">
      <c r="B30" s="287"/>
      <c r="C30" s="108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</row>
  </sheetData>
  <pageMargins left="0.7" right="0.7" top="0.75" bottom="0.75" header="0.3" footer="0.3"/>
  <pageSetup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DE99F-59A7-477A-8707-181C38F2B0F5}">
  <dimension ref="A1:Y220"/>
  <sheetViews>
    <sheetView zoomScale="60" zoomScaleNormal="60" workbookViewId="0">
      <selection sqref="A1:XFD1048576"/>
    </sheetView>
  </sheetViews>
  <sheetFormatPr defaultColWidth="9.109375" defaultRowHeight="13.8" x14ac:dyDescent="0.25"/>
  <cols>
    <col min="1" max="1" width="5.88671875" style="99" customWidth="1"/>
    <col min="2" max="2" width="48.109375" style="99" bestFit="1" customWidth="1"/>
    <col min="3" max="3" width="47.109375" style="99" customWidth="1"/>
    <col min="4" max="4" width="17.88671875" style="99" customWidth="1"/>
    <col min="5" max="5" width="19.109375" style="99" bestFit="1" customWidth="1"/>
    <col min="6" max="7" width="24.33203125" style="99" bestFit="1" customWidth="1"/>
    <col min="8" max="8" width="19.88671875" style="99" customWidth="1"/>
    <col min="9" max="9" width="23.5546875" style="99" customWidth="1"/>
    <col min="10" max="10" width="11.5546875" style="99" bestFit="1" customWidth="1"/>
    <col min="11" max="11" width="16.6640625" style="99" customWidth="1"/>
    <col min="12" max="17" width="16.88671875" style="99" customWidth="1"/>
    <col min="18" max="18" width="19.44140625" style="99" bestFit="1" customWidth="1"/>
    <col min="19" max="19" width="27.6640625" style="99" customWidth="1"/>
    <col min="20" max="20" width="46.109375" style="99" bestFit="1" customWidth="1"/>
    <col min="21" max="21" width="42.6640625" style="99" customWidth="1"/>
    <col min="22" max="22" width="11.44140625" style="99" bestFit="1" customWidth="1"/>
    <col min="23" max="23" width="12.44140625" style="99" bestFit="1" customWidth="1"/>
    <col min="24" max="24" width="9.6640625" style="99" bestFit="1" customWidth="1"/>
    <col min="25" max="25" width="13" style="99" bestFit="1" customWidth="1"/>
    <col min="26" max="26" width="9.5546875" style="99" bestFit="1" customWidth="1"/>
    <col min="27" max="27" width="22" style="99" bestFit="1" customWidth="1"/>
    <col min="28" max="16384" width="9.109375" style="99"/>
  </cols>
  <sheetData>
    <row r="1" spans="1:25" ht="17.399999999999999" x14ac:dyDescent="0.3">
      <c r="A1" s="121"/>
      <c r="B1" s="121" t="s">
        <v>688</v>
      </c>
      <c r="C1" s="121"/>
    </row>
    <row r="3" spans="1:25" x14ac:dyDescent="0.25">
      <c r="D3" s="108" t="s">
        <v>15</v>
      </c>
      <c r="E3" s="108"/>
    </row>
    <row r="4" spans="1:25" x14ac:dyDescent="0.25">
      <c r="B4" s="217" t="s">
        <v>278</v>
      </c>
      <c r="C4" s="217" t="s">
        <v>284</v>
      </c>
      <c r="D4" s="217" t="s">
        <v>0</v>
      </c>
      <c r="E4" s="217" t="s">
        <v>279</v>
      </c>
      <c r="F4" s="218" t="str">
        <f>BASE_YEAR</f>
        <v>2017</v>
      </c>
    </row>
    <row r="5" spans="1:25" ht="29.25" customHeight="1" thickBot="1" x14ac:dyDescent="0.3">
      <c r="B5" s="229" t="s">
        <v>152</v>
      </c>
      <c r="C5" s="229"/>
      <c r="D5" s="229" t="s">
        <v>280</v>
      </c>
      <c r="E5" s="229" t="s">
        <v>281</v>
      </c>
      <c r="F5" s="230" t="s">
        <v>282</v>
      </c>
      <c r="R5" s="99" t="s">
        <v>149</v>
      </c>
    </row>
    <row r="6" spans="1:25" ht="14.4" thickBot="1" x14ac:dyDescent="0.3">
      <c r="B6" s="229" t="s">
        <v>48</v>
      </c>
      <c r="C6" s="229"/>
      <c r="D6" s="229"/>
      <c r="E6" s="229"/>
      <c r="F6" s="230" t="s">
        <v>327</v>
      </c>
    </row>
    <row r="7" spans="1:25" x14ac:dyDescent="0.25">
      <c r="B7" s="231" t="s">
        <v>277</v>
      </c>
      <c r="C7" s="232" t="s">
        <v>696</v>
      </c>
      <c r="D7" s="232" t="s">
        <v>403</v>
      </c>
      <c r="E7" s="232" t="s">
        <v>327</v>
      </c>
      <c r="F7" s="233">
        <f>M22</f>
        <v>5.5913727388636358</v>
      </c>
      <c r="Q7" s="124"/>
      <c r="R7" s="111" t="s">
        <v>38</v>
      </c>
      <c r="S7" s="111" t="s">
        <v>283</v>
      </c>
      <c r="T7" s="111"/>
      <c r="U7" s="111"/>
      <c r="V7" s="111"/>
      <c r="W7" s="111"/>
      <c r="X7" s="111"/>
      <c r="Y7" s="111"/>
    </row>
    <row r="8" spans="1:25" x14ac:dyDescent="0.25">
      <c r="E8" s="119"/>
      <c r="Q8" s="124"/>
      <c r="R8" s="111"/>
      <c r="S8" s="111"/>
      <c r="T8" s="111"/>
      <c r="U8" s="111"/>
      <c r="V8" s="111"/>
      <c r="W8" s="111"/>
      <c r="X8" s="111"/>
      <c r="Y8" s="111"/>
    </row>
    <row r="9" spans="1:25" x14ac:dyDescent="0.25">
      <c r="B9" s="234"/>
      <c r="C9" s="234"/>
      <c r="R9" s="110" t="s">
        <v>18</v>
      </c>
      <c r="S9" s="111"/>
      <c r="T9" s="111"/>
      <c r="U9" s="111"/>
      <c r="V9" s="111"/>
      <c r="W9" s="111"/>
      <c r="X9" s="111"/>
      <c r="Y9" s="111"/>
    </row>
    <row r="10" spans="1:25" x14ac:dyDescent="0.25">
      <c r="Q10" s="235"/>
      <c r="R10" s="113" t="s">
        <v>13</v>
      </c>
      <c r="S10" s="113" t="s">
        <v>1</v>
      </c>
      <c r="T10" s="113" t="s">
        <v>2</v>
      </c>
      <c r="U10" s="113" t="s">
        <v>19</v>
      </c>
      <c r="V10" s="113" t="s">
        <v>20</v>
      </c>
      <c r="W10" s="113" t="s">
        <v>21</v>
      </c>
      <c r="X10" s="113" t="s">
        <v>22</v>
      </c>
      <c r="Y10" s="113" t="s">
        <v>23</v>
      </c>
    </row>
    <row r="11" spans="1:25" ht="27" customHeight="1" thickBot="1" x14ac:dyDescent="0.3">
      <c r="B11" s="108" t="s">
        <v>689</v>
      </c>
      <c r="Q11" s="236"/>
      <c r="R11" s="237" t="s">
        <v>43</v>
      </c>
      <c r="S11" s="237" t="s">
        <v>24</v>
      </c>
      <c r="T11" s="237" t="s">
        <v>25</v>
      </c>
      <c r="U11" s="237" t="s">
        <v>26</v>
      </c>
      <c r="V11" s="237" t="s">
        <v>27</v>
      </c>
      <c r="W11" s="237" t="s">
        <v>47</v>
      </c>
      <c r="X11" s="237" t="s">
        <v>46</v>
      </c>
      <c r="Y11" s="237" t="s">
        <v>28</v>
      </c>
    </row>
    <row r="12" spans="1:25" x14ac:dyDescent="0.25">
      <c r="B12" s="108" t="s">
        <v>648</v>
      </c>
      <c r="C12" s="108"/>
      <c r="D12" s="108"/>
      <c r="E12" s="108"/>
      <c r="F12" s="108"/>
      <c r="G12" s="108"/>
      <c r="H12" s="119"/>
      <c r="I12" s="124"/>
      <c r="J12" s="124"/>
      <c r="K12" s="124"/>
      <c r="L12" s="124"/>
      <c r="M12" s="124"/>
      <c r="N12" s="124"/>
      <c r="O12" s="124"/>
      <c r="P12" s="124"/>
      <c r="Q12" s="236"/>
      <c r="R12" s="99" t="s">
        <v>289</v>
      </c>
      <c r="S12" s="99" t="str">
        <f t="shared" ref="S12:S21" si="0">"INDOTHSTM"&amp;RIGHT(D30,6)&amp;"_00"</f>
        <v>INDOTHSTMCOASUB_00</v>
      </c>
      <c r="T12" s="99" t="str">
        <f>"Steam Boiler INDOTH Sub-bituminous"&amp;"_"&amp;$S$7&amp;"00"</f>
        <v>Steam Boiler INDOTH Sub-bituminous_E00</v>
      </c>
      <c r="U12" s="99" t="s">
        <v>327</v>
      </c>
      <c r="V12" s="99" t="s">
        <v>328</v>
      </c>
    </row>
    <row r="13" spans="1:25" x14ac:dyDescent="0.25">
      <c r="B13" s="238"/>
      <c r="D13" s="108"/>
      <c r="E13" s="108"/>
      <c r="F13" s="108"/>
      <c r="G13" s="119"/>
      <c r="H13" s="119"/>
      <c r="I13" s="124"/>
      <c r="J13" s="124"/>
      <c r="K13" s="124"/>
      <c r="L13" s="124"/>
      <c r="M13" s="124"/>
      <c r="N13" s="124"/>
      <c r="O13" s="124"/>
      <c r="P13" s="124"/>
      <c r="Q13" s="239"/>
      <c r="S13" s="99" t="str">
        <f t="shared" si="0"/>
        <v>INDOTHSTMCOABIC_00</v>
      </c>
      <c r="T13" s="99" t="str">
        <f>"Steam Boiler INDOTH Bitouminous"&amp;"_"&amp;$S$7&amp;"00"</f>
        <v>Steam Boiler INDOTH Bitouminous_E00</v>
      </c>
      <c r="U13" s="99" t="s">
        <v>327</v>
      </c>
      <c r="V13" s="99" t="s">
        <v>328</v>
      </c>
    </row>
    <row r="14" spans="1:25" x14ac:dyDescent="0.25">
      <c r="A14" s="108"/>
      <c r="C14" s="108"/>
      <c r="D14" s="108"/>
      <c r="E14" s="240" t="s">
        <v>15</v>
      </c>
      <c r="F14" s="216"/>
      <c r="G14" s="216"/>
      <c r="H14" s="216"/>
      <c r="I14" s="216"/>
      <c r="Q14" s="239"/>
      <c r="S14" s="99" t="str">
        <f t="shared" si="0"/>
        <v>INDOTHSTMCOABCO_00</v>
      </c>
      <c r="T14" s="99" t="str">
        <f>"Steam Boiler INDOTH Lignite"&amp;"_"&amp;$S$7&amp;"00"</f>
        <v>Steam Boiler INDOTH Lignite_E00</v>
      </c>
      <c r="U14" s="99" t="s">
        <v>327</v>
      </c>
      <c r="V14" s="99" t="s">
        <v>328</v>
      </c>
    </row>
    <row r="15" spans="1:25" x14ac:dyDescent="0.25">
      <c r="B15" s="217" t="s">
        <v>1</v>
      </c>
      <c r="C15" s="217" t="s">
        <v>41</v>
      </c>
      <c r="D15" s="217" t="s">
        <v>7</v>
      </c>
      <c r="E15" s="241" t="s">
        <v>8</v>
      </c>
      <c r="F15" s="241" t="s">
        <v>358</v>
      </c>
      <c r="G15" s="241" t="s">
        <v>359</v>
      </c>
      <c r="H15" s="241" t="s">
        <v>650</v>
      </c>
      <c r="J15" s="242"/>
      <c r="K15" s="235"/>
      <c r="L15" s="235"/>
      <c r="M15" s="241" t="s">
        <v>771</v>
      </c>
      <c r="N15" s="235"/>
      <c r="O15" s="235"/>
      <c r="P15" s="235"/>
      <c r="Q15" s="239"/>
      <c r="S15" s="99" t="str">
        <f t="shared" si="0"/>
        <v>INDOTHSTMOILDSL_00</v>
      </c>
      <c r="T15" s="99" t="str">
        <f>"Steam Boiler INDOTH Diesel"&amp;"_"&amp;$S$7&amp;"00"</f>
        <v>Steam Boiler INDOTH Diesel_E00</v>
      </c>
      <c r="U15" s="99" t="s">
        <v>327</v>
      </c>
      <c r="V15" s="99" t="s">
        <v>328</v>
      </c>
    </row>
    <row r="16" spans="1:25" ht="15.75" customHeight="1" thickBot="1" x14ac:dyDescent="0.3">
      <c r="B16" s="230" t="s">
        <v>651</v>
      </c>
      <c r="C16" s="230" t="s">
        <v>25</v>
      </c>
      <c r="D16" s="230" t="s">
        <v>35</v>
      </c>
      <c r="E16" s="243" t="s">
        <v>36</v>
      </c>
      <c r="F16" s="243"/>
      <c r="G16" s="243"/>
      <c r="H16" s="243"/>
      <c r="J16" s="236"/>
      <c r="K16" s="236"/>
      <c r="L16" s="236"/>
      <c r="M16" s="243" t="s">
        <v>652</v>
      </c>
      <c r="N16" s="236"/>
      <c r="O16" s="236"/>
      <c r="P16" s="236"/>
      <c r="Q16" s="239"/>
      <c r="S16" s="99" t="str">
        <f t="shared" si="0"/>
        <v>INDOTHSTMOILHFO_00</v>
      </c>
      <c r="T16" s="99" t="str">
        <f>"Steam Boiler INDOTH HFO"&amp;"_"&amp;$S$7&amp;"00"</f>
        <v>Steam Boiler INDOTH HFO_E00</v>
      </c>
      <c r="U16" s="99" t="s">
        <v>327</v>
      </c>
      <c r="V16" s="99" t="s">
        <v>328</v>
      </c>
    </row>
    <row r="17" spans="2:25" x14ac:dyDescent="0.25">
      <c r="B17" s="244" t="str">
        <f>S37</f>
        <v>INDDEMOTHE_00</v>
      </c>
      <c r="C17" s="244" t="str">
        <f>T37</f>
        <v>Other Industry Demand Technology</v>
      </c>
      <c r="D17" s="216" t="s">
        <v>687</v>
      </c>
      <c r="E17" s="245"/>
      <c r="F17" s="246">
        <f>IF($M$22=0,0,M17/$M$22)</f>
        <v>0.11366729954926372</v>
      </c>
      <c r="G17" s="247"/>
      <c r="H17" s="248">
        <f>F17</f>
        <v>0.11366729954926372</v>
      </c>
      <c r="J17" s="236"/>
      <c r="K17" s="236"/>
      <c r="L17" s="236"/>
      <c r="M17" s="249">
        <f>N40</f>
        <v>0.63555623999999999</v>
      </c>
      <c r="N17" s="236"/>
      <c r="O17" s="236"/>
      <c r="P17" s="236"/>
      <c r="Q17" s="239"/>
      <c r="S17" s="99" t="str">
        <f t="shared" si="0"/>
        <v>INDOTHSTMOILPCK_00</v>
      </c>
      <c r="T17" s="99" t="str">
        <f>"Steam Boiler INDOTH PetCoke"&amp;"_"&amp;$S$7&amp;"00"</f>
        <v>Steam Boiler INDOTH PetCoke_E00</v>
      </c>
      <c r="U17" s="99" t="s">
        <v>327</v>
      </c>
      <c r="V17" s="99" t="s">
        <v>328</v>
      </c>
    </row>
    <row r="18" spans="2:25" x14ac:dyDescent="0.25">
      <c r="B18" s="216"/>
      <c r="C18" s="250"/>
      <c r="D18" s="216" t="s">
        <v>452</v>
      </c>
      <c r="E18" s="245"/>
      <c r="F18" s="246">
        <f t="shared" ref="F18:F20" si="1">IF($M$22=0,0,M18/$M$22)</f>
        <v>0.15808170330337784</v>
      </c>
      <c r="G18" s="247"/>
      <c r="H18" s="248">
        <f t="shared" ref="H18:H20" si="2">F18</f>
        <v>0.15808170330337784</v>
      </c>
      <c r="J18" s="251"/>
      <c r="K18" s="239"/>
      <c r="L18" s="239"/>
      <c r="M18" s="249">
        <f>N60</f>
        <v>0.88389372636363639</v>
      </c>
      <c r="N18" s="239"/>
      <c r="O18" s="239"/>
      <c r="P18" s="239"/>
      <c r="Q18" s="239"/>
      <c r="S18" s="99" t="str">
        <f t="shared" si="0"/>
        <v>INDOTHSTMOILOTH_00</v>
      </c>
      <c r="T18" s="99" t="str">
        <f>"Steam Boiler INDOTH Other Oil Products"&amp;"_"&amp;$S$7&amp;"00"</f>
        <v>Steam Boiler INDOTH Other Oil Products_E00</v>
      </c>
      <c r="U18" s="99" t="s">
        <v>327</v>
      </c>
      <c r="V18" s="99" t="s">
        <v>328</v>
      </c>
    </row>
    <row r="19" spans="2:25" x14ac:dyDescent="0.25">
      <c r="B19" s="216"/>
      <c r="C19" s="250"/>
      <c r="D19" s="216" t="s">
        <v>454</v>
      </c>
      <c r="E19" s="245"/>
      <c r="F19" s="246">
        <f t="shared" si="1"/>
        <v>0.58682332331270137</v>
      </c>
      <c r="G19" s="247"/>
      <c r="H19" s="248">
        <f t="shared" si="2"/>
        <v>0.58682332331270137</v>
      </c>
      <c r="J19" s="118"/>
      <c r="K19" s="239"/>
      <c r="L19" s="239"/>
      <c r="M19" s="249">
        <f>N73</f>
        <v>3.2811479324999997</v>
      </c>
      <c r="N19" s="239"/>
      <c r="O19" s="239"/>
      <c r="P19" s="239"/>
      <c r="Q19" s="239"/>
      <c r="S19" s="99" t="str">
        <f t="shared" si="0"/>
        <v>INDOTHSTMGASNAT_00</v>
      </c>
      <c r="T19" s="99" t="str">
        <f>"Steam Boiler INDOTH N. Gas"&amp;"_"&amp;$S$7&amp;"00"</f>
        <v>Steam Boiler INDOTH N. Gas_E00</v>
      </c>
      <c r="U19" s="99" t="s">
        <v>327</v>
      </c>
      <c r="V19" s="99" t="s">
        <v>328</v>
      </c>
    </row>
    <row r="20" spans="2:25" x14ac:dyDescent="0.25">
      <c r="B20" s="216"/>
      <c r="C20" s="250"/>
      <c r="D20" s="216" t="s">
        <v>456</v>
      </c>
      <c r="E20" s="245"/>
      <c r="F20" s="246">
        <f t="shared" si="1"/>
        <v>0.14142767383465715</v>
      </c>
      <c r="G20" s="247"/>
      <c r="H20" s="248">
        <f t="shared" si="2"/>
        <v>0.14142767383465715</v>
      </c>
      <c r="J20" s="118"/>
      <c r="K20" s="239"/>
      <c r="L20" s="239"/>
      <c r="M20" s="249">
        <f>N83</f>
        <v>0.79077483999999998</v>
      </c>
      <c r="N20" s="239"/>
      <c r="O20" s="239"/>
      <c r="P20" s="239"/>
      <c r="Q20" s="239"/>
      <c r="S20" s="99" t="str">
        <f t="shared" si="0"/>
        <v>INDOTHSTMBIOLOG_00</v>
      </c>
      <c r="T20" s="99" t="str">
        <f>"Steam Boiler INDOTH Biomass"&amp;"_"&amp;$S$7&amp;"00"</f>
        <v>Steam Boiler INDOTH Biomass_E00</v>
      </c>
      <c r="U20" s="99" t="s">
        <v>327</v>
      </c>
      <c r="V20" s="99" t="s">
        <v>328</v>
      </c>
    </row>
    <row r="21" spans="2:25" x14ac:dyDescent="0.25">
      <c r="B21" s="216"/>
      <c r="C21" s="250"/>
      <c r="D21" s="250"/>
      <c r="E21" s="252" t="s">
        <v>403</v>
      </c>
      <c r="F21" s="248"/>
      <c r="G21" s="253">
        <v>1</v>
      </c>
      <c r="H21" s="248"/>
      <c r="J21" s="118"/>
      <c r="K21" s="239"/>
      <c r="L21" s="239"/>
      <c r="M21" s="246"/>
      <c r="N21" s="239"/>
      <c r="O21" s="239"/>
      <c r="P21" s="239"/>
      <c r="Q21" s="239"/>
      <c r="R21" s="149"/>
      <c r="S21" s="149" t="str">
        <f t="shared" si="0"/>
        <v>INDOTHSTMOTHHTH_00</v>
      </c>
      <c r="T21" s="149" t="str">
        <f>"Steam Boiler INDOTH Heat"&amp;"_"&amp;$S$7&amp;"00"</f>
        <v>Steam Boiler INDOTH Heat_E00</v>
      </c>
      <c r="U21" s="149" t="s">
        <v>327</v>
      </c>
      <c r="V21" s="149" t="s">
        <v>328</v>
      </c>
      <c r="W21" s="149"/>
      <c r="X21" s="149"/>
      <c r="Y21" s="149"/>
    </row>
    <row r="22" spans="2:25" ht="14.4" thickBot="1" x14ac:dyDescent="0.3">
      <c r="B22" s="254" t="s">
        <v>653</v>
      </c>
      <c r="C22" s="255"/>
      <c r="D22" s="255"/>
      <c r="E22" s="255"/>
      <c r="F22" s="256"/>
      <c r="G22" s="255"/>
      <c r="H22" s="255"/>
      <c r="J22" s="118"/>
      <c r="K22" s="239"/>
      <c r="L22" s="239"/>
      <c r="M22" s="257">
        <f>SUM(M17:M20)</f>
        <v>5.5913727388636358</v>
      </c>
      <c r="N22" s="239"/>
      <c r="O22" s="239"/>
      <c r="P22" s="239"/>
      <c r="Q22" s="118"/>
      <c r="S22" s="99" t="str">
        <f t="shared" ref="S22:S32" si="3">"INDOTHHPR"&amp;RIGHT(D49,6)&amp;"_00"</f>
        <v>INDOTHHPRCOASUB_00</v>
      </c>
      <c r="T22" s="99" t="str">
        <f>"Process Heat INDOTH Sub-bituminous"&amp;"_"&amp;$S$7&amp;"00"</f>
        <v>Process Heat INDOTH Sub-bituminous_E00</v>
      </c>
      <c r="U22" s="99" t="s">
        <v>327</v>
      </c>
      <c r="V22" s="99" t="s">
        <v>649</v>
      </c>
    </row>
    <row r="23" spans="2:25" x14ac:dyDescent="0.25">
      <c r="C23" s="216"/>
      <c r="F23" s="234"/>
      <c r="G23" s="219"/>
      <c r="H23" s="118"/>
      <c r="I23" s="118"/>
      <c r="J23" s="118"/>
      <c r="K23" s="239"/>
      <c r="L23" s="239"/>
      <c r="M23" s="239"/>
      <c r="N23" s="239"/>
      <c r="O23" s="239"/>
      <c r="P23" s="239"/>
      <c r="Q23" s="118"/>
      <c r="S23" s="99" t="str">
        <f t="shared" si="3"/>
        <v>INDOTHHPRCOABIC_00</v>
      </c>
      <c r="T23" s="99" t="str">
        <f>"Process Heat INDOTH Bitouminous"&amp;"_"&amp;$S$7&amp;"00"</f>
        <v>Process Heat INDOTH Bitouminous_E00</v>
      </c>
      <c r="U23" s="99" t="s">
        <v>327</v>
      </c>
      <c r="V23" s="99" t="s">
        <v>649</v>
      </c>
    </row>
    <row r="24" spans="2:25" x14ac:dyDescent="0.25">
      <c r="C24" s="216"/>
      <c r="F24" s="234"/>
      <c r="G24" s="219"/>
      <c r="H24" s="118"/>
      <c r="I24" s="118"/>
      <c r="J24" s="118"/>
      <c r="K24" s="239"/>
      <c r="L24" s="239"/>
      <c r="M24" s="239"/>
      <c r="N24" s="239"/>
      <c r="O24" s="239"/>
      <c r="P24" s="239"/>
      <c r="Q24" s="118"/>
      <c r="S24" s="99" t="str">
        <f t="shared" si="3"/>
        <v>INDOTHHPRCOABCO_00</v>
      </c>
      <c r="T24" s="99" t="str">
        <f>"Process Heat INDOTH Lignite"&amp;"_"&amp;$S$7&amp;"00"</f>
        <v>Process Heat INDOTH Lignite_E00</v>
      </c>
      <c r="U24" s="99" t="s">
        <v>327</v>
      </c>
      <c r="V24" s="99" t="s">
        <v>649</v>
      </c>
    </row>
    <row r="25" spans="2:25" x14ac:dyDescent="0.25">
      <c r="B25" s="108" t="s">
        <v>654</v>
      </c>
      <c r="C25" s="216"/>
      <c r="F25" s="234"/>
      <c r="G25" s="219"/>
      <c r="H25" s="118"/>
      <c r="I25" s="118"/>
      <c r="J25" s="118"/>
      <c r="K25" s="239"/>
      <c r="L25" s="239"/>
      <c r="M25" s="239"/>
      <c r="N25" s="239"/>
      <c r="O25" s="239"/>
      <c r="P25" s="239"/>
      <c r="Q25" s="118"/>
      <c r="S25" s="99" t="str">
        <f t="shared" si="3"/>
        <v>INDOTHHPROILDSL_00</v>
      </c>
      <c r="T25" s="99" t="str">
        <f>"Process Heat INDOTH Diesel"&amp;"_"&amp;$S$7&amp;"00"</f>
        <v>Process Heat INDOTH Diesel_E00</v>
      </c>
      <c r="U25" s="99" t="s">
        <v>327</v>
      </c>
      <c r="V25" s="99" t="s">
        <v>649</v>
      </c>
    </row>
    <row r="26" spans="2:25" x14ac:dyDescent="0.25">
      <c r="C26" s="216"/>
      <c r="F26" s="234"/>
      <c r="G26" s="219"/>
      <c r="H26" s="118"/>
      <c r="I26" s="118"/>
      <c r="J26" s="118"/>
      <c r="K26" s="239"/>
      <c r="L26" s="239"/>
      <c r="M26" s="239"/>
      <c r="N26" s="239"/>
      <c r="O26" s="239"/>
      <c r="P26" s="239"/>
      <c r="Q26" s="118"/>
      <c r="S26" s="99" t="str">
        <f t="shared" si="3"/>
        <v>INDOTHHPROILHFO_00</v>
      </c>
      <c r="T26" s="99" t="str">
        <f>"Process Heat INDOTH HFO"&amp;"_"&amp;$S$7&amp;"00"</f>
        <v>Process Heat INDOTH HFO_E00</v>
      </c>
      <c r="U26" s="99" t="s">
        <v>327</v>
      </c>
      <c r="V26" s="99" t="s">
        <v>649</v>
      </c>
    </row>
    <row r="27" spans="2:25" x14ac:dyDescent="0.25">
      <c r="B27" s="216"/>
      <c r="C27" s="216"/>
      <c r="D27" s="216"/>
      <c r="E27" s="258" t="s">
        <v>15</v>
      </c>
      <c r="F27" s="242" t="s">
        <v>464</v>
      </c>
      <c r="G27" s="242" t="s">
        <v>464</v>
      </c>
      <c r="H27" s="242" t="s">
        <v>464</v>
      </c>
      <c r="I27" s="242" t="s">
        <v>464</v>
      </c>
      <c r="J27" s="216"/>
      <c r="K27" s="216"/>
      <c r="L27" s="216"/>
      <c r="M27" s="216"/>
      <c r="N27" s="216"/>
      <c r="O27" s="216"/>
      <c r="P27" s="216"/>
      <c r="Q27" s="118"/>
      <c r="S27" s="99" t="str">
        <f t="shared" si="3"/>
        <v>INDOTHHPROILPCK_00</v>
      </c>
      <c r="T27" s="99" t="str">
        <f>"Process Heat INDOTH PetCoke"&amp;"_"&amp;$S$7&amp;"00"</f>
        <v>Process Heat INDOTH PetCoke_E00</v>
      </c>
      <c r="U27" s="99" t="s">
        <v>327</v>
      </c>
      <c r="V27" s="99" t="s">
        <v>649</v>
      </c>
    </row>
    <row r="28" spans="2:25" x14ac:dyDescent="0.25">
      <c r="B28" s="217" t="s">
        <v>1</v>
      </c>
      <c r="C28" s="217" t="s">
        <v>41</v>
      </c>
      <c r="D28" s="217" t="s">
        <v>7</v>
      </c>
      <c r="E28" s="241" t="s">
        <v>8</v>
      </c>
      <c r="F28" s="259" t="s">
        <v>358</v>
      </c>
      <c r="G28" s="259" t="s">
        <v>359</v>
      </c>
      <c r="H28" s="241" t="s">
        <v>657</v>
      </c>
      <c r="I28" s="241" t="s">
        <v>658</v>
      </c>
      <c r="J28" s="241" t="s">
        <v>659</v>
      </c>
      <c r="K28" s="241" t="s">
        <v>660</v>
      </c>
      <c r="L28" s="118"/>
      <c r="M28" s="241" t="s">
        <v>771</v>
      </c>
      <c r="N28" s="241" t="s">
        <v>771</v>
      </c>
      <c r="O28" s="118"/>
      <c r="P28" s="118"/>
      <c r="Q28" s="118"/>
      <c r="S28" s="99" t="str">
        <f t="shared" si="3"/>
        <v>INDOTHHPROILOTH_00</v>
      </c>
      <c r="T28" s="99" t="str">
        <f>"Process Heat INDOTH Other Oil Products"&amp;"_"&amp;$S$7&amp;"00"</f>
        <v>Process Heat INDOTH Other Oil Products_E00</v>
      </c>
      <c r="U28" s="99" t="s">
        <v>327</v>
      </c>
      <c r="V28" s="99" t="s">
        <v>649</v>
      </c>
    </row>
    <row r="29" spans="2:25" ht="18" customHeight="1" thickBot="1" x14ac:dyDescent="0.3">
      <c r="B29" s="230" t="s">
        <v>651</v>
      </c>
      <c r="C29" s="230" t="s">
        <v>25</v>
      </c>
      <c r="D29" s="230" t="s">
        <v>35</v>
      </c>
      <c r="E29" s="243" t="s">
        <v>36</v>
      </c>
      <c r="F29" s="243"/>
      <c r="G29" s="243"/>
      <c r="H29" s="243"/>
      <c r="I29" s="243"/>
      <c r="J29" s="243"/>
      <c r="K29" s="243"/>
      <c r="L29" s="118"/>
      <c r="M29" s="243" t="s">
        <v>661</v>
      </c>
      <c r="N29" s="243" t="s">
        <v>359</v>
      </c>
      <c r="O29" s="118"/>
      <c r="P29" s="118"/>
      <c r="Q29" s="118"/>
      <c r="S29" s="99" t="str">
        <f t="shared" si="3"/>
        <v>INDOTHHPRGASNAT_00</v>
      </c>
      <c r="T29" s="99" t="str">
        <f>"Process Heat INDOTH N. Gas"&amp;"_"&amp;$S$7&amp;"00"</f>
        <v>Process Heat INDOTH N. Gas_E00</v>
      </c>
      <c r="U29" s="99" t="s">
        <v>327</v>
      </c>
      <c r="V29" s="99" t="s">
        <v>649</v>
      </c>
    </row>
    <row r="30" spans="2:25" x14ac:dyDescent="0.25">
      <c r="B30" s="216" t="str">
        <f>S12</f>
        <v>INDOTHSTMCOASUB_00</v>
      </c>
      <c r="C30" s="216" t="str">
        <f>T12</f>
        <v>Steam Boiler INDOTH Sub-bituminous_E00</v>
      </c>
      <c r="D30" s="216" t="s">
        <v>616</v>
      </c>
      <c r="E30" s="260" t="s">
        <v>687</v>
      </c>
      <c r="F30" s="261">
        <f>1/0.7</f>
        <v>1.4285714285714286</v>
      </c>
      <c r="G30" s="253">
        <v>1</v>
      </c>
      <c r="H30" s="261">
        <f>N30/K30/J30</f>
        <v>0</v>
      </c>
      <c r="I30" s="262">
        <v>30</v>
      </c>
      <c r="J30" s="216">
        <v>31.536000000000001</v>
      </c>
      <c r="K30" s="216">
        <v>0.8</v>
      </c>
      <c r="L30" s="118"/>
      <c r="M30" s="263">
        <f>OTH_BAL!D24</f>
        <v>0</v>
      </c>
      <c r="N30" s="264">
        <f>M30/F30</f>
        <v>0</v>
      </c>
      <c r="O30" s="118"/>
      <c r="P30" s="118"/>
      <c r="Q30" s="118"/>
      <c r="S30" s="99" t="str">
        <f t="shared" si="3"/>
        <v>INDOTHHPRBIOLOG_00</v>
      </c>
      <c r="T30" s="99" t="str">
        <f>"Process Heat INDOTH Biomass"&amp;"_"&amp;$S$7&amp;"00"</f>
        <v>Process Heat INDOTH Biomass_E00</v>
      </c>
      <c r="U30" s="99" t="s">
        <v>327</v>
      </c>
      <c r="V30" s="99" t="s">
        <v>649</v>
      </c>
    </row>
    <row r="31" spans="2:25" x14ac:dyDescent="0.25">
      <c r="B31" s="216" t="str">
        <f t="shared" ref="B31:C39" si="4">S13</f>
        <v>INDOTHSTMCOABIC_00</v>
      </c>
      <c r="C31" s="216" t="str">
        <f t="shared" si="4"/>
        <v>Steam Boiler INDOTH Bitouminous_E00</v>
      </c>
      <c r="D31" s="216" t="s">
        <v>100</v>
      </c>
      <c r="E31" s="260" t="s">
        <v>687</v>
      </c>
      <c r="F31" s="261">
        <f t="shared" ref="F31:F32" si="5">1/0.7</f>
        <v>1.4285714285714286</v>
      </c>
      <c r="G31" s="253">
        <v>1</v>
      </c>
      <c r="H31" s="261">
        <f t="shared" ref="H31:H39" si="6">N31/K31/J31</f>
        <v>0</v>
      </c>
      <c r="I31" s="262">
        <v>30</v>
      </c>
      <c r="J31" s="216">
        <v>31.536000000000001</v>
      </c>
      <c r="K31" s="216">
        <v>0.8</v>
      </c>
      <c r="L31" s="118"/>
      <c r="M31" s="263">
        <f>OTH_BAL!C24</f>
        <v>0</v>
      </c>
      <c r="N31" s="264">
        <f t="shared" ref="N31:N37" si="7">M31/F31</f>
        <v>0</v>
      </c>
      <c r="O31" s="118"/>
      <c r="P31" s="118"/>
      <c r="Q31" s="118"/>
      <c r="S31" s="99" t="str">
        <f t="shared" si="3"/>
        <v>INDOTHHPROTHHTH_00</v>
      </c>
      <c r="T31" s="99" t="str">
        <f>"Process Heat INDOTH Heat"&amp;"_"&amp;$S$7&amp;"00"</f>
        <v>Process Heat INDOTH Heat_E00</v>
      </c>
      <c r="U31" s="99" t="s">
        <v>327</v>
      </c>
      <c r="V31" s="99" t="s">
        <v>649</v>
      </c>
    </row>
    <row r="32" spans="2:25" x14ac:dyDescent="0.25">
      <c r="B32" s="216" t="str">
        <f t="shared" si="4"/>
        <v>INDOTHSTMCOABCO_00</v>
      </c>
      <c r="C32" s="216" t="str">
        <f t="shared" si="4"/>
        <v>Steam Boiler INDOTH Lignite_E00</v>
      </c>
      <c r="D32" s="216" t="s">
        <v>612</v>
      </c>
      <c r="E32" s="260" t="s">
        <v>687</v>
      </c>
      <c r="F32" s="261">
        <f t="shared" si="5"/>
        <v>1.4285714285714286</v>
      </c>
      <c r="G32" s="253">
        <v>1</v>
      </c>
      <c r="H32" s="261">
        <f t="shared" si="6"/>
        <v>0</v>
      </c>
      <c r="I32" s="262">
        <v>30</v>
      </c>
      <c r="J32" s="216">
        <v>31.536000000000001</v>
      </c>
      <c r="K32" s="216">
        <v>0.8</v>
      </c>
      <c r="L32" s="118"/>
      <c r="M32" s="263">
        <f>OTH_BAL!E24</f>
        <v>0</v>
      </c>
      <c r="N32" s="264">
        <f t="shared" si="7"/>
        <v>0</v>
      </c>
      <c r="O32" s="118"/>
      <c r="P32" s="118"/>
      <c r="Q32" s="118"/>
      <c r="R32" s="149"/>
      <c r="S32" s="149" t="str">
        <f t="shared" si="3"/>
        <v>INDOTHHPRINDELC_00</v>
      </c>
      <c r="T32" s="149" t="str">
        <f>"Process Heat INDOTH Electricity"&amp;"_"&amp;$S$7&amp;"00"</f>
        <v>Process Heat INDOTH Electricity_E00</v>
      </c>
      <c r="U32" s="149" t="s">
        <v>327</v>
      </c>
      <c r="V32" s="149" t="s">
        <v>649</v>
      </c>
      <c r="W32" s="149"/>
      <c r="X32" s="149"/>
      <c r="Y32" s="149"/>
    </row>
    <row r="33" spans="2:25" x14ac:dyDescent="0.25">
      <c r="B33" s="216" t="str">
        <f t="shared" si="4"/>
        <v>INDOTHSTMOILDSL_00</v>
      </c>
      <c r="C33" s="216" t="str">
        <f t="shared" si="4"/>
        <v>Steam Boiler INDOTH Diesel_E00</v>
      </c>
      <c r="D33" s="216" t="s">
        <v>104</v>
      </c>
      <c r="E33" s="260" t="s">
        <v>687</v>
      </c>
      <c r="F33" s="261">
        <f>1/0.78</f>
        <v>1.2820512820512819</v>
      </c>
      <c r="G33" s="253">
        <v>1</v>
      </c>
      <c r="H33" s="261">
        <f t="shared" si="6"/>
        <v>1.2944349315068496E-3</v>
      </c>
      <c r="I33" s="262">
        <v>30</v>
      </c>
      <c r="J33" s="216">
        <v>31.536000000000001</v>
      </c>
      <c r="K33" s="216">
        <v>0.8</v>
      </c>
      <c r="L33" s="118"/>
      <c r="M33" s="263">
        <f>OTH_BAL!J24</f>
        <v>4.1868000000000009E-2</v>
      </c>
      <c r="N33" s="264">
        <f t="shared" si="7"/>
        <v>3.2657040000000012E-2</v>
      </c>
      <c r="O33" s="118"/>
      <c r="P33" s="118"/>
      <c r="Q33" s="118"/>
      <c r="S33" s="99" t="str">
        <f>"INDOTHMCD"&amp;RIGHT(D70,6)&amp;"_00"</f>
        <v>INDOTHMCDOILDSL_00</v>
      </c>
      <c r="T33" s="99" t="str">
        <f>"Machine Drive INDOTH Diesel"&amp;"_"&amp;$S$7&amp;"00"</f>
        <v>Machine Drive INDOTH Diesel_E00</v>
      </c>
      <c r="U33" s="99" t="s">
        <v>327</v>
      </c>
      <c r="V33" s="99" t="s">
        <v>649</v>
      </c>
    </row>
    <row r="34" spans="2:25" x14ac:dyDescent="0.25">
      <c r="B34" s="216" t="str">
        <f t="shared" si="4"/>
        <v>INDOTHSTMOILHFO_00</v>
      </c>
      <c r="C34" s="216" t="str">
        <f t="shared" si="4"/>
        <v>Steam Boiler INDOTH HFO_E00</v>
      </c>
      <c r="D34" s="216" t="s">
        <v>449</v>
      </c>
      <c r="E34" s="260" t="s">
        <v>687</v>
      </c>
      <c r="F34" s="261">
        <f>1/0.78</f>
        <v>1.2820512820512819</v>
      </c>
      <c r="G34" s="253">
        <v>1</v>
      </c>
      <c r="H34" s="261">
        <f t="shared" si="6"/>
        <v>0</v>
      </c>
      <c r="I34" s="262">
        <v>30</v>
      </c>
      <c r="J34" s="216">
        <v>31.536000000000001</v>
      </c>
      <c r="K34" s="216">
        <v>0.8</v>
      </c>
      <c r="L34" s="118"/>
      <c r="M34" s="263">
        <f>OTH_BAL!K24</f>
        <v>0</v>
      </c>
      <c r="N34" s="264">
        <f t="shared" si="7"/>
        <v>0</v>
      </c>
      <c r="O34" s="118"/>
      <c r="P34" s="118"/>
      <c r="Q34" s="118"/>
      <c r="S34" s="99" t="str">
        <f>"INDOTHMCD"&amp;RIGHT(D71,6)&amp;"_00"</f>
        <v>INDOTHMCDGASNAT_00</v>
      </c>
      <c r="T34" s="99" t="str">
        <f>"Machine Drive INDOTH N. Gas"&amp;"_"&amp;$S$7&amp;"00"</f>
        <v>Machine Drive INDOTH N. Gas_E00</v>
      </c>
      <c r="U34" s="99" t="s">
        <v>327</v>
      </c>
      <c r="V34" s="99" t="s">
        <v>649</v>
      </c>
    </row>
    <row r="35" spans="2:25" x14ac:dyDescent="0.25">
      <c r="B35" s="216" t="str">
        <f t="shared" si="4"/>
        <v>INDOTHSTMOILPCK_00</v>
      </c>
      <c r="C35" s="216" t="str">
        <f t="shared" si="4"/>
        <v>Steam Boiler INDOTH PetCoke_E00</v>
      </c>
      <c r="D35" s="216" t="s">
        <v>110</v>
      </c>
      <c r="E35" s="260" t="s">
        <v>687</v>
      </c>
      <c r="F35" s="261">
        <f>1/0.7</f>
        <v>1.4285714285714286</v>
      </c>
      <c r="G35" s="253">
        <v>1</v>
      </c>
      <c r="H35" s="261">
        <f t="shared" si="6"/>
        <v>0</v>
      </c>
      <c r="I35" s="262">
        <v>30</v>
      </c>
      <c r="J35" s="216">
        <v>31.536000000000001</v>
      </c>
      <c r="K35" s="216">
        <v>0.8</v>
      </c>
      <c r="L35" s="118"/>
      <c r="M35" s="263">
        <f>OTH_BAL!L24</f>
        <v>0</v>
      </c>
      <c r="N35" s="264">
        <f t="shared" si="7"/>
        <v>0</v>
      </c>
      <c r="O35" s="118"/>
      <c r="P35" s="118"/>
      <c r="Q35" s="118"/>
      <c r="R35" s="149"/>
      <c r="S35" s="149" t="str">
        <f>"INDOTHMCD"&amp;RIGHT(D72,6)&amp;"_00"</f>
        <v>INDOTHMCDINDELC_00</v>
      </c>
      <c r="T35" s="149" t="str">
        <f>"Machine Drive INDOTH Electricity"&amp;"_"&amp;$S$7&amp;"00"</f>
        <v>Machine Drive INDOTH Electricity_E00</v>
      </c>
      <c r="U35" s="149" t="s">
        <v>327</v>
      </c>
      <c r="V35" s="149" t="s">
        <v>649</v>
      </c>
      <c r="W35" s="149"/>
      <c r="X35" s="149"/>
      <c r="Y35" s="149"/>
    </row>
    <row r="36" spans="2:25" x14ac:dyDescent="0.25">
      <c r="B36" s="216" t="str">
        <f t="shared" si="4"/>
        <v>INDOTHSTMOILOTH_00</v>
      </c>
      <c r="C36" s="216" t="str">
        <f t="shared" si="4"/>
        <v>Steam Boiler INDOTH Other Oil Products_E00</v>
      </c>
      <c r="D36" s="216" t="s">
        <v>111</v>
      </c>
      <c r="E36" s="260" t="s">
        <v>687</v>
      </c>
      <c r="F36" s="261">
        <f>1/0.7</f>
        <v>1.4285714285714286</v>
      </c>
      <c r="G36" s="253">
        <v>1</v>
      </c>
      <c r="H36" s="261">
        <f t="shared" si="6"/>
        <v>0</v>
      </c>
      <c r="I36" s="262">
        <v>30</v>
      </c>
      <c r="J36" s="216">
        <v>31.536000000000001</v>
      </c>
      <c r="K36" s="216">
        <v>0.8</v>
      </c>
      <c r="L36" s="118"/>
      <c r="M36" s="263">
        <f>OTH_BAL!M24</f>
        <v>0</v>
      </c>
      <c r="N36" s="264">
        <f t="shared" si="7"/>
        <v>0</v>
      </c>
      <c r="O36" s="118"/>
      <c r="P36" s="118"/>
      <c r="Q36" s="118"/>
      <c r="R36" s="149"/>
      <c r="S36" s="149" t="str">
        <f>"INDOTHOEN"&amp;RIGHT(D82,6)&amp;"_00"</f>
        <v>INDOTHOENINDELC_00</v>
      </c>
      <c r="T36" s="149" t="str">
        <f>"Other Energy INDOTH Electricity"&amp;"_"&amp;$S$7&amp;"00"</f>
        <v>Other Energy INDOTH Electricity_E00</v>
      </c>
      <c r="U36" s="149" t="s">
        <v>327</v>
      </c>
      <c r="V36" s="149" t="s">
        <v>649</v>
      </c>
      <c r="W36" s="149"/>
      <c r="X36" s="149"/>
      <c r="Y36" s="149"/>
    </row>
    <row r="37" spans="2:25" x14ac:dyDescent="0.25">
      <c r="B37" s="216" t="str">
        <f t="shared" si="4"/>
        <v>INDOTHSTMGASNAT_00</v>
      </c>
      <c r="C37" s="216" t="str">
        <f t="shared" si="4"/>
        <v>Steam Boiler INDOTH N. Gas_E00</v>
      </c>
      <c r="D37" s="216" t="s">
        <v>112</v>
      </c>
      <c r="E37" s="260" t="s">
        <v>687</v>
      </c>
      <c r="F37" s="261">
        <f>1/0.8</f>
        <v>1.25</v>
      </c>
      <c r="G37" s="253">
        <v>1</v>
      </c>
      <c r="H37" s="261">
        <f t="shared" si="6"/>
        <v>2.3897260273972602E-2</v>
      </c>
      <c r="I37" s="262">
        <v>30</v>
      </c>
      <c r="J37" s="216">
        <v>31.536000000000001</v>
      </c>
      <c r="K37" s="216">
        <v>0.8</v>
      </c>
      <c r="L37" s="118"/>
      <c r="M37" s="263">
        <f>OTH_BAL!N24</f>
        <v>0.75362399999999996</v>
      </c>
      <c r="N37" s="265">
        <f t="shared" si="7"/>
        <v>0.60289919999999997</v>
      </c>
      <c r="O37" s="118"/>
      <c r="P37" s="118"/>
      <c r="Q37" s="118"/>
      <c r="R37" s="149" t="s">
        <v>275</v>
      </c>
      <c r="S37" s="149" t="s">
        <v>500</v>
      </c>
      <c r="T37" s="149" t="s">
        <v>690</v>
      </c>
      <c r="U37" s="149" t="s">
        <v>327</v>
      </c>
      <c r="V37" s="149" t="s">
        <v>649</v>
      </c>
      <c r="W37" s="149"/>
      <c r="X37" s="149"/>
      <c r="Y37" s="149"/>
    </row>
    <row r="38" spans="2:25" x14ac:dyDescent="0.25">
      <c r="B38" s="216" t="str">
        <f t="shared" si="4"/>
        <v>INDOTHSTMBIOLOG_00</v>
      </c>
      <c r="C38" s="216" t="str">
        <f t="shared" si="4"/>
        <v>Steam Boiler INDOTH Biomass_E00</v>
      </c>
      <c r="D38" s="216" t="s">
        <v>114</v>
      </c>
      <c r="E38" s="260" t="s">
        <v>687</v>
      </c>
      <c r="F38" s="261">
        <f>1/0.7</f>
        <v>1.4285714285714286</v>
      </c>
      <c r="G38" s="253">
        <v>1</v>
      </c>
      <c r="H38" s="261">
        <f t="shared" si="6"/>
        <v>0</v>
      </c>
      <c r="I38" s="262">
        <v>30</v>
      </c>
      <c r="J38" s="216">
        <v>31.536000000000001</v>
      </c>
      <c r="K38" s="216">
        <v>0.8</v>
      </c>
      <c r="L38" s="118"/>
      <c r="M38" s="263">
        <f>OTH_BAL!P24</f>
        <v>0</v>
      </c>
      <c r="N38" s="265">
        <f>M38/F38</f>
        <v>0</v>
      </c>
      <c r="O38" s="118"/>
      <c r="P38" s="118"/>
      <c r="Q38" s="118"/>
    </row>
    <row r="39" spans="2:25" x14ac:dyDescent="0.25">
      <c r="B39" s="216" t="str">
        <f>S21</f>
        <v>INDOTHSTMOTHHTH_00</v>
      </c>
      <c r="C39" s="216" t="str">
        <f t="shared" si="4"/>
        <v>Steam Boiler INDOTH Heat_E00</v>
      </c>
      <c r="D39" s="216" t="str">
        <f>Auto_CHP!F39</f>
        <v>INDOTHHTH</v>
      </c>
      <c r="E39" s="260" t="s">
        <v>687</v>
      </c>
      <c r="F39" s="261">
        <v>1.2</v>
      </c>
      <c r="G39" s="253">
        <v>1</v>
      </c>
      <c r="H39" s="261">
        <f t="shared" si="6"/>
        <v>0</v>
      </c>
      <c r="I39" s="262">
        <v>30</v>
      </c>
      <c r="J39" s="216">
        <v>31.536000000000001</v>
      </c>
      <c r="K39" s="216">
        <v>0.8</v>
      </c>
      <c r="L39" s="118"/>
      <c r="M39" s="263">
        <f>OTH_BAL!S24</f>
        <v>0</v>
      </c>
      <c r="N39" s="264">
        <f>M39/F39</f>
        <v>0</v>
      </c>
      <c r="O39" s="118"/>
      <c r="P39" s="118"/>
      <c r="Q39" s="118"/>
    </row>
    <row r="40" spans="2:25" ht="14.4" thickBot="1" x14ac:dyDescent="0.3">
      <c r="B40" s="254" t="s">
        <v>653</v>
      </c>
      <c r="C40" s="255"/>
      <c r="D40" s="255"/>
      <c r="E40" s="266"/>
      <c r="F40" s="267"/>
      <c r="G40" s="267"/>
      <c r="H40" s="268">
        <f>SUM(H30:H39)</f>
        <v>2.5191695205479453E-2</v>
      </c>
      <c r="I40" s="255"/>
      <c r="J40" s="255"/>
      <c r="K40" s="255"/>
      <c r="L40" s="118"/>
      <c r="M40" s="268">
        <f>SUM(M30:M39)</f>
        <v>0.79549199999999998</v>
      </c>
      <c r="N40" s="268">
        <f>SUM(N30:N39)</f>
        <v>0.63555623999999999</v>
      </c>
      <c r="O40" s="118"/>
      <c r="P40" s="118"/>
      <c r="Q40" s="118"/>
    </row>
    <row r="41" spans="2:25" x14ac:dyDescent="0.25">
      <c r="F41" s="118"/>
      <c r="G41" s="118"/>
      <c r="H41" s="118"/>
      <c r="I41" s="219"/>
      <c r="J41" s="118"/>
      <c r="K41" s="118"/>
      <c r="L41" s="269"/>
      <c r="M41" s="269"/>
      <c r="N41" s="269"/>
      <c r="O41" s="269"/>
      <c r="P41" s="269"/>
      <c r="Q41" s="269"/>
    </row>
    <row r="42" spans="2:25" x14ac:dyDescent="0.25">
      <c r="F42" s="118"/>
      <c r="G42" s="118"/>
      <c r="H42" s="118"/>
      <c r="I42" s="219"/>
      <c r="J42" s="118"/>
      <c r="K42" s="118"/>
      <c r="L42" s="269"/>
      <c r="M42" s="269"/>
      <c r="N42" s="269"/>
      <c r="O42" s="269"/>
      <c r="P42" s="269"/>
      <c r="Q42" s="269"/>
    </row>
    <row r="43" spans="2:25" x14ac:dyDescent="0.25">
      <c r="F43" s="118"/>
      <c r="G43" s="118"/>
      <c r="H43" s="118"/>
      <c r="I43" s="219"/>
      <c r="J43" s="118"/>
      <c r="K43" s="118"/>
      <c r="L43" s="118"/>
      <c r="M43" s="118"/>
      <c r="N43" s="118"/>
      <c r="O43" s="118"/>
      <c r="P43" s="118"/>
      <c r="Q43" s="269"/>
    </row>
    <row r="44" spans="2:25" x14ac:dyDescent="0.25">
      <c r="B44" s="108" t="s">
        <v>662</v>
      </c>
      <c r="C44" s="216"/>
      <c r="F44" s="118"/>
      <c r="G44" s="118"/>
      <c r="H44" s="118"/>
      <c r="I44" s="219"/>
      <c r="J44" s="118"/>
      <c r="K44" s="118"/>
      <c r="L44" s="118"/>
      <c r="M44" s="118"/>
      <c r="N44" s="118"/>
      <c r="O44" s="118"/>
      <c r="P44" s="118"/>
      <c r="Q44" s="118"/>
    </row>
    <row r="45" spans="2:25" x14ac:dyDescent="0.25">
      <c r="C45" s="216"/>
      <c r="F45" s="118"/>
      <c r="G45" s="118"/>
      <c r="H45" s="118"/>
      <c r="I45" s="219"/>
      <c r="J45" s="118"/>
      <c r="K45" s="118"/>
      <c r="L45" s="118"/>
      <c r="M45" s="118"/>
      <c r="N45" s="118"/>
      <c r="O45" s="118"/>
      <c r="P45" s="118"/>
      <c r="Q45" s="118"/>
    </row>
    <row r="46" spans="2:25" x14ac:dyDescent="0.25">
      <c r="B46" s="216"/>
      <c r="C46" s="216"/>
      <c r="D46" s="216"/>
      <c r="E46" s="258" t="s">
        <v>15</v>
      </c>
      <c r="F46" s="242" t="s">
        <v>464</v>
      </c>
      <c r="G46" s="242" t="s">
        <v>464</v>
      </c>
      <c r="H46" s="216"/>
      <c r="I46" s="216"/>
      <c r="J46" s="216"/>
      <c r="K46" s="269"/>
      <c r="L46" s="269"/>
      <c r="M46" s="269"/>
      <c r="N46" s="269"/>
      <c r="O46" s="269"/>
      <c r="P46" s="269"/>
      <c r="Q46" s="118"/>
    </row>
    <row r="47" spans="2:25" x14ac:dyDescent="0.25">
      <c r="B47" s="217" t="s">
        <v>1</v>
      </c>
      <c r="C47" s="217" t="s">
        <v>41</v>
      </c>
      <c r="D47" s="217" t="s">
        <v>7</v>
      </c>
      <c r="E47" s="241" t="s">
        <v>8</v>
      </c>
      <c r="F47" s="241" t="s">
        <v>358</v>
      </c>
      <c r="G47" s="241" t="s">
        <v>359</v>
      </c>
      <c r="H47" s="259" t="s">
        <v>657</v>
      </c>
      <c r="I47" s="259" t="s">
        <v>658</v>
      </c>
      <c r="J47" s="259" t="s">
        <v>660</v>
      </c>
      <c r="L47" s="269"/>
      <c r="M47" s="241" t="s">
        <v>771</v>
      </c>
      <c r="N47" s="241" t="s">
        <v>771</v>
      </c>
      <c r="O47" s="269"/>
      <c r="P47" s="269"/>
      <c r="Q47" s="118"/>
    </row>
    <row r="48" spans="2:25" ht="14.4" thickBot="1" x14ac:dyDescent="0.3">
      <c r="B48" s="230" t="s">
        <v>651</v>
      </c>
      <c r="C48" s="230" t="s">
        <v>25</v>
      </c>
      <c r="D48" s="230" t="s">
        <v>35</v>
      </c>
      <c r="E48" s="243" t="s">
        <v>36</v>
      </c>
      <c r="F48" s="243"/>
      <c r="G48" s="243"/>
      <c r="H48" s="243"/>
      <c r="I48" s="243"/>
      <c r="J48" s="243"/>
      <c r="L48" s="269"/>
      <c r="M48" s="243" t="s">
        <v>661</v>
      </c>
      <c r="N48" s="243" t="s">
        <v>359</v>
      </c>
      <c r="O48" s="269"/>
      <c r="P48" s="269"/>
      <c r="Q48" s="118"/>
    </row>
    <row r="49" spans="2:17" x14ac:dyDescent="0.25">
      <c r="B49" s="216" t="str">
        <f>S22</f>
        <v>INDOTHHPRCOASUB_00</v>
      </c>
      <c r="C49" s="216" t="str">
        <f>T22</f>
        <v>Process Heat INDOTH Sub-bituminous_E00</v>
      </c>
      <c r="D49" s="216" t="s">
        <v>616</v>
      </c>
      <c r="E49" s="260" t="s">
        <v>452</v>
      </c>
      <c r="F49" s="261">
        <f>1/0.7</f>
        <v>1.4285714285714286</v>
      </c>
      <c r="G49" s="253">
        <v>1</v>
      </c>
      <c r="H49" s="246">
        <f>N49/J49</f>
        <v>0</v>
      </c>
      <c r="I49" s="262">
        <v>30</v>
      </c>
      <c r="J49" s="262">
        <v>0.8</v>
      </c>
      <c r="L49" s="118"/>
      <c r="M49" s="247">
        <f>OTH_BAL!D25</f>
        <v>0</v>
      </c>
      <c r="N49" s="247">
        <f>M49/F49</f>
        <v>0</v>
      </c>
      <c r="O49" s="118"/>
      <c r="P49" s="118"/>
      <c r="Q49" s="118"/>
    </row>
    <row r="50" spans="2:17" x14ac:dyDescent="0.25">
      <c r="B50" s="216" t="str">
        <f t="shared" ref="B50:C59" si="8">S23</f>
        <v>INDOTHHPRCOABIC_00</v>
      </c>
      <c r="C50" s="216" t="str">
        <f t="shared" si="8"/>
        <v>Process Heat INDOTH Bitouminous_E00</v>
      </c>
      <c r="D50" s="216" t="s">
        <v>100</v>
      </c>
      <c r="E50" s="260" t="s">
        <v>452</v>
      </c>
      <c r="F50" s="261">
        <f>1/0.7</f>
        <v>1.4285714285714286</v>
      </c>
      <c r="G50" s="253">
        <v>1</v>
      </c>
      <c r="H50" s="246">
        <f t="shared" ref="H50:H58" si="9">N50/J50</f>
        <v>0</v>
      </c>
      <c r="I50" s="262">
        <v>30</v>
      </c>
      <c r="J50" s="262">
        <v>0.8</v>
      </c>
      <c r="L50" s="118"/>
      <c r="M50" s="247">
        <f>OTH_BAL!C25</f>
        <v>0</v>
      </c>
      <c r="N50" s="247">
        <f t="shared" ref="N50:N59" si="10">M50/F50</f>
        <v>0</v>
      </c>
      <c r="O50" s="118"/>
      <c r="P50" s="118"/>
      <c r="Q50" s="118"/>
    </row>
    <row r="51" spans="2:17" x14ac:dyDescent="0.25">
      <c r="B51" s="216" t="str">
        <f t="shared" si="8"/>
        <v>INDOTHHPRCOABCO_00</v>
      </c>
      <c r="C51" s="216" t="str">
        <f t="shared" si="8"/>
        <v>Process Heat INDOTH Lignite_E00</v>
      </c>
      <c r="D51" s="216" t="s">
        <v>612</v>
      </c>
      <c r="E51" s="260" t="s">
        <v>452</v>
      </c>
      <c r="F51" s="261">
        <f>1/0.7</f>
        <v>1.4285714285714286</v>
      </c>
      <c r="G51" s="253">
        <v>1</v>
      </c>
      <c r="H51" s="246">
        <f t="shared" si="9"/>
        <v>0</v>
      </c>
      <c r="I51" s="262">
        <v>30</v>
      </c>
      <c r="J51" s="262">
        <v>0.8</v>
      </c>
      <c r="L51" s="118"/>
      <c r="M51" s="247">
        <f>OTH_BAL!E25</f>
        <v>0</v>
      </c>
      <c r="N51" s="247">
        <f t="shared" si="10"/>
        <v>0</v>
      </c>
      <c r="O51" s="118"/>
      <c r="P51" s="118"/>
      <c r="Q51" s="118"/>
    </row>
    <row r="52" spans="2:17" x14ac:dyDescent="0.25">
      <c r="B52" s="216" t="str">
        <f t="shared" si="8"/>
        <v>INDOTHHPROILDSL_00</v>
      </c>
      <c r="C52" s="216" t="str">
        <f t="shared" si="8"/>
        <v>Process Heat INDOTH Diesel_E00</v>
      </c>
      <c r="D52" s="216" t="s">
        <v>104</v>
      </c>
      <c r="E52" s="260" t="s">
        <v>452</v>
      </c>
      <c r="F52" s="261">
        <f>1/0.78</f>
        <v>1.2820512820512819</v>
      </c>
      <c r="G52" s="253">
        <v>1</v>
      </c>
      <c r="H52" s="246">
        <f t="shared" si="9"/>
        <v>4.0821300000000012E-2</v>
      </c>
      <c r="I52" s="262">
        <v>30</v>
      </c>
      <c r="J52" s="262">
        <v>0.8</v>
      </c>
      <c r="L52" s="118"/>
      <c r="M52" s="247">
        <f>OTH_BAL!J25</f>
        <v>4.1868000000000009E-2</v>
      </c>
      <c r="N52" s="247">
        <f t="shared" si="10"/>
        <v>3.2657040000000012E-2</v>
      </c>
      <c r="O52" s="118"/>
      <c r="P52" s="118"/>
      <c r="Q52" s="118"/>
    </row>
    <row r="53" spans="2:17" x14ac:dyDescent="0.25">
      <c r="B53" s="216" t="str">
        <f t="shared" si="8"/>
        <v>INDOTHHPROILHFO_00</v>
      </c>
      <c r="C53" s="216" t="str">
        <f t="shared" si="8"/>
        <v>Process Heat INDOTH HFO_E00</v>
      </c>
      <c r="D53" s="216" t="s">
        <v>449</v>
      </c>
      <c r="E53" s="260" t="s">
        <v>452</v>
      </c>
      <c r="F53" s="261">
        <f>1/0.78</f>
        <v>1.2820512820512819</v>
      </c>
      <c r="G53" s="253">
        <v>1</v>
      </c>
      <c r="H53" s="246">
        <f t="shared" si="9"/>
        <v>0</v>
      </c>
      <c r="I53" s="262">
        <v>30</v>
      </c>
      <c r="J53" s="262">
        <v>0.8</v>
      </c>
      <c r="L53" s="118"/>
      <c r="M53" s="247">
        <f>OTH_BAL!K25</f>
        <v>0</v>
      </c>
      <c r="N53" s="247">
        <f t="shared" si="10"/>
        <v>0</v>
      </c>
      <c r="O53" s="118"/>
      <c r="P53" s="118"/>
      <c r="Q53" s="118"/>
    </row>
    <row r="54" spans="2:17" x14ac:dyDescent="0.25">
      <c r="B54" s="216" t="str">
        <f t="shared" si="8"/>
        <v>INDOTHHPROILPCK_00</v>
      </c>
      <c r="C54" s="216" t="str">
        <f t="shared" si="8"/>
        <v>Process Heat INDOTH PetCoke_E00</v>
      </c>
      <c r="D54" s="216" t="s">
        <v>110</v>
      </c>
      <c r="E54" s="260" t="s">
        <v>452</v>
      </c>
      <c r="F54" s="261">
        <f>1/0.7</f>
        <v>1.4285714285714286</v>
      </c>
      <c r="G54" s="253">
        <v>1</v>
      </c>
      <c r="H54" s="246">
        <f t="shared" si="9"/>
        <v>0</v>
      </c>
      <c r="I54" s="262">
        <v>30</v>
      </c>
      <c r="J54" s="262">
        <v>0.8</v>
      </c>
      <c r="L54" s="118"/>
      <c r="M54" s="247">
        <f>OTH_BAL!L25</f>
        <v>0</v>
      </c>
      <c r="N54" s="247">
        <f t="shared" si="10"/>
        <v>0</v>
      </c>
      <c r="O54" s="118"/>
      <c r="P54" s="118"/>
      <c r="Q54" s="118"/>
    </row>
    <row r="55" spans="2:17" x14ac:dyDescent="0.25">
      <c r="B55" s="216" t="str">
        <f t="shared" si="8"/>
        <v>INDOTHHPROILOTH_00</v>
      </c>
      <c r="C55" s="216" t="str">
        <f t="shared" si="8"/>
        <v>Process Heat INDOTH Other Oil Products_E00</v>
      </c>
      <c r="D55" s="216" t="s">
        <v>111</v>
      </c>
      <c r="E55" s="260" t="s">
        <v>452</v>
      </c>
      <c r="F55" s="261">
        <f>1/0.78</f>
        <v>1.2820512820512819</v>
      </c>
      <c r="G55" s="253">
        <v>1</v>
      </c>
      <c r="H55" s="246">
        <f t="shared" si="9"/>
        <v>0</v>
      </c>
      <c r="I55" s="262">
        <v>30</v>
      </c>
      <c r="J55" s="262">
        <v>0.8</v>
      </c>
      <c r="L55" s="118"/>
      <c r="M55" s="247">
        <f>OTH_BAL!M25</f>
        <v>0</v>
      </c>
      <c r="N55" s="247">
        <f t="shared" si="10"/>
        <v>0</v>
      </c>
      <c r="O55" s="118"/>
      <c r="P55" s="118"/>
      <c r="Q55" s="118"/>
    </row>
    <row r="56" spans="2:17" x14ac:dyDescent="0.25">
      <c r="B56" s="216" t="str">
        <f t="shared" si="8"/>
        <v>INDOTHHPRGASNAT_00</v>
      </c>
      <c r="C56" s="216" t="str">
        <f t="shared" si="8"/>
        <v>Process Heat INDOTH N. Gas_E00</v>
      </c>
      <c r="D56" s="216" t="s">
        <v>112</v>
      </c>
      <c r="E56" s="260" t="s">
        <v>452</v>
      </c>
      <c r="F56" s="261">
        <f t="shared" ref="F56" si="11">1/0.8</f>
        <v>1.25</v>
      </c>
      <c r="G56" s="253">
        <v>1</v>
      </c>
      <c r="H56" s="246">
        <f t="shared" si="9"/>
        <v>0.50241600000000008</v>
      </c>
      <c r="I56" s="262">
        <v>30</v>
      </c>
      <c r="J56" s="262">
        <v>0.8</v>
      </c>
      <c r="L56" s="118"/>
      <c r="M56" s="247">
        <f>OTH_BAL!N25</f>
        <v>0.50241600000000008</v>
      </c>
      <c r="N56" s="247">
        <f t="shared" si="10"/>
        <v>0.40193280000000009</v>
      </c>
      <c r="O56" s="118"/>
      <c r="P56" s="118"/>
      <c r="Q56" s="118"/>
    </row>
    <row r="57" spans="2:17" x14ac:dyDescent="0.25">
      <c r="B57" s="216" t="str">
        <f t="shared" si="8"/>
        <v>INDOTHHPRBIOLOG_00</v>
      </c>
      <c r="C57" s="216" t="str">
        <f t="shared" si="8"/>
        <v>Process Heat INDOTH Biomass_E00</v>
      </c>
      <c r="D57" s="216" t="s">
        <v>114</v>
      </c>
      <c r="E57" s="260" t="s">
        <v>452</v>
      </c>
      <c r="F57" s="261">
        <f>1/0.7</f>
        <v>1.4285714285714286</v>
      </c>
      <c r="G57" s="253">
        <v>1</v>
      </c>
      <c r="H57" s="246">
        <f t="shared" si="9"/>
        <v>0</v>
      </c>
      <c r="I57" s="262">
        <v>30</v>
      </c>
      <c r="J57" s="262">
        <v>0.8</v>
      </c>
      <c r="L57" s="118"/>
      <c r="M57" s="247">
        <f>OTH_BAL!P25</f>
        <v>0</v>
      </c>
      <c r="N57" s="247">
        <f t="shared" si="10"/>
        <v>0</v>
      </c>
      <c r="O57" s="118"/>
      <c r="P57" s="118"/>
      <c r="Q57" s="118"/>
    </row>
    <row r="58" spans="2:17" x14ac:dyDescent="0.25">
      <c r="B58" s="216" t="str">
        <f t="shared" si="8"/>
        <v>INDOTHHPROTHHTH_00</v>
      </c>
      <c r="C58" s="216" t="str">
        <f t="shared" si="8"/>
        <v>Process Heat INDOTH Heat_E00</v>
      </c>
      <c r="D58" s="216" t="str">
        <f>D39</f>
        <v>INDOTHHTH</v>
      </c>
      <c r="E58" s="260" t="s">
        <v>452</v>
      </c>
      <c r="F58" s="261">
        <v>1.2</v>
      </c>
      <c r="G58" s="253">
        <v>1</v>
      </c>
      <c r="H58" s="246">
        <f t="shared" si="9"/>
        <v>0</v>
      </c>
      <c r="I58" s="262">
        <v>30</v>
      </c>
      <c r="J58" s="262">
        <v>0.8</v>
      </c>
      <c r="L58" s="118"/>
      <c r="M58" s="247">
        <f>OTH_BAL!S25</f>
        <v>0</v>
      </c>
      <c r="N58" s="247">
        <f t="shared" si="10"/>
        <v>0</v>
      </c>
      <c r="O58" s="118"/>
      <c r="P58" s="118"/>
      <c r="Q58" s="118"/>
    </row>
    <row r="59" spans="2:17" x14ac:dyDescent="0.25">
      <c r="B59" s="216" t="str">
        <f t="shared" si="8"/>
        <v>INDOTHHPRINDELC_00</v>
      </c>
      <c r="C59" s="216" t="str">
        <f t="shared" si="8"/>
        <v>Process Heat INDOTH Electricity_E00</v>
      </c>
      <c r="D59" s="216" t="s">
        <v>129</v>
      </c>
      <c r="E59" s="260" t="s">
        <v>452</v>
      </c>
      <c r="F59" s="261">
        <v>1.1000000000000001</v>
      </c>
      <c r="G59" s="253">
        <v>1</v>
      </c>
      <c r="H59" s="246">
        <f>N59/J59</f>
        <v>0.56162985795454534</v>
      </c>
      <c r="I59" s="262">
        <v>30</v>
      </c>
      <c r="J59" s="262">
        <v>0.8</v>
      </c>
      <c r="L59" s="118"/>
      <c r="M59" s="247">
        <f>OTH_BAL!T25</f>
        <v>0.494234275</v>
      </c>
      <c r="N59" s="247">
        <f t="shared" si="10"/>
        <v>0.44930388636363633</v>
      </c>
      <c r="O59" s="118"/>
      <c r="P59" s="118"/>
      <c r="Q59" s="118"/>
    </row>
    <row r="60" spans="2:17" ht="14.4" thickBot="1" x14ac:dyDescent="0.3">
      <c r="B60" s="254" t="s">
        <v>653</v>
      </c>
      <c r="C60" s="255"/>
      <c r="D60" s="255"/>
      <c r="E60" s="266"/>
      <c r="F60" s="267"/>
      <c r="G60" s="267"/>
      <c r="H60" s="270">
        <f>SUM(H49:H59)</f>
        <v>1.1048671579545455</v>
      </c>
      <c r="I60" s="271"/>
      <c r="J60" s="271"/>
      <c r="L60" s="118"/>
      <c r="M60" s="272">
        <f>SUM(M49:M59)</f>
        <v>1.0385182750000002</v>
      </c>
      <c r="N60" s="272">
        <f>SUM(N49:N59)</f>
        <v>0.88389372636363639</v>
      </c>
      <c r="O60" s="118"/>
      <c r="P60" s="118"/>
      <c r="Q60" s="118"/>
    </row>
    <row r="61" spans="2:17" x14ac:dyDescent="0.25">
      <c r="C61" s="216"/>
      <c r="D61" s="216"/>
      <c r="F61" s="118"/>
      <c r="G61" s="118"/>
      <c r="H61" s="118"/>
      <c r="I61" s="219"/>
      <c r="J61" s="118"/>
      <c r="K61" s="118"/>
      <c r="L61" s="118"/>
      <c r="M61" s="118"/>
      <c r="N61" s="118"/>
      <c r="O61" s="118"/>
      <c r="P61" s="118"/>
      <c r="Q61" s="118"/>
    </row>
    <row r="62" spans="2:17" x14ac:dyDescent="0.25">
      <c r="C62" s="216"/>
      <c r="D62" s="216"/>
      <c r="F62" s="118"/>
      <c r="G62" s="118"/>
      <c r="H62" s="118"/>
      <c r="I62" s="219"/>
      <c r="J62" s="118"/>
      <c r="K62" s="118"/>
      <c r="L62" s="118"/>
      <c r="M62" s="118"/>
      <c r="N62" s="118"/>
      <c r="O62" s="118"/>
      <c r="P62" s="118"/>
      <c r="Q62" s="118"/>
    </row>
    <row r="63" spans="2:17" x14ac:dyDescent="0.25">
      <c r="C63" s="216"/>
      <c r="D63" s="216"/>
      <c r="F63" s="118"/>
      <c r="G63" s="118"/>
      <c r="H63" s="118"/>
      <c r="I63" s="219"/>
      <c r="J63" s="118"/>
      <c r="K63" s="118"/>
      <c r="L63" s="118"/>
      <c r="M63" s="118"/>
      <c r="N63" s="118"/>
      <c r="O63" s="118"/>
      <c r="P63" s="118"/>
      <c r="Q63" s="118"/>
    </row>
    <row r="64" spans="2:17" x14ac:dyDescent="0.25">
      <c r="C64" s="216"/>
      <c r="D64" s="216"/>
      <c r="F64" s="118"/>
      <c r="G64" s="118"/>
      <c r="H64" s="251"/>
      <c r="I64" s="219"/>
      <c r="J64" s="118"/>
      <c r="K64" s="118"/>
      <c r="L64" s="118"/>
      <c r="M64" s="118"/>
      <c r="N64" s="118"/>
      <c r="O64" s="118"/>
      <c r="P64" s="118"/>
      <c r="Q64" s="118"/>
    </row>
    <row r="65" spans="2:17" x14ac:dyDescent="0.25">
      <c r="B65" s="108" t="s">
        <v>663</v>
      </c>
      <c r="C65" s="216"/>
      <c r="F65" s="118"/>
      <c r="G65" s="118"/>
      <c r="H65" s="118"/>
      <c r="I65" s="219"/>
      <c r="J65" s="118"/>
      <c r="K65" s="118"/>
      <c r="L65" s="118"/>
      <c r="M65" s="118"/>
      <c r="N65" s="118"/>
      <c r="O65" s="118"/>
      <c r="P65" s="118"/>
      <c r="Q65" s="118"/>
    </row>
    <row r="66" spans="2:17" x14ac:dyDescent="0.25">
      <c r="C66" s="216"/>
      <c r="F66" s="118"/>
      <c r="G66" s="118"/>
      <c r="H66" s="118"/>
      <c r="I66" s="219"/>
      <c r="J66" s="118"/>
      <c r="K66" s="118"/>
      <c r="L66" s="118"/>
      <c r="M66" s="118"/>
      <c r="N66" s="118"/>
      <c r="O66" s="118"/>
      <c r="P66" s="118"/>
      <c r="Q66" s="118"/>
    </row>
    <row r="67" spans="2:17" x14ac:dyDescent="0.25">
      <c r="B67" s="216"/>
      <c r="C67" s="216"/>
      <c r="D67" s="216"/>
      <c r="E67" s="258" t="s">
        <v>15</v>
      </c>
      <c r="F67" s="242" t="s">
        <v>464</v>
      </c>
      <c r="G67" s="242" t="s">
        <v>464</v>
      </c>
      <c r="H67" s="216"/>
      <c r="I67" s="216"/>
      <c r="J67" s="216"/>
      <c r="K67" s="118"/>
      <c r="L67" s="118"/>
      <c r="M67" s="118"/>
      <c r="N67" s="118"/>
      <c r="O67" s="118"/>
      <c r="P67" s="118"/>
      <c r="Q67" s="118"/>
    </row>
    <row r="68" spans="2:17" x14ac:dyDescent="0.25">
      <c r="B68" s="217" t="s">
        <v>1</v>
      </c>
      <c r="C68" s="217" t="s">
        <v>41</v>
      </c>
      <c r="D68" s="217" t="s">
        <v>7</v>
      </c>
      <c r="E68" s="241" t="s">
        <v>8</v>
      </c>
      <c r="F68" s="259" t="s">
        <v>358</v>
      </c>
      <c r="G68" s="259" t="s">
        <v>359</v>
      </c>
      <c r="H68" s="259" t="s">
        <v>657</v>
      </c>
      <c r="I68" s="259" t="s">
        <v>658</v>
      </c>
      <c r="J68" s="259" t="s">
        <v>660</v>
      </c>
      <c r="K68" s="118"/>
      <c r="L68" s="118"/>
      <c r="M68" s="241" t="s">
        <v>771</v>
      </c>
      <c r="N68" s="241" t="s">
        <v>771</v>
      </c>
      <c r="O68" s="118"/>
      <c r="P68" s="118"/>
      <c r="Q68" s="118"/>
    </row>
    <row r="69" spans="2:17" ht="14.4" thickBot="1" x14ac:dyDescent="0.3">
      <c r="B69" s="230" t="s">
        <v>651</v>
      </c>
      <c r="C69" s="230" t="s">
        <v>25</v>
      </c>
      <c r="D69" s="230" t="s">
        <v>35</v>
      </c>
      <c r="E69" s="243" t="s">
        <v>36</v>
      </c>
      <c r="F69" s="243"/>
      <c r="G69" s="243"/>
      <c r="H69" s="243"/>
      <c r="I69" s="243"/>
      <c r="J69" s="243"/>
      <c r="K69" s="118"/>
      <c r="L69" s="118"/>
      <c r="M69" s="243" t="s">
        <v>661</v>
      </c>
      <c r="N69" s="243" t="s">
        <v>359</v>
      </c>
      <c r="O69" s="118"/>
      <c r="P69" s="118"/>
      <c r="Q69" s="118"/>
    </row>
    <row r="70" spans="2:17" x14ac:dyDescent="0.25">
      <c r="B70" s="216" t="str">
        <f>S33</f>
        <v>INDOTHMCDOILDSL_00</v>
      </c>
      <c r="C70" s="216" t="str">
        <f>T33</f>
        <v>Machine Drive INDOTH Diesel_E00</v>
      </c>
      <c r="D70" s="216" t="s">
        <v>104</v>
      </c>
      <c r="E70" s="260" t="s">
        <v>454</v>
      </c>
      <c r="F70" s="261">
        <f>1/0.5</f>
        <v>2</v>
      </c>
      <c r="G70" s="253">
        <v>1</v>
      </c>
      <c r="H70" s="246">
        <f>N70/J70</f>
        <v>0.20934000000000003</v>
      </c>
      <c r="I70" s="262">
        <v>20</v>
      </c>
      <c r="J70" s="262">
        <v>0.8</v>
      </c>
      <c r="K70" s="118"/>
      <c r="L70" s="118"/>
      <c r="M70" s="261">
        <f>OTH_BAL!J26</f>
        <v>0.33494400000000008</v>
      </c>
      <c r="N70" s="261">
        <f>M70/F70</f>
        <v>0.16747200000000004</v>
      </c>
      <c r="O70" s="118"/>
      <c r="P70" s="118"/>
      <c r="Q70" s="118"/>
    </row>
    <row r="71" spans="2:17" x14ac:dyDescent="0.25">
      <c r="B71" s="216" t="str">
        <f t="shared" ref="B71:C72" si="12">S34</f>
        <v>INDOTHMCDGASNAT_00</v>
      </c>
      <c r="C71" s="216" t="str">
        <f t="shared" si="12"/>
        <v>Machine Drive INDOTH N. Gas_E00</v>
      </c>
      <c r="D71" s="216" t="s">
        <v>112</v>
      </c>
      <c r="E71" s="260" t="s">
        <v>454</v>
      </c>
      <c r="F71" s="261">
        <f>1/0.5</f>
        <v>2</v>
      </c>
      <c r="G71" s="253">
        <v>1</v>
      </c>
      <c r="H71" s="246">
        <f t="shared" ref="H71:H72" si="13">N71/J71</f>
        <v>0</v>
      </c>
      <c r="I71" s="262">
        <v>20</v>
      </c>
      <c r="J71" s="262">
        <v>0.8</v>
      </c>
      <c r="K71" s="118"/>
      <c r="L71" s="118"/>
      <c r="M71" s="261">
        <f>OTH_BAL!N26</f>
        <v>0</v>
      </c>
      <c r="N71" s="261">
        <f t="shared" ref="N71:N72" si="14">M71/F71</f>
        <v>0</v>
      </c>
      <c r="O71" s="118"/>
      <c r="P71" s="118"/>
      <c r="Q71" s="118"/>
    </row>
    <row r="72" spans="2:17" x14ac:dyDescent="0.25">
      <c r="B72" s="216" t="str">
        <f t="shared" si="12"/>
        <v>INDOTHMCDINDELC_00</v>
      </c>
      <c r="C72" s="216" t="str">
        <f t="shared" si="12"/>
        <v>Machine Drive INDOTH Electricity_E00</v>
      </c>
      <c r="D72" s="216" t="s">
        <v>129</v>
      </c>
      <c r="E72" s="260" t="s">
        <v>454</v>
      </c>
      <c r="F72" s="261">
        <f>1/0.9</f>
        <v>1.1111111111111112</v>
      </c>
      <c r="G72" s="253">
        <v>1</v>
      </c>
      <c r="H72" s="246">
        <f t="shared" si="13"/>
        <v>3.8920949156249995</v>
      </c>
      <c r="I72" s="262">
        <v>20</v>
      </c>
      <c r="J72" s="262">
        <v>0.8</v>
      </c>
      <c r="K72" s="118"/>
      <c r="L72" s="118"/>
      <c r="M72" s="261">
        <f>OTH_BAL!T26</f>
        <v>3.4596399249999998</v>
      </c>
      <c r="N72" s="261">
        <f t="shared" si="14"/>
        <v>3.1136759324999996</v>
      </c>
      <c r="O72" s="118"/>
      <c r="P72" s="118"/>
      <c r="Q72" s="118"/>
    </row>
    <row r="73" spans="2:17" ht="14.4" thickBot="1" x14ac:dyDescent="0.3">
      <c r="B73" s="254" t="s">
        <v>653</v>
      </c>
      <c r="C73" s="255"/>
      <c r="D73" s="255"/>
      <c r="E73" s="266"/>
      <c r="F73" s="273"/>
      <c r="G73" s="273"/>
      <c r="H73" s="270">
        <f>SUM(H70:H72)</f>
        <v>4.1014349156249992</v>
      </c>
      <c r="I73" s="271"/>
      <c r="J73" s="271"/>
      <c r="K73" s="118"/>
      <c r="L73" s="118"/>
      <c r="M73" s="268">
        <f>SUM(M70:M72)</f>
        <v>3.794583925</v>
      </c>
      <c r="N73" s="268">
        <f>SUM(N70:N72)</f>
        <v>3.2811479324999997</v>
      </c>
      <c r="O73" s="118"/>
      <c r="P73" s="118"/>
      <c r="Q73" s="118"/>
    </row>
    <row r="74" spans="2:17" x14ac:dyDescent="0.25">
      <c r="F74" s="118"/>
      <c r="G74" s="118"/>
      <c r="H74" s="118"/>
      <c r="I74" s="219"/>
      <c r="J74" s="118"/>
      <c r="K74" s="118"/>
      <c r="L74" s="118"/>
      <c r="M74" s="118"/>
      <c r="N74" s="118"/>
      <c r="O74" s="118"/>
      <c r="P74" s="118"/>
      <c r="Q74" s="118"/>
    </row>
    <row r="75" spans="2:17" x14ac:dyDescent="0.25">
      <c r="F75" s="118"/>
      <c r="G75" s="118"/>
      <c r="H75" s="118"/>
      <c r="I75" s="219"/>
      <c r="J75" s="118"/>
      <c r="K75" s="118"/>
      <c r="L75" s="118"/>
      <c r="M75" s="118"/>
      <c r="N75" s="118"/>
      <c r="O75" s="118"/>
      <c r="P75" s="118"/>
      <c r="Q75" s="118"/>
    </row>
    <row r="76" spans="2:17" x14ac:dyDescent="0.25">
      <c r="F76" s="118"/>
      <c r="G76" s="118"/>
      <c r="H76" s="118"/>
      <c r="I76" s="219"/>
      <c r="J76" s="118"/>
      <c r="K76" s="118"/>
      <c r="L76" s="118"/>
      <c r="M76" s="118"/>
      <c r="N76" s="118"/>
      <c r="O76" s="118"/>
      <c r="P76" s="118"/>
      <c r="Q76" s="118"/>
    </row>
    <row r="77" spans="2:17" x14ac:dyDescent="0.25">
      <c r="B77" s="108" t="s">
        <v>664</v>
      </c>
      <c r="C77" s="216"/>
      <c r="F77" s="118"/>
      <c r="G77" s="118"/>
      <c r="H77" s="118"/>
      <c r="I77" s="219"/>
      <c r="J77" s="118"/>
      <c r="K77" s="118"/>
      <c r="L77" s="118"/>
      <c r="M77" s="118"/>
      <c r="N77" s="118"/>
      <c r="O77" s="118"/>
      <c r="P77" s="118"/>
      <c r="Q77" s="118"/>
    </row>
    <row r="78" spans="2:17" x14ac:dyDescent="0.25">
      <c r="C78" s="216"/>
      <c r="F78" s="118"/>
      <c r="G78" s="118"/>
      <c r="H78" s="118"/>
      <c r="I78" s="219"/>
      <c r="J78" s="118"/>
      <c r="K78" s="118"/>
      <c r="L78" s="118"/>
      <c r="M78" s="118"/>
      <c r="N78" s="118"/>
      <c r="O78" s="118"/>
      <c r="P78" s="118"/>
      <c r="Q78" s="118"/>
    </row>
    <row r="79" spans="2:17" x14ac:dyDescent="0.25">
      <c r="B79" s="216"/>
      <c r="C79" s="216"/>
      <c r="D79" s="216"/>
      <c r="E79" s="258" t="s">
        <v>15</v>
      </c>
      <c r="F79" s="242" t="s">
        <v>464</v>
      </c>
      <c r="G79" s="242" t="s">
        <v>464</v>
      </c>
      <c r="H79" s="216"/>
      <c r="I79" s="216"/>
      <c r="J79" s="216"/>
      <c r="K79" s="118"/>
      <c r="L79" s="118"/>
      <c r="M79" s="118"/>
      <c r="N79" s="118"/>
      <c r="O79" s="118"/>
      <c r="P79" s="118"/>
      <c r="Q79" s="118"/>
    </row>
    <row r="80" spans="2:17" x14ac:dyDescent="0.25">
      <c r="B80" s="217" t="s">
        <v>1</v>
      </c>
      <c r="C80" s="217" t="s">
        <v>41</v>
      </c>
      <c r="D80" s="217" t="s">
        <v>7</v>
      </c>
      <c r="E80" s="241" t="s">
        <v>8</v>
      </c>
      <c r="F80" s="241" t="s">
        <v>358</v>
      </c>
      <c r="G80" s="241" t="s">
        <v>359</v>
      </c>
      <c r="H80" s="241" t="s">
        <v>657</v>
      </c>
      <c r="I80" s="259" t="s">
        <v>658</v>
      </c>
      <c r="J80" s="259" t="s">
        <v>660</v>
      </c>
      <c r="K80" s="118"/>
      <c r="L80" s="118"/>
      <c r="M80" s="241" t="s">
        <v>771</v>
      </c>
      <c r="N80" s="241" t="s">
        <v>771</v>
      </c>
      <c r="O80" s="118"/>
      <c r="P80" s="118"/>
      <c r="Q80" s="118"/>
    </row>
    <row r="81" spans="2:17" ht="14.4" thickBot="1" x14ac:dyDescent="0.3">
      <c r="B81" s="230" t="s">
        <v>651</v>
      </c>
      <c r="C81" s="230" t="s">
        <v>25</v>
      </c>
      <c r="D81" s="230" t="s">
        <v>35</v>
      </c>
      <c r="E81" s="243" t="s">
        <v>36</v>
      </c>
      <c r="F81" s="243"/>
      <c r="G81" s="243"/>
      <c r="H81" s="243"/>
      <c r="I81" s="243"/>
      <c r="J81" s="243"/>
      <c r="K81" s="118"/>
      <c r="L81" s="118"/>
      <c r="M81" s="243" t="s">
        <v>661</v>
      </c>
      <c r="N81" s="243" t="s">
        <v>359</v>
      </c>
      <c r="O81" s="118"/>
      <c r="P81" s="118"/>
      <c r="Q81" s="118"/>
    </row>
    <row r="82" spans="2:17" x14ac:dyDescent="0.25">
      <c r="B82" s="216" t="str">
        <f>S36</f>
        <v>INDOTHOENINDELC_00</v>
      </c>
      <c r="C82" s="216" t="str">
        <f>T36</f>
        <v>Other Energy INDOTH Electricity_E00</v>
      </c>
      <c r="D82" s="216" t="s">
        <v>129</v>
      </c>
      <c r="E82" s="260" t="s">
        <v>456</v>
      </c>
      <c r="F82" s="261">
        <f>1/0.8</f>
        <v>1.25</v>
      </c>
      <c r="G82" s="253">
        <v>1</v>
      </c>
      <c r="H82" s="246">
        <f>N82/J82</f>
        <v>0.98846854999999989</v>
      </c>
      <c r="I82" s="262">
        <v>30</v>
      </c>
      <c r="J82" s="262">
        <v>0.8</v>
      </c>
      <c r="K82" s="118"/>
      <c r="L82" s="118"/>
      <c r="M82" s="261">
        <f>OTH_BAL!T27</f>
        <v>0.98846855</v>
      </c>
      <c r="N82" s="261">
        <f>M82/F82</f>
        <v>0.79077483999999998</v>
      </c>
      <c r="O82" s="118"/>
      <c r="P82" s="118"/>
      <c r="Q82" s="118"/>
    </row>
    <row r="83" spans="2:17" ht="14.4" thickBot="1" x14ac:dyDescent="0.3">
      <c r="B83" s="254" t="s">
        <v>653</v>
      </c>
      <c r="C83" s="255"/>
      <c r="D83" s="255"/>
      <c r="E83" s="266"/>
      <c r="F83" s="267"/>
      <c r="G83" s="267"/>
      <c r="H83" s="270">
        <f>SUM(H82:H82)</f>
        <v>0.98846854999999989</v>
      </c>
      <c r="I83" s="271"/>
      <c r="J83" s="271"/>
      <c r="K83" s="118"/>
      <c r="L83" s="118"/>
      <c r="M83" s="268">
        <f>SUM(M82:M82)</f>
        <v>0.98846855</v>
      </c>
      <c r="N83" s="268">
        <f>SUM(N82:N82)</f>
        <v>0.79077483999999998</v>
      </c>
      <c r="O83" s="118"/>
      <c r="P83" s="118"/>
      <c r="Q83" s="118"/>
    </row>
    <row r="84" spans="2:17" x14ac:dyDescent="0.25">
      <c r="F84" s="118"/>
      <c r="G84" s="118"/>
      <c r="H84" s="251"/>
      <c r="I84" s="219"/>
      <c r="J84" s="118"/>
      <c r="K84" s="118"/>
      <c r="L84" s="118"/>
      <c r="M84" s="118"/>
      <c r="N84" s="118"/>
      <c r="O84" s="118"/>
      <c r="P84" s="118"/>
      <c r="Q84" s="118"/>
    </row>
    <row r="85" spans="2:17" x14ac:dyDescent="0.25">
      <c r="F85" s="118"/>
      <c r="G85" s="118"/>
      <c r="H85" s="118"/>
      <c r="I85" s="219"/>
      <c r="J85" s="118"/>
      <c r="K85" s="118"/>
      <c r="L85" s="118"/>
      <c r="M85" s="118"/>
      <c r="N85" s="118"/>
      <c r="O85" s="118"/>
      <c r="P85" s="118"/>
      <c r="Q85" s="118"/>
    </row>
    <row r="86" spans="2:17" x14ac:dyDescent="0.25">
      <c r="F86" s="118"/>
      <c r="G86" s="118"/>
      <c r="H86" s="118"/>
      <c r="I86" s="219"/>
      <c r="J86" s="118"/>
      <c r="K86" s="118"/>
      <c r="L86" s="118"/>
      <c r="M86" s="118"/>
      <c r="N86" s="118"/>
      <c r="O86" s="118"/>
      <c r="P86" s="118"/>
      <c r="Q86" s="118"/>
    </row>
    <row r="87" spans="2:17" x14ac:dyDescent="0.25">
      <c r="C87" s="216"/>
      <c r="F87" s="118"/>
      <c r="G87" s="118"/>
      <c r="H87" s="118"/>
      <c r="I87" s="219"/>
      <c r="J87" s="118"/>
      <c r="K87" s="118"/>
      <c r="L87" s="118"/>
      <c r="M87" s="118"/>
      <c r="N87" s="118"/>
      <c r="O87" s="118"/>
      <c r="P87" s="118"/>
      <c r="Q87" s="118"/>
    </row>
    <row r="88" spans="2:17" x14ac:dyDescent="0.25">
      <c r="C88" s="216"/>
      <c r="F88" s="118"/>
      <c r="G88" s="118"/>
      <c r="H88" s="118"/>
      <c r="I88" s="219"/>
      <c r="J88" s="118"/>
      <c r="K88" s="118"/>
      <c r="L88" s="118"/>
      <c r="M88" s="118"/>
      <c r="N88" s="118"/>
      <c r="O88" s="118"/>
      <c r="P88" s="118"/>
      <c r="Q88" s="118"/>
    </row>
    <row r="89" spans="2:17" x14ac:dyDescent="0.25">
      <c r="C89" s="216"/>
      <c r="F89" s="118"/>
      <c r="G89" s="118"/>
      <c r="H89" s="118"/>
      <c r="I89" s="219"/>
      <c r="J89" s="118"/>
      <c r="K89" s="118"/>
      <c r="L89" s="118"/>
      <c r="M89" s="118"/>
      <c r="N89" s="118"/>
      <c r="O89" s="118"/>
      <c r="P89" s="118"/>
      <c r="Q89" s="118"/>
    </row>
    <row r="90" spans="2:17" x14ac:dyDescent="0.25">
      <c r="C90" s="216"/>
      <c r="F90" s="118"/>
      <c r="G90" s="118"/>
      <c r="H90" s="118"/>
      <c r="I90" s="219"/>
      <c r="J90" s="118"/>
      <c r="K90" s="118"/>
      <c r="L90" s="118"/>
      <c r="M90" s="118"/>
      <c r="N90" s="118"/>
      <c r="O90" s="118"/>
      <c r="P90" s="118"/>
      <c r="Q90" s="118"/>
    </row>
    <row r="91" spans="2:17" x14ac:dyDescent="0.25">
      <c r="C91" s="216"/>
      <c r="F91" s="118"/>
      <c r="G91" s="118"/>
      <c r="H91" s="118"/>
      <c r="I91" s="219"/>
      <c r="J91" s="118"/>
      <c r="K91" s="118"/>
      <c r="L91" s="118"/>
      <c r="M91" s="118"/>
      <c r="N91" s="118"/>
      <c r="O91" s="118"/>
      <c r="P91" s="118"/>
      <c r="Q91" s="118"/>
    </row>
    <row r="92" spans="2:17" x14ac:dyDescent="0.25">
      <c r="C92" s="216"/>
      <c r="F92" s="118"/>
      <c r="G92" s="118"/>
      <c r="H92" s="118"/>
      <c r="I92" s="219"/>
      <c r="J92" s="118"/>
      <c r="K92" s="118"/>
      <c r="L92" s="118"/>
      <c r="M92" s="118"/>
      <c r="N92" s="118"/>
      <c r="O92" s="118"/>
      <c r="P92" s="118"/>
      <c r="Q92" s="118"/>
    </row>
    <row r="93" spans="2:17" x14ac:dyDescent="0.25">
      <c r="C93" s="216"/>
      <c r="F93" s="118"/>
      <c r="G93" s="118"/>
      <c r="H93" s="118"/>
      <c r="I93" s="219"/>
      <c r="J93" s="118"/>
      <c r="K93" s="118"/>
      <c r="L93" s="118"/>
      <c r="M93" s="118"/>
      <c r="N93" s="118"/>
      <c r="O93" s="118"/>
      <c r="P93" s="118"/>
      <c r="Q93" s="118"/>
    </row>
    <row r="94" spans="2:17" x14ac:dyDescent="0.25">
      <c r="C94" s="216"/>
      <c r="F94" s="118"/>
      <c r="G94" s="118"/>
      <c r="H94" s="118"/>
      <c r="I94" s="219"/>
      <c r="J94" s="118"/>
      <c r="K94" s="118"/>
      <c r="L94" s="118"/>
      <c r="M94" s="118"/>
      <c r="N94" s="118"/>
      <c r="O94" s="118"/>
      <c r="P94" s="118"/>
      <c r="Q94" s="118"/>
    </row>
    <row r="95" spans="2:17" x14ac:dyDescent="0.25">
      <c r="C95" s="216"/>
      <c r="F95" s="118"/>
      <c r="G95" s="118"/>
      <c r="H95" s="251"/>
      <c r="I95" s="219"/>
      <c r="J95" s="118"/>
      <c r="K95" s="118"/>
      <c r="L95" s="118"/>
      <c r="M95" s="118"/>
      <c r="N95" s="118"/>
      <c r="O95" s="118"/>
      <c r="P95" s="118"/>
      <c r="Q95" s="118"/>
    </row>
    <row r="96" spans="2:17" x14ac:dyDescent="0.25">
      <c r="F96" s="118"/>
      <c r="G96" s="118"/>
      <c r="H96" s="118"/>
      <c r="I96" s="219"/>
      <c r="J96" s="118"/>
      <c r="K96" s="118"/>
      <c r="L96" s="118"/>
      <c r="M96" s="118"/>
      <c r="N96" s="118"/>
      <c r="O96" s="118"/>
      <c r="P96" s="118"/>
      <c r="Q96" s="118"/>
    </row>
    <row r="97" spans="6:17" x14ac:dyDescent="0.25">
      <c r="F97" s="118"/>
      <c r="G97" s="118"/>
      <c r="H97" s="118"/>
      <c r="I97" s="219"/>
      <c r="J97" s="118"/>
      <c r="K97" s="118"/>
      <c r="L97" s="118"/>
      <c r="M97" s="118"/>
      <c r="N97" s="118"/>
      <c r="O97" s="118"/>
      <c r="P97" s="118"/>
      <c r="Q97" s="118"/>
    </row>
    <row r="98" spans="6:17" x14ac:dyDescent="0.25">
      <c r="F98" s="118"/>
      <c r="G98" s="118"/>
      <c r="H98" s="118"/>
      <c r="I98" s="219"/>
      <c r="J98" s="118"/>
      <c r="K98" s="118"/>
      <c r="L98" s="118"/>
      <c r="M98" s="118"/>
      <c r="N98" s="118"/>
      <c r="O98" s="118"/>
      <c r="P98" s="118"/>
      <c r="Q98" s="118"/>
    </row>
    <row r="99" spans="6:17" x14ac:dyDescent="0.25">
      <c r="F99" s="118"/>
      <c r="G99" s="118"/>
      <c r="H99" s="118"/>
      <c r="I99" s="219"/>
      <c r="J99" s="118"/>
      <c r="K99" s="118"/>
      <c r="L99" s="118"/>
      <c r="M99" s="118"/>
      <c r="N99" s="118"/>
      <c r="O99" s="118"/>
      <c r="P99" s="118"/>
      <c r="Q99" s="118"/>
    </row>
    <row r="100" spans="6:17" x14ac:dyDescent="0.25">
      <c r="F100" s="118"/>
      <c r="G100" s="118"/>
      <c r="H100" s="118"/>
      <c r="I100" s="219"/>
      <c r="J100" s="118"/>
      <c r="K100" s="118"/>
      <c r="L100" s="118"/>
      <c r="M100" s="118"/>
      <c r="N100" s="118"/>
      <c r="O100" s="118"/>
      <c r="P100" s="118"/>
      <c r="Q100" s="118"/>
    </row>
    <row r="101" spans="6:17" x14ac:dyDescent="0.25">
      <c r="F101" s="118"/>
      <c r="G101" s="118"/>
      <c r="H101" s="118"/>
      <c r="I101" s="219"/>
      <c r="J101" s="118"/>
      <c r="K101" s="118"/>
      <c r="L101" s="118"/>
      <c r="M101" s="118"/>
      <c r="N101" s="118"/>
      <c r="O101" s="118"/>
      <c r="P101" s="118"/>
      <c r="Q101" s="118"/>
    </row>
    <row r="102" spans="6:17" x14ac:dyDescent="0.25">
      <c r="F102" s="118"/>
      <c r="G102" s="118"/>
      <c r="H102" s="118"/>
      <c r="I102" s="219"/>
      <c r="J102" s="118"/>
      <c r="K102" s="118"/>
      <c r="L102" s="118"/>
      <c r="M102" s="118"/>
      <c r="N102" s="118"/>
      <c r="O102" s="118"/>
      <c r="P102" s="118"/>
      <c r="Q102" s="118"/>
    </row>
    <row r="103" spans="6:17" x14ac:dyDescent="0.25">
      <c r="F103" s="118"/>
      <c r="G103" s="118"/>
      <c r="H103" s="118"/>
      <c r="I103" s="219"/>
      <c r="J103" s="118"/>
      <c r="K103" s="118"/>
      <c r="L103" s="118"/>
      <c r="M103" s="118"/>
      <c r="N103" s="118"/>
      <c r="O103" s="118"/>
      <c r="P103" s="118"/>
      <c r="Q103" s="118"/>
    </row>
    <row r="104" spans="6:17" x14ac:dyDescent="0.25">
      <c r="F104" s="118"/>
      <c r="G104" s="118"/>
      <c r="H104" s="118"/>
      <c r="I104" s="219"/>
      <c r="J104" s="118"/>
      <c r="K104" s="118"/>
      <c r="L104" s="118"/>
      <c r="M104" s="118"/>
      <c r="N104" s="118"/>
      <c r="O104" s="118"/>
      <c r="P104" s="118"/>
      <c r="Q104" s="118"/>
    </row>
    <row r="105" spans="6:17" x14ac:dyDescent="0.25">
      <c r="F105" s="118"/>
      <c r="G105" s="118"/>
      <c r="H105" s="118"/>
      <c r="I105" s="219"/>
      <c r="J105" s="118"/>
      <c r="K105" s="118"/>
      <c r="L105" s="118"/>
      <c r="M105" s="118"/>
      <c r="N105" s="118"/>
      <c r="O105" s="118"/>
      <c r="P105" s="118"/>
      <c r="Q105" s="118"/>
    </row>
    <row r="106" spans="6:17" x14ac:dyDescent="0.25">
      <c r="F106" s="118"/>
      <c r="G106" s="118"/>
      <c r="H106" s="251"/>
      <c r="I106" s="219"/>
      <c r="J106" s="118"/>
      <c r="K106" s="118"/>
      <c r="L106" s="118"/>
      <c r="M106" s="118"/>
      <c r="N106" s="118"/>
      <c r="O106" s="118"/>
      <c r="P106" s="118"/>
      <c r="Q106" s="118"/>
    </row>
    <row r="107" spans="6:17" x14ac:dyDescent="0.25">
      <c r="F107" s="118"/>
      <c r="G107" s="118"/>
      <c r="H107" s="118"/>
      <c r="I107" s="219"/>
      <c r="J107" s="118"/>
      <c r="K107" s="118"/>
      <c r="L107" s="118"/>
      <c r="M107" s="118"/>
      <c r="N107" s="118"/>
      <c r="O107" s="118"/>
      <c r="P107" s="118"/>
      <c r="Q107" s="118"/>
    </row>
    <row r="108" spans="6:17" x14ac:dyDescent="0.25">
      <c r="F108" s="118"/>
      <c r="G108" s="118"/>
      <c r="H108" s="118"/>
      <c r="I108" s="219"/>
      <c r="J108" s="118"/>
      <c r="K108" s="118"/>
      <c r="L108" s="118"/>
      <c r="M108" s="118"/>
      <c r="N108" s="118"/>
      <c r="O108" s="118"/>
      <c r="P108" s="118"/>
      <c r="Q108" s="118"/>
    </row>
    <row r="109" spans="6:17" x14ac:dyDescent="0.25">
      <c r="F109" s="118"/>
      <c r="G109" s="118"/>
      <c r="H109" s="118"/>
      <c r="I109" s="219"/>
      <c r="J109" s="118"/>
      <c r="K109" s="118"/>
      <c r="L109" s="118"/>
      <c r="M109" s="118"/>
      <c r="N109" s="118"/>
      <c r="O109" s="118"/>
      <c r="P109" s="118"/>
      <c r="Q109" s="118"/>
    </row>
    <row r="110" spans="6:17" x14ac:dyDescent="0.25">
      <c r="F110" s="118"/>
      <c r="G110" s="118"/>
      <c r="H110" s="118"/>
      <c r="I110" s="219"/>
      <c r="J110" s="118"/>
      <c r="K110" s="118"/>
      <c r="L110" s="118"/>
      <c r="M110" s="118"/>
      <c r="N110" s="118"/>
      <c r="O110" s="118"/>
      <c r="P110" s="118"/>
      <c r="Q110" s="118"/>
    </row>
    <row r="111" spans="6:17" x14ac:dyDescent="0.25">
      <c r="F111" s="118"/>
      <c r="G111" s="118"/>
      <c r="H111" s="118"/>
      <c r="I111" s="219"/>
      <c r="J111" s="118"/>
      <c r="K111" s="118"/>
      <c r="L111" s="118"/>
      <c r="M111" s="118"/>
      <c r="N111" s="118"/>
      <c r="O111" s="118"/>
      <c r="P111" s="118"/>
      <c r="Q111" s="118"/>
    </row>
    <row r="112" spans="6:17" x14ac:dyDescent="0.25">
      <c r="F112" s="118"/>
      <c r="G112" s="118"/>
      <c r="H112" s="118"/>
      <c r="I112" s="219"/>
      <c r="J112" s="118"/>
      <c r="K112" s="118"/>
      <c r="L112" s="118"/>
      <c r="M112" s="118"/>
      <c r="N112" s="118"/>
      <c r="O112" s="118"/>
      <c r="P112" s="118"/>
      <c r="Q112" s="118"/>
    </row>
    <row r="113" spans="3:17" x14ac:dyDescent="0.25">
      <c r="F113" s="118"/>
      <c r="G113" s="118"/>
      <c r="H113" s="118"/>
      <c r="I113" s="219"/>
      <c r="J113" s="118"/>
      <c r="K113" s="118"/>
      <c r="L113" s="118"/>
      <c r="M113" s="118"/>
      <c r="N113" s="118"/>
      <c r="O113" s="118"/>
      <c r="P113" s="118"/>
      <c r="Q113" s="118"/>
    </row>
    <row r="114" spans="3:17" x14ac:dyDescent="0.25">
      <c r="F114" s="118"/>
      <c r="G114" s="118"/>
      <c r="H114" s="118"/>
      <c r="I114" s="219"/>
      <c r="J114" s="118"/>
      <c r="K114" s="118"/>
      <c r="L114" s="118"/>
      <c r="M114" s="118"/>
      <c r="N114" s="118"/>
      <c r="O114" s="118"/>
      <c r="P114" s="118"/>
      <c r="Q114" s="118"/>
    </row>
    <row r="115" spans="3:17" x14ac:dyDescent="0.25">
      <c r="F115" s="118"/>
      <c r="G115" s="118"/>
      <c r="H115" s="118"/>
      <c r="I115" s="219"/>
      <c r="J115" s="118"/>
      <c r="K115" s="118"/>
      <c r="L115" s="118"/>
      <c r="M115" s="118"/>
      <c r="N115" s="118"/>
      <c r="O115" s="118"/>
      <c r="P115" s="118"/>
      <c r="Q115" s="118"/>
    </row>
    <row r="116" spans="3:17" x14ac:dyDescent="0.25">
      <c r="F116" s="118"/>
      <c r="G116" s="118"/>
      <c r="H116" s="118"/>
      <c r="I116" s="219"/>
      <c r="J116" s="118"/>
      <c r="K116" s="118"/>
      <c r="L116" s="118"/>
      <c r="M116" s="118"/>
      <c r="N116" s="118"/>
      <c r="O116" s="118"/>
      <c r="P116" s="118"/>
      <c r="Q116" s="118"/>
    </row>
    <row r="117" spans="3:17" x14ac:dyDescent="0.25">
      <c r="F117" s="118"/>
      <c r="G117" s="118"/>
      <c r="H117" s="251"/>
      <c r="I117" s="219"/>
      <c r="J117" s="118"/>
      <c r="K117" s="118"/>
      <c r="L117" s="118"/>
      <c r="M117" s="118"/>
      <c r="N117" s="118"/>
      <c r="O117" s="118"/>
      <c r="P117" s="118"/>
      <c r="Q117" s="118"/>
    </row>
    <row r="118" spans="3:17" x14ac:dyDescent="0.25">
      <c r="F118" s="118"/>
      <c r="G118" s="118"/>
      <c r="H118" s="118"/>
      <c r="I118" s="219"/>
      <c r="J118" s="118"/>
      <c r="K118" s="118"/>
      <c r="L118" s="118"/>
      <c r="M118" s="118"/>
      <c r="N118" s="118"/>
      <c r="O118" s="118"/>
      <c r="P118" s="118"/>
      <c r="Q118" s="118"/>
    </row>
    <row r="119" spans="3:17" x14ac:dyDescent="0.25">
      <c r="F119" s="118"/>
      <c r="G119" s="118"/>
      <c r="H119" s="118"/>
      <c r="I119" s="219"/>
      <c r="J119" s="118"/>
      <c r="K119" s="118"/>
      <c r="L119" s="118"/>
      <c r="M119" s="118"/>
      <c r="N119" s="118"/>
      <c r="O119" s="118"/>
      <c r="P119" s="118"/>
      <c r="Q119" s="118"/>
    </row>
    <row r="120" spans="3:17" x14ac:dyDescent="0.25">
      <c r="F120" s="118"/>
      <c r="G120" s="118"/>
      <c r="H120" s="118"/>
      <c r="I120" s="219"/>
      <c r="J120" s="118"/>
      <c r="K120" s="118"/>
      <c r="L120" s="118"/>
      <c r="M120" s="118"/>
      <c r="N120" s="118"/>
      <c r="O120" s="118"/>
      <c r="P120" s="118"/>
      <c r="Q120" s="118"/>
    </row>
    <row r="121" spans="3:17" x14ac:dyDescent="0.25">
      <c r="F121" s="118"/>
      <c r="G121" s="118"/>
      <c r="H121" s="118"/>
      <c r="I121" s="219"/>
      <c r="J121" s="118"/>
      <c r="K121" s="118"/>
      <c r="L121" s="118"/>
      <c r="M121" s="118"/>
      <c r="N121" s="118"/>
      <c r="O121" s="118"/>
      <c r="P121" s="118"/>
      <c r="Q121" s="118"/>
    </row>
    <row r="122" spans="3:17" x14ac:dyDescent="0.25">
      <c r="F122" s="118"/>
      <c r="G122" s="118"/>
      <c r="H122" s="118"/>
      <c r="I122" s="219"/>
      <c r="J122" s="118"/>
      <c r="K122" s="118"/>
      <c r="L122" s="118"/>
      <c r="M122" s="118"/>
      <c r="N122" s="118"/>
      <c r="O122" s="118"/>
      <c r="P122" s="118"/>
      <c r="Q122" s="118"/>
    </row>
    <row r="123" spans="3:17" x14ac:dyDescent="0.25">
      <c r="F123" s="118"/>
      <c r="G123" s="118"/>
      <c r="H123" s="251"/>
      <c r="I123" s="219"/>
      <c r="J123" s="118"/>
      <c r="K123" s="118"/>
      <c r="L123" s="118"/>
      <c r="M123" s="118"/>
      <c r="N123" s="118"/>
      <c r="O123" s="118"/>
      <c r="P123" s="118"/>
      <c r="Q123" s="118"/>
    </row>
    <row r="124" spans="3:17" x14ac:dyDescent="0.25">
      <c r="F124" s="118"/>
      <c r="G124" s="118"/>
      <c r="H124" s="118"/>
      <c r="I124" s="219"/>
      <c r="J124" s="118"/>
      <c r="K124" s="118"/>
      <c r="L124" s="118"/>
      <c r="M124" s="118"/>
      <c r="N124" s="118"/>
      <c r="O124" s="118"/>
      <c r="P124" s="118"/>
      <c r="Q124" s="118"/>
    </row>
    <row r="125" spans="3:17" x14ac:dyDescent="0.25">
      <c r="F125" s="118"/>
      <c r="G125" s="118"/>
      <c r="H125" s="118"/>
      <c r="I125" s="219"/>
      <c r="J125" s="118"/>
      <c r="K125" s="118"/>
      <c r="L125" s="118"/>
      <c r="M125" s="118"/>
      <c r="N125" s="118"/>
      <c r="O125" s="118"/>
      <c r="P125" s="118"/>
      <c r="Q125" s="118"/>
    </row>
    <row r="126" spans="3:17" x14ac:dyDescent="0.25">
      <c r="C126" s="216"/>
      <c r="F126" s="118"/>
      <c r="G126" s="118"/>
      <c r="H126" s="118"/>
      <c r="I126" s="219"/>
      <c r="J126" s="118"/>
      <c r="K126" s="118"/>
      <c r="L126" s="118"/>
      <c r="M126" s="118"/>
      <c r="N126" s="118"/>
      <c r="O126" s="118"/>
      <c r="P126" s="118"/>
      <c r="Q126" s="118"/>
    </row>
    <row r="127" spans="3:17" x14ac:dyDescent="0.25">
      <c r="C127" s="216"/>
      <c r="F127" s="118"/>
      <c r="G127" s="118"/>
      <c r="H127" s="118"/>
      <c r="I127" s="219"/>
      <c r="J127" s="118"/>
      <c r="K127" s="118"/>
      <c r="L127" s="118"/>
      <c r="M127" s="118"/>
      <c r="N127" s="118"/>
      <c r="O127" s="118"/>
      <c r="P127" s="118"/>
      <c r="Q127" s="118"/>
    </row>
    <row r="128" spans="3:17" x14ac:dyDescent="0.25">
      <c r="C128" s="216"/>
      <c r="F128" s="118"/>
      <c r="G128" s="118"/>
      <c r="H128" s="118"/>
      <c r="I128" s="219"/>
      <c r="J128" s="118"/>
      <c r="K128" s="118"/>
      <c r="L128" s="118"/>
      <c r="M128" s="118"/>
      <c r="N128" s="118"/>
      <c r="O128" s="118"/>
      <c r="P128" s="118"/>
      <c r="Q128" s="118"/>
    </row>
    <row r="129" spans="3:17" x14ac:dyDescent="0.25">
      <c r="C129" s="216"/>
      <c r="F129" s="118"/>
      <c r="G129" s="118"/>
      <c r="H129" s="118"/>
      <c r="I129" s="219"/>
      <c r="J129" s="118"/>
      <c r="K129" s="118"/>
      <c r="L129" s="118"/>
      <c r="M129" s="118"/>
      <c r="N129" s="118"/>
      <c r="O129" s="118"/>
      <c r="P129" s="118"/>
      <c r="Q129" s="118"/>
    </row>
    <row r="130" spans="3:17" x14ac:dyDescent="0.25">
      <c r="C130" s="216"/>
      <c r="F130" s="118"/>
      <c r="G130" s="118"/>
      <c r="H130" s="118"/>
      <c r="I130" s="219"/>
      <c r="J130" s="118"/>
      <c r="K130" s="118"/>
      <c r="L130" s="118"/>
      <c r="M130" s="118"/>
      <c r="N130" s="118"/>
      <c r="O130" s="118"/>
      <c r="P130" s="118"/>
      <c r="Q130" s="118"/>
    </row>
    <row r="131" spans="3:17" x14ac:dyDescent="0.25">
      <c r="C131" s="216"/>
      <c r="F131" s="118"/>
      <c r="G131" s="118"/>
      <c r="H131" s="118"/>
      <c r="I131" s="219"/>
      <c r="J131" s="118"/>
      <c r="K131" s="118"/>
      <c r="L131" s="118"/>
      <c r="M131" s="118"/>
      <c r="N131" s="118"/>
      <c r="O131" s="118"/>
      <c r="P131" s="118"/>
      <c r="Q131" s="118"/>
    </row>
    <row r="132" spans="3:17" x14ac:dyDescent="0.25">
      <c r="C132" s="216"/>
      <c r="F132" s="118"/>
      <c r="G132" s="118"/>
      <c r="H132" s="118"/>
      <c r="I132" s="219"/>
      <c r="J132" s="118"/>
      <c r="K132" s="118"/>
      <c r="L132" s="118"/>
      <c r="M132" s="118"/>
      <c r="N132" s="118"/>
      <c r="O132" s="118"/>
      <c r="P132" s="118"/>
      <c r="Q132" s="118"/>
    </row>
    <row r="133" spans="3:17" x14ac:dyDescent="0.25">
      <c r="C133" s="216"/>
      <c r="F133" s="118"/>
      <c r="G133" s="118"/>
      <c r="H133" s="118"/>
      <c r="I133" s="219"/>
      <c r="J133" s="118"/>
      <c r="K133" s="118"/>
      <c r="L133" s="118"/>
      <c r="M133" s="118"/>
      <c r="N133" s="118"/>
      <c r="O133" s="118"/>
      <c r="P133" s="118"/>
      <c r="Q133" s="118"/>
    </row>
    <row r="134" spans="3:17" x14ac:dyDescent="0.25">
      <c r="C134" s="216"/>
      <c r="F134" s="118"/>
      <c r="G134" s="118"/>
      <c r="H134" s="251"/>
      <c r="I134" s="219"/>
      <c r="J134" s="118"/>
      <c r="K134" s="118"/>
      <c r="L134" s="118"/>
      <c r="M134" s="118"/>
      <c r="N134" s="118"/>
      <c r="O134" s="118"/>
      <c r="P134" s="118"/>
      <c r="Q134" s="118"/>
    </row>
    <row r="135" spans="3:17" x14ac:dyDescent="0.25">
      <c r="F135" s="118"/>
      <c r="G135" s="118"/>
      <c r="H135" s="118"/>
      <c r="I135" s="219"/>
      <c r="J135" s="118"/>
      <c r="K135" s="118"/>
      <c r="L135" s="118"/>
      <c r="M135" s="118"/>
      <c r="N135" s="118"/>
      <c r="O135" s="118"/>
      <c r="P135" s="118"/>
      <c r="Q135" s="118"/>
    </row>
    <row r="136" spans="3:17" x14ac:dyDescent="0.25">
      <c r="F136" s="118"/>
      <c r="G136" s="118"/>
      <c r="H136" s="118"/>
      <c r="I136" s="219"/>
      <c r="J136" s="118"/>
      <c r="K136" s="118"/>
      <c r="L136" s="118"/>
      <c r="M136" s="118"/>
      <c r="N136" s="118"/>
      <c r="O136" s="118"/>
      <c r="P136" s="118"/>
      <c r="Q136" s="118"/>
    </row>
    <row r="137" spans="3:17" x14ac:dyDescent="0.25">
      <c r="F137" s="118"/>
      <c r="G137" s="118"/>
      <c r="H137" s="118"/>
      <c r="I137" s="219"/>
      <c r="J137" s="118"/>
      <c r="K137" s="118"/>
      <c r="L137" s="118"/>
      <c r="M137" s="118"/>
      <c r="N137" s="118"/>
      <c r="O137" s="118"/>
      <c r="P137" s="118"/>
      <c r="Q137" s="118"/>
    </row>
    <row r="138" spans="3:17" x14ac:dyDescent="0.25">
      <c r="F138" s="118"/>
      <c r="G138" s="118"/>
      <c r="H138" s="118"/>
      <c r="I138" s="219"/>
      <c r="J138" s="118"/>
      <c r="K138" s="118"/>
      <c r="L138" s="118"/>
      <c r="M138" s="118"/>
      <c r="N138" s="118"/>
      <c r="O138" s="118"/>
      <c r="P138" s="118"/>
      <c r="Q138" s="118"/>
    </row>
    <row r="139" spans="3:17" x14ac:dyDescent="0.25">
      <c r="F139" s="118"/>
      <c r="G139" s="118"/>
      <c r="H139" s="118"/>
      <c r="I139" s="219"/>
      <c r="J139" s="118"/>
      <c r="K139" s="118"/>
      <c r="L139" s="118"/>
      <c r="M139" s="118"/>
      <c r="N139" s="118"/>
      <c r="O139" s="118"/>
      <c r="P139" s="118"/>
      <c r="Q139" s="118"/>
    </row>
    <row r="140" spans="3:17" x14ac:dyDescent="0.25">
      <c r="F140" s="118"/>
      <c r="G140" s="118"/>
      <c r="H140" s="118"/>
      <c r="I140" s="219"/>
      <c r="J140" s="118"/>
      <c r="K140" s="118"/>
      <c r="L140" s="118"/>
      <c r="M140" s="118"/>
      <c r="N140" s="118"/>
      <c r="O140" s="118"/>
      <c r="P140" s="118"/>
      <c r="Q140" s="118"/>
    </row>
    <row r="141" spans="3:17" x14ac:dyDescent="0.25">
      <c r="F141" s="118"/>
      <c r="G141" s="118"/>
      <c r="H141" s="118"/>
      <c r="I141" s="219"/>
      <c r="J141" s="118"/>
      <c r="K141" s="118"/>
      <c r="L141" s="118"/>
      <c r="M141" s="118"/>
      <c r="N141" s="118"/>
      <c r="O141" s="118"/>
      <c r="P141" s="118"/>
      <c r="Q141" s="118"/>
    </row>
    <row r="142" spans="3:17" x14ac:dyDescent="0.25">
      <c r="F142" s="118"/>
      <c r="G142" s="118"/>
      <c r="H142" s="118"/>
      <c r="I142" s="219"/>
      <c r="J142" s="118"/>
      <c r="K142" s="118"/>
      <c r="L142" s="118"/>
      <c r="M142" s="118"/>
      <c r="N142" s="118"/>
      <c r="O142" s="118"/>
      <c r="P142" s="118"/>
      <c r="Q142" s="118"/>
    </row>
    <row r="143" spans="3:17" x14ac:dyDescent="0.25">
      <c r="F143" s="118"/>
      <c r="G143" s="118"/>
      <c r="H143" s="118"/>
      <c r="I143" s="219"/>
      <c r="J143" s="118"/>
      <c r="K143" s="118"/>
      <c r="L143" s="118"/>
      <c r="M143" s="118"/>
      <c r="N143" s="118"/>
      <c r="O143" s="118"/>
      <c r="P143" s="118"/>
      <c r="Q143" s="118"/>
    </row>
    <row r="144" spans="3:17" x14ac:dyDescent="0.25">
      <c r="F144" s="118"/>
      <c r="G144" s="118"/>
      <c r="H144" s="118"/>
      <c r="I144" s="219"/>
      <c r="J144" s="118"/>
      <c r="K144" s="118"/>
      <c r="L144" s="118"/>
      <c r="M144" s="118"/>
      <c r="N144" s="118"/>
      <c r="O144" s="118"/>
      <c r="P144" s="118"/>
      <c r="Q144" s="118"/>
    </row>
    <row r="145" spans="6:18" x14ac:dyDescent="0.25">
      <c r="F145" s="118"/>
      <c r="G145" s="118"/>
      <c r="H145" s="251"/>
      <c r="I145" s="219"/>
      <c r="J145" s="118"/>
      <c r="K145" s="118"/>
      <c r="L145" s="118"/>
      <c r="M145" s="118"/>
      <c r="N145" s="118"/>
      <c r="O145" s="118"/>
      <c r="P145" s="118"/>
      <c r="Q145" s="118"/>
    </row>
    <row r="146" spans="6:18" x14ac:dyDescent="0.25">
      <c r="F146" s="118"/>
      <c r="G146" s="118"/>
      <c r="H146" s="118"/>
      <c r="I146" s="219"/>
      <c r="J146" s="118"/>
      <c r="K146" s="118"/>
      <c r="L146" s="118"/>
      <c r="M146" s="118"/>
      <c r="N146" s="118"/>
      <c r="O146" s="118"/>
      <c r="P146" s="118"/>
      <c r="Q146" s="118"/>
    </row>
    <row r="147" spans="6:18" x14ac:dyDescent="0.25">
      <c r="F147" s="118"/>
      <c r="G147" s="118"/>
      <c r="H147" s="118"/>
      <c r="I147" s="219"/>
      <c r="J147" s="118"/>
      <c r="K147" s="118"/>
      <c r="L147" s="118"/>
      <c r="M147" s="118"/>
      <c r="N147" s="118"/>
      <c r="O147" s="118"/>
      <c r="P147" s="118"/>
      <c r="Q147" s="118"/>
    </row>
    <row r="148" spans="6:18" x14ac:dyDescent="0.25">
      <c r="F148" s="118"/>
      <c r="G148" s="118"/>
      <c r="H148" s="118"/>
      <c r="I148" s="219"/>
      <c r="J148" s="118"/>
      <c r="K148" s="118"/>
      <c r="L148" s="118"/>
      <c r="M148" s="118"/>
      <c r="N148" s="118"/>
      <c r="O148" s="118"/>
      <c r="P148" s="118"/>
      <c r="Q148" s="118"/>
    </row>
    <row r="149" spans="6:18" x14ac:dyDescent="0.25">
      <c r="F149" s="118"/>
      <c r="G149" s="118"/>
      <c r="H149" s="118"/>
      <c r="I149" s="219"/>
      <c r="J149" s="118"/>
      <c r="K149" s="118"/>
      <c r="L149" s="118"/>
      <c r="M149" s="118"/>
      <c r="N149" s="118"/>
      <c r="O149" s="118"/>
      <c r="P149" s="118"/>
      <c r="Q149" s="118"/>
    </row>
    <row r="150" spans="6:18" x14ac:dyDescent="0.25">
      <c r="F150" s="118"/>
      <c r="G150" s="118"/>
      <c r="H150" s="118"/>
      <c r="I150" s="219"/>
      <c r="J150" s="118"/>
      <c r="K150" s="118"/>
      <c r="L150" s="118"/>
      <c r="M150" s="118"/>
      <c r="N150" s="118"/>
      <c r="O150" s="118"/>
      <c r="P150" s="118"/>
      <c r="Q150" s="118"/>
    </row>
    <row r="151" spans="6:18" x14ac:dyDescent="0.25">
      <c r="F151" s="118"/>
      <c r="G151" s="118"/>
      <c r="H151" s="118"/>
      <c r="I151" s="219"/>
      <c r="J151" s="118"/>
      <c r="K151" s="118"/>
      <c r="L151" s="118"/>
      <c r="M151" s="118"/>
      <c r="N151" s="118"/>
      <c r="O151" s="118"/>
      <c r="P151" s="118"/>
      <c r="Q151" s="118"/>
    </row>
    <row r="152" spans="6:18" x14ac:dyDescent="0.25">
      <c r="F152" s="118"/>
      <c r="G152" s="118"/>
      <c r="H152" s="118"/>
      <c r="I152" s="219"/>
      <c r="J152" s="118"/>
      <c r="K152" s="118"/>
      <c r="L152" s="118"/>
      <c r="M152" s="118"/>
      <c r="N152" s="118"/>
      <c r="O152" s="118"/>
      <c r="P152" s="118"/>
      <c r="Q152" s="118"/>
    </row>
    <row r="153" spans="6:18" x14ac:dyDescent="0.25">
      <c r="F153" s="118"/>
      <c r="G153" s="118"/>
      <c r="H153" s="118"/>
      <c r="I153" s="219"/>
      <c r="J153" s="118"/>
      <c r="K153" s="118"/>
      <c r="L153" s="118"/>
      <c r="M153" s="118"/>
      <c r="N153" s="118"/>
      <c r="O153" s="118"/>
      <c r="P153" s="118"/>
      <c r="Q153" s="118"/>
    </row>
    <row r="154" spans="6:18" x14ac:dyDescent="0.25">
      <c r="F154" s="118"/>
      <c r="G154" s="118"/>
      <c r="H154" s="118"/>
      <c r="I154" s="219"/>
      <c r="J154" s="118"/>
      <c r="K154" s="118"/>
      <c r="L154" s="118"/>
      <c r="M154" s="118"/>
      <c r="N154" s="118"/>
      <c r="O154" s="118"/>
      <c r="P154" s="118"/>
      <c r="Q154" s="118"/>
    </row>
    <row r="155" spans="6:18" x14ac:dyDescent="0.25">
      <c r="F155" s="118"/>
      <c r="G155" s="118"/>
      <c r="H155" s="118"/>
      <c r="I155" s="219"/>
      <c r="J155" s="118"/>
      <c r="K155" s="118"/>
      <c r="L155" s="118"/>
      <c r="M155" s="118"/>
      <c r="N155" s="118"/>
      <c r="O155" s="118"/>
      <c r="P155" s="118"/>
      <c r="Q155" s="118"/>
    </row>
    <row r="156" spans="6:18" x14ac:dyDescent="0.25">
      <c r="F156" s="118"/>
      <c r="G156" s="118"/>
      <c r="H156" s="251"/>
      <c r="I156" s="219"/>
      <c r="J156" s="118"/>
      <c r="K156" s="118"/>
      <c r="L156" s="118"/>
      <c r="M156" s="118"/>
      <c r="N156" s="118"/>
      <c r="O156" s="118"/>
      <c r="P156" s="118"/>
      <c r="Q156" s="118"/>
    </row>
    <row r="157" spans="6:18" x14ac:dyDescent="0.25">
      <c r="F157" s="118"/>
      <c r="G157" s="118"/>
      <c r="H157" s="118"/>
      <c r="I157" s="219"/>
      <c r="J157" s="118"/>
      <c r="K157" s="118"/>
      <c r="L157" s="118"/>
      <c r="M157" s="118"/>
      <c r="N157" s="118"/>
      <c r="O157" s="118"/>
      <c r="P157" s="118"/>
      <c r="Q157" s="118"/>
    </row>
    <row r="158" spans="6:18" x14ac:dyDescent="0.25">
      <c r="F158" s="118"/>
      <c r="G158" s="118"/>
      <c r="H158" s="118"/>
      <c r="I158" s="219"/>
      <c r="J158" s="118"/>
      <c r="K158" s="118"/>
      <c r="L158" s="118"/>
      <c r="M158" s="118"/>
      <c r="N158" s="118"/>
      <c r="O158" s="118"/>
      <c r="P158" s="118"/>
      <c r="Q158" s="118"/>
    </row>
    <row r="159" spans="6:18" x14ac:dyDescent="0.25">
      <c r="F159" s="118"/>
      <c r="G159" s="118"/>
      <c r="H159" s="118"/>
      <c r="I159" s="219"/>
      <c r="J159" s="118"/>
      <c r="K159" s="118"/>
      <c r="L159" s="118"/>
      <c r="M159" s="118"/>
      <c r="N159" s="118"/>
      <c r="O159" s="118"/>
      <c r="P159" s="118"/>
    </row>
    <row r="160" spans="6:18" x14ac:dyDescent="0.25">
      <c r="F160" s="118"/>
      <c r="G160" s="118"/>
      <c r="H160" s="118"/>
      <c r="I160" s="219"/>
      <c r="J160" s="118"/>
      <c r="K160" s="118"/>
      <c r="L160" s="118"/>
      <c r="M160" s="118"/>
      <c r="N160" s="118"/>
      <c r="O160" s="118"/>
      <c r="P160" s="118"/>
      <c r="Q160" s="235"/>
      <c r="R160" s="235"/>
    </row>
    <row r="161" spans="2:18" x14ac:dyDescent="0.25">
      <c r="F161" s="118"/>
      <c r="G161" s="118"/>
      <c r="H161" s="118"/>
      <c r="I161" s="219"/>
      <c r="J161" s="118"/>
      <c r="K161" s="118"/>
      <c r="L161" s="118"/>
      <c r="M161" s="118"/>
      <c r="N161" s="118"/>
      <c r="O161" s="118"/>
      <c r="P161" s="118"/>
      <c r="Q161" s="236"/>
      <c r="R161" s="236"/>
    </row>
    <row r="162" spans="2:18" x14ac:dyDescent="0.25">
      <c r="F162" s="118"/>
      <c r="G162" s="118"/>
      <c r="H162" s="118"/>
      <c r="I162" s="118"/>
      <c r="J162" s="118"/>
      <c r="K162" s="118"/>
      <c r="L162" s="118"/>
      <c r="M162" s="118"/>
      <c r="N162" s="118"/>
      <c r="O162" s="118"/>
      <c r="P162" s="118"/>
      <c r="Q162" s="236"/>
      <c r="R162" s="236"/>
    </row>
    <row r="163" spans="2:18" x14ac:dyDescent="0.25">
      <c r="F163" s="118"/>
      <c r="G163" s="118"/>
      <c r="H163" s="118"/>
      <c r="I163" s="118"/>
      <c r="J163" s="118"/>
      <c r="K163" s="118"/>
      <c r="L163" s="118"/>
      <c r="M163" s="118"/>
      <c r="N163" s="118"/>
      <c r="O163" s="118"/>
      <c r="P163" s="118"/>
      <c r="Q163" s="118"/>
      <c r="R163" s="118"/>
    </row>
    <row r="164" spans="2:18" x14ac:dyDescent="0.25">
      <c r="F164" s="118"/>
      <c r="G164" s="118"/>
      <c r="Q164" s="118"/>
      <c r="R164" s="118"/>
    </row>
    <row r="165" spans="2:18" x14ac:dyDescent="0.25">
      <c r="E165" s="100"/>
      <c r="G165" s="124"/>
      <c r="H165" s="242"/>
      <c r="I165" s="242"/>
      <c r="J165" s="235"/>
      <c r="K165" s="235"/>
      <c r="L165" s="235"/>
      <c r="M165" s="235"/>
      <c r="N165" s="235"/>
      <c r="O165" s="235"/>
      <c r="P165" s="235"/>
      <c r="Q165" s="118"/>
      <c r="R165" s="118"/>
    </row>
    <row r="166" spans="2:18" x14ac:dyDescent="0.25">
      <c r="B166" s="274"/>
      <c r="C166" s="274"/>
      <c r="D166" s="274"/>
      <c r="E166" s="274"/>
      <c r="F166" s="242"/>
      <c r="G166" s="242"/>
      <c r="H166" s="236"/>
      <c r="I166" s="236"/>
      <c r="J166" s="236"/>
      <c r="K166" s="236"/>
      <c r="L166" s="236"/>
      <c r="M166" s="236"/>
      <c r="N166" s="236"/>
      <c r="O166" s="236"/>
      <c r="P166" s="236"/>
      <c r="Q166" s="118"/>
      <c r="R166" s="118"/>
    </row>
    <row r="167" spans="2:18" x14ac:dyDescent="0.25">
      <c r="B167" s="236"/>
      <c r="C167" s="236"/>
      <c r="D167" s="236"/>
      <c r="E167" s="236"/>
      <c r="F167" s="236"/>
      <c r="G167" s="236"/>
      <c r="H167" s="236"/>
      <c r="I167" s="236"/>
      <c r="J167" s="236"/>
      <c r="K167" s="236"/>
      <c r="L167" s="236"/>
      <c r="M167" s="236"/>
      <c r="N167" s="236"/>
      <c r="O167" s="236"/>
      <c r="P167" s="236"/>
      <c r="Q167" s="118"/>
      <c r="R167" s="118"/>
    </row>
    <row r="168" spans="2:18" x14ac:dyDescent="0.25">
      <c r="B168" s="238"/>
      <c r="C168" s="236"/>
      <c r="D168" s="236"/>
      <c r="E168" s="236"/>
      <c r="F168" s="236"/>
      <c r="G168" s="236"/>
      <c r="H168" s="118"/>
      <c r="I168" s="118"/>
      <c r="J168" s="219"/>
      <c r="K168" s="118"/>
      <c r="L168" s="118"/>
      <c r="M168" s="118"/>
      <c r="N168" s="118"/>
      <c r="O168" s="118"/>
      <c r="P168" s="118"/>
      <c r="Q168" s="118"/>
      <c r="R168" s="118"/>
    </row>
    <row r="169" spans="2:18" x14ac:dyDescent="0.25">
      <c r="F169" s="219"/>
      <c r="G169" s="118"/>
      <c r="H169" s="118"/>
      <c r="I169" s="118"/>
      <c r="J169" s="219"/>
      <c r="K169" s="118"/>
      <c r="L169" s="118"/>
      <c r="M169" s="118"/>
      <c r="N169" s="118"/>
      <c r="O169" s="118"/>
      <c r="P169" s="118"/>
      <c r="Q169" s="118"/>
      <c r="R169" s="118"/>
    </row>
    <row r="170" spans="2:18" x14ac:dyDescent="0.25">
      <c r="F170" s="219"/>
      <c r="G170" s="118"/>
      <c r="H170" s="118"/>
      <c r="I170" s="118"/>
      <c r="J170" s="219"/>
      <c r="K170" s="118"/>
      <c r="L170" s="118"/>
      <c r="M170" s="118"/>
      <c r="N170" s="118"/>
      <c r="O170" s="118"/>
      <c r="P170" s="118"/>
      <c r="Q170" s="118"/>
      <c r="R170" s="118"/>
    </row>
    <row r="171" spans="2:18" x14ac:dyDescent="0.25">
      <c r="C171" s="216"/>
      <c r="F171" s="219"/>
      <c r="G171" s="118"/>
      <c r="H171" s="118"/>
      <c r="I171" s="118"/>
      <c r="J171" s="219"/>
      <c r="K171" s="118"/>
      <c r="L171" s="118"/>
      <c r="M171" s="118"/>
      <c r="N171" s="118"/>
      <c r="O171" s="118"/>
      <c r="P171" s="118"/>
      <c r="Q171" s="118"/>
      <c r="R171" s="118"/>
    </row>
    <row r="172" spans="2:18" x14ac:dyDescent="0.25">
      <c r="C172" s="216"/>
      <c r="F172" s="219"/>
      <c r="G172" s="118"/>
      <c r="H172" s="118"/>
      <c r="I172" s="118"/>
      <c r="J172" s="219"/>
      <c r="K172" s="118"/>
      <c r="L172" s="118"/>
      <c r="M172" s="118"/>
      <c r="N172" s="118"/>
      <c r="O172" s="118"/>
      <c r="P172" s="118"/>
      <c r="Q172" s="118"/>
      <c r="R172" s="118"/>
    </row>
    <row r="173" spans="2:18" x14ac:dyDescent="0.25">
      <c r="C173" s="216"/>
      <c r="F173" s="219"/>
      <c r="G173" s="118"/>
      <c r="H173" s="118"/>
      <c r="I173" s="118"/>
      <c r="J173" s="219"/>
      <c r="K173" s="118"/>
      <c r="L173" s="118"/>
      <c r="M173" s="118"/>
      <c r="N173" s="118"/>
      <c r="O173" s="118"/>
      <c r="P173" s="118"/>
      <c r="Q173" s="118"/>
      <c r="R173" s="118"/>
    </row>
    <row r="174" spans="2:18" x14ac:dyDescent="0.25">
      <c r="C174" s="216"/>
      <c r="F174" s="219"/>
      <c r="G174" s="118"/>
      <c r="H174" s="118"/>
      <c r="I174" s="118"/>
      <c r="J174" s="219"/>
      <c r="K174" s="118"/>
      <c r="L174" s="118"/>
      <c r="M174" s="118"/>
      <c r="N174" s="118"/>
      <c r="O174" s="118"/>
      <c r="P174" s="118"/>
      <c r="Q174" s="118"/>
      <c r="R174" s="118"/>
    </row>
    <row r="175" spans="2:18" x14ac:dyDescent="0.25">
      <c r="C175" s="216"/>
      <c r="F175" s="219"/>
      <c r="G175" s="118"/>
      <c r="H175" s="118"/>
      <c r="I175" s="118"/>
      <c r="J175" s="219"/>
      <c r="K175" s="118"/>
      <c r="L175" s="118"/>
      <c r="M175" s="118"/>
      <c r="N175" s="118"/>
      <c r="O175" s="118"/>
      <c r="P175" s="118"/>
      <c r="Q175" s="118"/>
      <c r="R175" s="118"/>
    </row>
    <row r="176" spans="2:18" x14ac:dyDescent="0.25">
      <c r="C176" s="216"/>
      <c r="F176" s="219"/>
      <c r="G176" s="118"/>
      <c r="H176" s="118"/>
      <c r="I176" s="118"/>
      <c r="J176" s="219"/>
      <c r="K176" s="118"/>
      <c r="L176" s="118"/>
      <c r="M176" s="118"/>
      <c r="N176" s="118"/>
      <c r="O176" s="118"/>
      <c r="P176" s="118"/>
      <c r="Q176" s="118"/>
      <c r="R176" s="118"/>
    </row>
    <row r="177" spans="3:18" x14ac:dyDescent="0.25">
      <c r="C177" s="216"/>
      <c r="F177" s="219"/>
      <c r="G177" s="118"/>
      <c r="H177" s="118"/>
      <c r="I177" s="118"/>
      <c r="J177" s="219"/>
      <c r="K177" s="118"/>
      <c r="L177" s="118"/>
      <c r="M177" s="118"/>
      <c r="N177" s="118"/>
      <c r="O177" s="118"/>
      <c r="P177" s="118"/>
      <c r="Q177" s="118"/>
      <c r="R177" s="118"/>
    </row>
    <row r="178" spans="3:18" x14ac:dyDescent="0.25">
      <c r="C178" s="216"/>
      <c r="F178" s="219"/>
      <c r="G178" s="118"/>
      <c r="H178" s="118"/>
      <c r="I178" s="118"/>
      <c r="J178" s="118"/>
      <c r="K178" s="118"/>
      <c r="L178" s="118"/>
      <c r="M178" s="118"/>
      <c r="N178" s="118"/>
      <c r="O178" s="118"/>
      <c r="P178" s="118"/>
      <c r="Q178" s="118"/>
      <c r="R178" s="118"/>
    </row>
    <row r="179" spans="3:18" x14ac:dyDescent="0.25">
      <c r="C179" s="216"/>
      <c r="F179" s="219"/>
      <c r="G179" s="118"/>
      <c r="H179" s="118"/>
      <c r="I179" s="118"/>
      <c r="J179" s="219"/>
      <c r="K179" s="118"/>
      <c r="L179" s="118"/>
      <c r="M179" s="118"/>
      <c r="N179" s="118"/>
      <c r="O179" s="118"/>
      <c r="P179" s="118"/>
      <c r="Q179" s="118"/>
      <c r="R179" s="118"/>
    </row>
    <row r="180" spans="3:18" x14ac:dyDescent="0.25">
      <c r="F180" s="219"/>
      <c r="G180" s="118"/>
      <c r="H180" s="118"/>
      <c r="I180" s="118"/>
      <c r="J180" s="219"/>
      <c r="K180" s="118"/>
      <c r="L180" s="118"/>
      <c r="M180" s="118"/>
      <c r="N180" s="118"/>
      <c r="O180" s="118"/>
      <c r="P180" s="118"/>
      <c r="Q180" s="118"/>
      <c r="R180" s="118"/>
    </row>
    <row r="181" spans="3:18" x14ac:dyDescent="0.25">
      <c r="F181" s="219"/>
      <c r="G181" s="118"/>
      <c r="H181" s="118"/>
      <c r="I181" s="118"/>
      <c r="J181" s="219"/>
      <c r="K181" s="118"/>
      <c r="L181" s="118"/>
      <c r="M181" s="118"/>
      <c r="N181" s="118"/>
      <c r="O181" s="118"/>
      <c r="P181" s="118"/>
      <c r="Q181" s="118"/>
      <c r="R181" s="118"/>
    </row>
    <row r="182" spans="3:18" x14ac:dyDescent="0.25">
      <c r="F182" s="219"/>
      <c r="G182" s="118"/>
      <c r="H182" s="118"/>
      <c r="I182" s="118"/>
      <c r="J182" s="219"/>
      <c r="K182" s="118"/>
      <c r="L182" s="118"/>
      <c r="M182" s="118"/>
      <c r="N182" s="118"/>
      <c r="O182" s="118"/>
      <c r="P182" s="118"/>
      <c r="Q182" s="118"/>
      <c r="R182" s="118"/>
    </row>
    <row r="183" spans="3:18" x14ac:dyDescent="0.25">
      <c r="F183" s="219"/>
      <c r="G183" s="118"/>
      <c r="H183" s="118"/>
      <c r="I183" s="118"/>
      <c r="J183" s="219"/>
      <c r="K183" s="118"/>
      <c r="L183" s="118"/>
      <c r="M183" s="118"/>
      <c r="N183" s="118"/>
      <c r="O183" s="118"/>
      <c r="P183" s="118"/>
      <c r="Q183" s="118"/>
      <c r="R183" s="118"/>
    </row>
    <row r="184" spans="3:18" x14ac:dyDescent="0.25">
      <c r="F184" s="219"/>
      <c r="G184" s="118"/>
      <c r="H184" s="118"/>
      <c r="I184" s="118"/>
      <c r="J184" s="219"/>
      <c r="K184" s="118"/>
      <c r="L184" s="118"/>
      <c r="M184" s="118"/>
      <c r="N184" s="118"/>
      <c r="O184" s="118"/>
      <c r="P184" s="118"/>
      <c r="Q184" s="118"/>
      <c r="R184" s="118"/>
    </row>
    <row r="185" spans="3:18" x14ac:dyDescent="0.25">
      <c r="F185" s="219"/>
      <c r="G185" s="118"/>
      <c r="H185" s="118"/>
      <c r="I185" s="118"/>
      <c r="J185" s="219"/>
      <c r="K185" s="118"/>
      <c r="L185" s="118"/>
      <c r="M185" s="118"/>
      <c r="N185" s="118"/>
      <c r="O185" s="118"/>
      <c r="P185" s="118"/>
      <c r="Q185" s="118"/>
      <c r="R185" s="118"/>
    </row>
    <row r="186" spans="3:18" x14ac:dyDescent="0.25">
      <c r="F186" s="219"/>
      <c r="G186" s="118"/>
      <c r="H186" s="118"/>
      <c r="I186" s="118"/>
      <c r="J186" s="219"/>
      <c r="K186" s="118"/>
      <c r="L186" s="118"/>
      <c r="M186" s="118"/>
      <c r="N186" s="118"/>
      <c r="O186" s="118"/>
      <c r="P186" s="118"/>
      <c r="Q186" s="118"/>
      <c r="R186" s="118"/>
    </row>
    <row r="187" spans="3:18" x14ac:dyDescent="0.25">
      <c r="F187" s="219"/>
      <c r="G187" s="118"/>
      <c r="H187" s="118"/>
      <c r="I187" s="118"/>
      <c r="J187" s="219"/>
      <c r="K187" s="118"/>
      <c r="L187" s="118"/>
      <c r="M187" s="118"/>
      <c r="N187" s="118"/>
      <c r="O187" s="118"/>
      <c r="P187" s="118"/>
      <c r="Q187" s="118"/>
      <c r="R187" s="118"/>
    </row>
    <row r="188" spans="3:18" x14ac:dyDescent="0.25">
      <c r="F188" s="219"/>
      <c r="G188" s="118"/>
      <c r="H188" s="118"/>
      <c r="I188" s="118"/>
      <c r="J188" s="219"/>
      <c r="K188" s="118"/>
      <c r="L188" s="118"/>
      <c r="M188" s="118"/>
      <c r="N188" s="118"/>
      <c r="O188" s="118"/>
      <c r="P188" s="118"/>
      <c r="Q188" s="118"/>
      <c r="R188" s="118"/>
    </row>
    <row r="189" spans="3:18" x14ac:dyDescent="0.25">
      <c r="F189" s="219"/>
      <c r="G189" s="118"/>
      <c r="H189" s="118"/>
      <c r="I189" s="118"/>
      <c r="J189" s="118"/>
      <c r="K189" s="118"/>
      <c r="L189" s="118"/>
      <c r="M189" s="118"/>
      <c r="N189" s="118"/>
      <c r="O189" s="118"/>
      <c r="P189" s="118"/>
      <c r="Q189" s="118"/>
      <c r="R189" s="118"/>
    </row>
    <row r="190" spans="3:18" x14ac:dyDescent="0.25">
      <c r="F190" s="219"/>
      <c r="G190" s="118"/>
      <c r="H190" s="118"/>
      <c r="I190" s="118"/>
      <c r="J190" s="219"/>
      <c r="K190" s="118"/>
      <c r="L190" s="118"/>
      <c r="M190" s="118"/>
      <c r="N190" s="118"/>
      <c r="O190" s="118"/>
      <c r="P190" s="118"/>
      <c r="Q190" s="118"/>
      <c r="R190" s="118"/>
    </row>
    <row r="191" spans="3:18" x14ac:dyDescent="0.25">
      <c r="F191" s="219"/>
      <c r="G191" s="118"/>
      <c r="H191" s="118"/>
      <c r="I191" s="118"/>
      <c r="J191" s="219"/>
      <c r="K191" s="118"/>
      <c r="L191" s="118"/>
      <c r="M191" s="118"/>
      <c r="N191" s="118"/>
      <c r="O191" s="118"/>
      <c r="P191" s="118"/>
      <c r="Q191" s="118"/>
      <c r="R191" s="118"/>
    </row>
    <row r="192" spans="3:18" x14ac:dyDescent="0.25">
      <c r="F192" s="219"/>
      <c r="G192" s="118"/>
      <c r="H192" s="118"/>
      <c r="I192" s="118"/>
      <c r="J192" s="219"/>
      <c r="K192" s="118"/>
      <c r="L192" s="118"/>
      <c r="M192" s="118"/>
      <c r="N192" s="118"/>
      <c r="O192" s="118"/>
      <c r="P192" s="118"/>
      <c r="Q192" s="118"/>
      <c r="R192" s="118"/>
    </row>
    <row r="193" spans="6:18" x14ac:dyDescent="0.25">
      <c r="F193" s="219"/>
      <c r="G193" s="118"/>
      <c r="H193" s="118"/>
      <c r="I193" s="118"/>
      <c r="J193" s="219"/>
      <c r="K193" s="118"/>
      <c r="L193" s="118"/>
      <c r="M193" s="118"/>
      <c r="N193" s="118"/>
      <c r="O193" s="118"/>
      <c r="P193" s="118"/>
      <c r="Q193" s="118"/>
      <c r="R193" s="118"/>
    </row>
    <row r="194" spans="6:18" x14ac:dyDescent="0.25">
      <c r="F194" s="118"/>
      <c r="G194" s="219"/>
      <c r="H194" s="219"/>
      <c r="I194" s="118"/>
      <c r="J194" s="118"/>
      <c r="K194" s="118"/>
      <c r="L194" s="118"/>
      <c r="M194" s="118"/>
      <c r="N194" s="118"/>
      <c r="O194" s="118"/>
      <c r="P194" s="118"/>
      <c r="Q194" s="118"/>
      <c r="R194" s="118"/>
    </row>
    <row r="195" spans="6:18" x14ac:dyDescent="0.25">
      <c r="F195" s="118"/>
      <c r="G195" s="219"/>
      <c r="H195" s="219"/>
      <c r="I195" s="118"/>
      <c r="J195" s="118"/>
      <c r="K195" s="118"/>
      <c r="L195" s="118"/>
      <c r="M195" s="118"/>
      <c r="N195" s="118"/>
      <c r="O195" s="118"/>
      <c r="P195" s="118"/>
      <c r="Q195" s="118"/>
      <c r="R195" s="118"/>
    </row>
    <row r="196" spans="6:18" x14ac:dyDescent="0.25">
      <c r="F196" s="118"/>
      <c r="G196" s="219"/>
      <c r="H196" s="219"/>
      <c r="I196" s="118"/>
      <c r="J196" s="118"/>
      <c r="K196" s="118"/>
      <c r="L196" s="118"/>
      <c r="M196" s="118"/>
      <c r="N196" s="118"/>
      <c r="O196" s="118"/>
      <c r="P196" s="118"/>
      <c r="Q196" s="118"/>
      <c r="R196" s="118"/>
    </row>
    <row r="197" spans="6:18" x14ac:dyDescent="0.25">
      <c r="F197" s="118"/>
      <c r="G197" s="219"/>
      <c r="H197" s="219"/>
      <c r="I197" s="118"/>
      <c r="J197" s="118"/>
      <c r="K197" s="118"/>
      <c r="L197" s="118"/>
      <c r="M197" s="118"/>
      <c r="N197" s="118"/>
      <c r="O197" s="118"/>
      <c r="P197" s="118"/>
      <c r="Q197" s="118"/>
      <c r="R197" s="118"/>
    </row>
    <row r="198" spans="6:18" x14ac:dyDescent="0.25">
      <c r="F198" s="118"/>
      <c r="G198" s="219"/>
      <c r="H198" s="219"/>
      <c r="I198" s="118"/>
      <c r="J198" s="118"/>
      <c r="K198" s="118"/>
      <c r="L198" s="118"/>
      <c r="M198" s="118"/>
      <c r="N198" s="118"/>
      <c r="O198" s="118"/>
      <c r="P198" s="118"/>
      <c r="Q198" s="118"/>
      <c r="R198" s="118"/>
    </row>
    <row r="199" spans="6:18" x14ac:dyDescent="0.25">
      <c r="F199" s="118"/>
      <c r="G199" s="219"/>
      <c r="H199" s="219"/>
      <c r="I199" s="118"/>
      <c r="J199" s="118"/>
      <c r="K199" s="118"/>
      <c r="L199" s="118"/>
      <c r="M199" s="118"/>
      <c r="N199" s="118"/>
      <c r="O199" s="118"/>
      <c r="P199" s="118"/>
      <c r="Q199" s="118"/>
      <c r="R199" s="118"/>
    </row>
    <row r="200" spans="6:18" x14ac:dyDescent="0.25">
      <c r="F200" s="118"/>
      <c r="G200" s="219"/>
      <c r="H200" s="219"/>
      <c r="I200" s="118"/>
      <c r="J200" s="118"/>
      <c r="K200" s="118"/>
      <c r="L200" s="118"/>
      <c r="M200" s="118"/>
      <c r="N200" s="118"/>
      <c r="O200" s="118"/>
      <c r="P200" s="118"/>
      <c r="Q200" s="118"/>
      <c r="R200" s="118"/>
    </row>
    <row r="201" spans="6:18" x14ac:dyDescent="0.25">
      <c r="F201" s="118"/>
      <c r="G201" s="219"/>
      <c r="H201" s="219"/>
      <c r="I201" s="118"/>
      <c r="J201" s="118"/>
      <c r="K201" s="118"/>
      <c r="L201" s="118"/>
      <c r="M201" s="118"/>
      <c r="N201" s="118"/>
      <c r="O201" s="118"/>
      <c r="P201" s="118"/>
      <c r="Q201" s="118"/>
      <c r="R201" s="118"/>
    </row>
    <row r="202" spans="6:18" x14ac:dyDescent="0.25">
      <c r="F202" s="234"/>
      <c r="G202" s="219"/>
      <c r="H202" s="219"/>
      <c r="I202" s="118"/>
      <c r="J202" s="118"/>
      <c r="K202" s="118"/>
      <c r="L202" s="118"/>
      <c r="M202" s="118"/>
      <c r="N202" s="118"/>
      <c r="O202" s="118"/>
      <c r="P202" s="118"/>
      <c r="Q202" s="118"/>
      <c r="R202" s="118"/>
    </row>
    <row r="203" spans="6:18" x14ac:dyDescent="0.25">
      <c r="F203" s="118"/>
      <c r="G203" s="219"/>
      <c r="H203" s="219"/>
      <c r="I203" s="118"/>
      <c r="J203" s="118"/>
      <c r="K203" s="118"/>
      <c r="L203" s="118"/>
      <c r="M203" s="118"/>
      <c r="N203" s="118"/>
      <c r="O203" s="118"/>
      <c r="P203" s="118"/>
      <c r="Q203" s="118"/>
      <c r="R203" s="118"/>
    </row>
    <row r="204" spans="6:18" x14ac:dyDescent="0.25">
      <c r="F204" s="118"/>
      <c r="G204" s="219"/>
      <c r="H204" s="219"/>
      <c r="I204" s="118"/>
      <c r="J204" s="118"/>
      <c r="K204" s="118"/>
      <c r="L204" s="118"/>
      <c r="M204" s="118"/>
      <c r="N204" s="118"/>
      <c r="O204" s="118"/>
      <c r="P204" s="118"/>
      <c r="Q204" s="118"/>
      <c r="R204" s="118"/>
    </row>
    <row r="205" spans="6:18" x14ac:dyDescent="0.25">
      <c r="F205" s="118"/>
      <c r="G205" s="219"/>
      <c r="H205" s="219"/>
      <c r="I205" s="118"/>
      <c r="J205" s="118"/>
      <c r="K205" s="118"/>
      <c r="L205" s="118"/>
      <c r="M205" s="118"/>
      <c r="N205" s="118"/>
      <c r="O205" s="118"/>
      <c r="P205" s="118"/>
      <c r="Q205" s="118"/>
      <c r="R205" s="118"/>
    </row>
    <row r="206" spans="6:18" x14ac:dyDescent="0.25">
      <c r="F206" s="118"/>
      <c r="G206" s="219"/>
      <c r="H206" s="219"/>
      <c r="I206" s="118"/>
      <c r="J206" s="118"/>
      <c r="K206" s="118"/>
      <c r="L206" s="118"/>
      <c r="M206" s="118"/>
      <c r="N206" s="118"/>
      <c r="O206" s="118"/>
      <c r="P206" s="118"/>
      <c r="Q206" s="118"/>
      <c r="R206" s="118"/>
    </row>
    <row r="207" spans="6:18" x14ac:dyDescent="0.25">
      <c r="F207" s="118"/>
      <c r="G207" s="219"/>
      <c r="H207" s="219"/>
      <c r="I207" s="118"/>
      <c r="J207" s="118"/>
      <c r="K207" s="118"/>
      <c r="L207" s="118"/>
      <c r="M207" s="118"/>
      <c r="N207" s="118"/>
      <c r="O207" s="118"/>
      <c r="P207" s="118"/>
      <c r="Q207" s="118"/>
      <c r="R207" s="118"/>
    </row>
    <row r="208" spans="6:18" x14ac:dyDescent="0.25">
      <c r="F208" s="118"/>
      <c r="G208" s="219"/>
      <c r="H208" s="219"/>
      <c r="I208" s="118"/>
      <c r="J208" s="118"/>
      <c r="K208" s="118"/>
      <c r="L208" s="118"/>
      <c r="M208" s="118"/>
      <c r="N208" s="118"/>
      <c r="O208" s="118"/>
      <c r="P208" s="118"/>
      <c r="Q208" s="118"/>
      <c r="R208" s="118"/>
    </row>
    <row r="209" spans="6:18" x14ac:dyDescent="0.25">
      <c r="F209" s="118"/>
      <c r="G209" s="219"/>
      <c r="H209" s="219"/>
      <c r="I209" s="118"/>
      <c r="J209" s="118"/>
      <c r="K209" s="118"/>
      <c r="L209" s="118"/>
      <c r="M209" s="118"/>
      <c r="N209" s="118"/>
      <c r="O209" s="118"/>
      <c r="P209" s="118"/>
      <c r="Q209" s="118"/>
      <c r="R209" s="118"/>
    </row>
    <row r="210" spans="6:18" x14ac:dyDescent="0.25">
      <c r="F210" s="118"/>
      <c r="G210" s="219"/>
      <c r="H210" s="219"/>
      <c r="I210" s="118"/>
      <c r="J210" s="118"/>
      <c r="K210" s="118"/>
      <c r="L210" s="118"/>
      <c r="M210" s="118"/>
      <c r="N210" s="118"/>
      <c r="O210" s="118"/>
      <c r="P210" s="118"/>
      <c r="Q210" s="118"/>
      <c r="R210" s="118"/>
    </row>
    <row r="211" spans="6:18" x14ac:dyDescent="0.25">
      <c r="F211" s="118"/>
      <c r="G211" s="219"/>
      <c r="H211" s="219"/>
      <c r="I211" s="118"/>
      <c r="J211" s="118"/>
      <c r="K211" s="118"/>
      <c r="L211" s="118"/>
      <c r="M211" s="118"/>
      <c r="N211" s="118"/>
      <c r="O211" s="118"/>
      <c r="P211" s="118"/>
      <c r="Q211" s="118"/>
      <c r="R211" s="118"/>
    </row>
    <row r="212" spans="6:18" x14ac:dyDescent="0.25">
      <c r="F212" s="118"/>
      <c r="G212" s="219"/>
      <c r="H212" s="219"/>
      <c r="I212" s="118"/>
      <c r="J212" s="118"/>
      <c r="K212" s="118"/>
      <c r="L212" s="118"/>
      <c r="M212" s="118"/>
      <c r="N212" s="118"/>
      <c r="O212" s="118"/>
      <c r="P212" s="118"/>
      <c r="Q212" s="118"/>
      <c r="R212" s="118"/>
    </row>
    <row r="213" spans="6:18" x14ac:dyDescent="0.25">
      <c r="F213" s="118"/>
      <c r="G213" s="219"/>
      <c r="H213" s="219"/>
      <c r="I213" s="118"/>
      <c r="J213" s="118"/>
      <c r="K213" s="118"/>
      <c r="L213" s="118"/>
      <c r="M213" s="118"/>
      <c r="N213" s="118"/>
      <c r="O213" s="118"/>
      <c r="P213" s="118"/>
      <c r="Q213" s="118"/>
      <c r="R213" s="118"/>
    </row>
    <row r="214" spans="6:18" x14ac:dyDescent="0.25">
      <c r="F214" s="118"/>
      <c r="G214" s="219"/>
      <c r="H214" s="219"/>
      <c r="I214" s="118"/>
      <c r="J214" s="118"/>
      <c r="K214" s="118"/>
      <c r="L214" s="118"/>
      <c r="M214" s="118"/>
      <c r="N214" s="118"/>
      <c r="O214" s="118"/>
      <c r="P214" s="118"/>
      <c r="Q214" s="118"/>
      <c r="R214" s="118"/>
    </row>
    <row r="215" spans="6:18" x14ac:dyDescent="0.25">
      <c r="F215" s="118"/>
      <c r="G215" s="219"/>
      <c r="H215" s="219"/>
      <c r="I215" s="118"/>
      <c r="J215" s="118"/>
      <c r="K215" s="118"/>
      <c r="L215" s="118"/>
      <c r="M215" s="118"/>
      <c r="N215" s="118"/>
      <c r="O215" s="118"/>
      <c r="P215" s="118"/>
    </row>
    <row r="216" spans="6:18" x14ac:dyDescent="0.25">
      <c r="F216" s="118"/>
      <c r="G216" s="219"/>
      <c r="H216" s="219"/>
      <c r="I216" s="118"/>
      <c r="J216" s="118"/>
      <c r="K216" s="118"/>
      <c r="L216" s="118"/>
      <c r="M216" s="118"/>
      <c r="N216" s="118"/>
      <c r="O216" s="118"/>
      <c r="P216" s="118"/>
    </row>
    <row r="217" spans="6:18" x14ac:dyDescent="0.25">
      <c r="F217" s="118"/>
      <c r="G217" s="219"/>
      <c r="H217" s="219"/>
      <c r="I217" s="118"/>
      <c r="J217" s="118"/>
      <c r="K217" s="118"/>
      <c r="L217" s="118"/>
      <c r="M217" s="118"/>
      <c r="N217" s="118"/>
      <c r="O217" s="118"/>
      <c r="P217" s="118"/>
    </row>
    <row r="218" spans="6:18" x14ac:dyDescent="0.25">
      <c r="F218" s="118"/>
      <c r="G218" s="219"/>
      <c r="H218" s="219"/>
      <c r="I218" s="118"/>
      <c r="J218" s="118"/>
      <c r="K218" s="118"/>
      <c r="L218" s="118"/>
      <c r="M218" s="118"/>
      <c r="N218" s="118"/>
      <c r="O218" s="118"/>
      <c r="P218" s="118"/>
    </row>
    <row r="219" spans="6:18" x14ac:dyDescent="0.25">
      <c r="F219" s="118"/>
      <c r="G219" s="219"/>
      <c r="H219" s="219"/>
      <c r="I219" s="118"/>
      <c r="J219" s="118"/>
      <c r="K219" s="118"/>
      <c r="L219" s="118"/>
      <c r="M219" s="118"/>
      <c r="N219" s="118"/>
      <c r="O219" s="118"/>
      <c r="P219" s="118"/>
    </row>
    <row r="220" spans="6:18" x14ac:dyDescent="0.25">
      <c r="F220" s="118"/>
      <c r="G220" s="219"/>
      <c r="H220" s="219"/>
      <c r="I220" s="118"/>
    </row>
  </sheetData>
  <pageMargins left="0.7" right="0.7" top="0.75" bottom="0.75" header="0.3" footer="0.3"/>
  <pageSetup orientation="portrait" horizontalDpi="4294967292" r:id="rId1"/>
  <headerFooter alignWithMargins="0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27"/>
  <sheetViews>
    <sheetView zoomScale="70" zoomScaleNormal="70" workbookViewId="0">
      <selection sqref="A1:XFD1048576"/>
    </sheetView>
  </sheetViews>
  <sheetFormatPr defaultRowHeight="13.2" x14ac:dyDescent="0.25"/>
  <cols>
    <col min="1" max="1" width="6.44140625" style="216" customWidth="1"/>
    <col min="2" max="2" width="8.88671875" style="216"/>
    <col min="3" max="3" width="18.33203125" style="216" customWidth="1"/>
    <col min="4" max="4" width="18.88671875" style="216" bestFit="1" customWidth="1"/>
    <col min="5" max="5" width="28.33203125" style="216" customWidth="1"/>
    <col min="6" max="6" width="27.33203125" style="216" customWidth="1"/>
    <col min="7" max="7" width="19.109375" style="216" bestFit="1" customWidth="1"/>
    <col min="8" max="8" width="25" style="216" customWidth="1"/>
    <col min="9" max="9" width="26" style="216" bestFit="1" customWidth="1"/>
    <col min="10" max="10" width="26" style="216" customWidth="1"/>
    <col min="11" max="11" width="14.109375" style="216" customWidth="1"/>
    <col min="12" max="12" width="26" style="216" customWidth="1"/>
    <col min="13" max="13" width="13.109375" style="216" bestFit="1" customWidth="1"/>
    <col min="14" max="15" width="8.88671875" style="216"/>
    <col min="16" max="16" width="18.88671875" style="216" bestFit="1" customWidth="1"/>
    <col min="17" max="17" width="24.33203125" style="216" bestFit="1" customWidth="1"/>
    <col min="18" max="18" width="12.109375" style="216" bestFit="1" customWidth="1"/>
    <col min="19" max="19" width="14" style="216" bestFit="1" customWidth="1"/>
    <col min="20" max="20" width="33.88671875" style="216" bestFit="1" customWidth="1"/>
    <col min="21" max="23" width="8.88671875" style="216"/>
    <col min="24" max="25" width="24.33203125" style="216" bestFit="1" customWidth="1"/>
    <col min="26" max="16384" width="8.88671875" style="216"/>
  </cols>
  <sheetData>
    <row r="1" spans="1:25" s="99" customFormat="1" ht="17.399999999999999" x14ac:dyDescent="0.3">
      <c r="A1" s="121"/>
      <c r="B1" s="121"/>
      <c r="C1" s="121" t="s">
        <v>470</v>
      </c>
      <c r="D1" s="121"/>
      <c r="E1" s="121"/>
      <c r="F1" s="121"/>
      <c r="G1" s="121"/>
      <c r="H1" s="121"/>
      <c r="I1" s="121"/>
      <c r="J1" s="121"/>
      <c r="K1" s="121"/>
      <c r="L1" s="121"/>
    </row>
    <row r="3" spans="1:25" ht="13.8" x14ac:dyDescent="0.25">
      <c r="A3" s="99"/>
      <c r="B3" s="99"/>
      <c r="C3" s="108" t="s">
        <v>276</v>
      </c>
      <c r="D3" s="99"/>
      <c r="E3" s="99"/>
      <c r="G3" s="99"/>
      <c r="H3" s="99"/>
    </row>
    <row r="4" spans="1:25" ht="13.8" x14ac:dyDescent="0.25">
      <c r="A4" s="99"/>
      <c r="B4" s="99"/>
      <c r="C4" s="99"/>
      <c r="D4" s="99"/>
      <c r="E4" s="99"/>
      <c r="F4" s="108" t="s">
        <v>15</v>
      </c>
      <c r="G4" s="108"/>
      <c r="H4" s="99"/>
    </row>
    <row r="5" spans="1:25" ht="13.8" x14ac:dyDescent="0.25">
      <c r="A5" s="99"/>
      <c r="B5" s="99"/>
      <c r="C5" s="130" t="s">
        <v>33</v>
      </c>
      <c r="D5" s="217" t="s">
        <v>278</v>
      </c>
      <c r="E5" s="217" t="s">
        <v>284</v>
      </c>
      <c r="F5" s="217" t="s">
        <v>0</v>
      </c>
      <c r="G5" s="217" t="s">
        <v>279</v>
      </c>
      <c r="H5" s="218" t="str">
        <f>BASE_YEAR</f>
        <v>2017</v>
      </c>
    </row>
    <row r="6" spans="1:25" ht="20.25" customHeight="1" thickBot="1" x14ac:dyDescent="0.3">
      <c r="A6" s="99"/>
      <c r="B6" s="99"/>
      <c r="C6" s="135" t="s">
        <v>150</v>
      </c>
      <c r="D6" s="135" t="s">
        <v>152</v>
      </c>
      <c r="E6" s="135"/>
      <c r="F6" s="135" t="s">
        <v>280</v>
      </c>
      <c r="G6" s="135" t="s">
        <v>281</v>
      </c>
      <c r="H6" s="136" t="s">
        <v>282</v>
      </c>
    </row>
    <row r="7" spans="1:25" ht="14.4" thickBot="1" x14ac:dyDescent="0.3">
      <c r="A7" s="99"/>
      <c r="B7" s="99"/>
      <c r="C7" s="135" t="s">
        <v>152</v>
      </c>
      <c r="D7" s="135" t="s">
        <v>48</v>
      </c>
      <c r="E7" s="135"/>
      <c r="F7" s="135"/>
      <c r="G7" s="135"/>
      <c r="H7" s="136" t="s">
        <v>327</v>
      </c>
    </row>
    <row r="8" spans="1:25" ht="13.8" x14ac:dyDescent="0.25">
      <c r="A8" s="99"/>
      <c r="B8" s="99"/>
      <c r="C8" s="99"/>
      <c r="D8" s="99" t="s">
        <v>277</v>
      </c>
      <c r="E8" s="99" t="str">
        <f>Commodities!Z22</f>
        <v>Non-Energy Demand</v>
      </c>
      <c r="F8" s="99" t="str">
        <f>Commodities!Y22</f>
        <v>INDNED</v>
      </c>
      <c r="G8" s="99" t="str">
        <f>General!$B$2</f>
        <v>PJ</v>
      </c>
      <c r="H8" s="219">
        <f>L27</f>
        <v>39.7746</v>
      </c>
    </row>
    <row r="10" spans="1:25" ht="13.8" x14ac:dyDescent="0.25">
      <c r="N10" s="109" t="s">
        <v>149</v>
      </c>
      <c r="O10" s="109"/>
      <c r="P10" s="99"/>
      <c r="Q10" s="99"/>
      <c r="R10" s="99"/>
      <c r="S10" s="99"/>
      <c r="T10" s="99"/>
      <c r="U10" s="99"/>
      <c r="V10" s="99"/>
      <c r="W10" s="99"/>
      <c r="X10" s="99"/>
      <c r="Y10" s="99"/>
    </row>
    <row r="11" spans="1:25" ht="13.8" x14ac:dyDescent="0.25"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</row>
    <row r="12" spans="1:25" ht="13.8" x14ac:dyDescent="0.25">
      <c r="S12" s="111"/>
      <c r="T12" s="111"/>
      <c r="U12" s="111"/>
      <c r="V12" s="111"/>
      <c r="W12" s="99"/>
      <c r="X12" s="99"/>
      <c r="Y12" s="99"/>
    </row>
    <row r="13" spans="1:25" ht="13.8" x14ac:dyDescent="0.25">
      <c r="S13" s="111"/>
      <c r="T13" s="111"/>
      <c r="U13" s="111"/>
      <c r="V13" s="111"/>
      <c r="W13" s="99"/>
      <c r="X13" s="99"/>
      <c r="Y13" s="99"/>
    </row>
    <row r="14" spans="1:25" ht="13.8" x14ac:dyDescent="0.25">
      <c r="C14" s="99"/>
      <c r="D14" s="99"/>
      <c r="E14" s="99"/>
      <c r="F14" s="99"/>
      <c r="G14" s="126" t="s">
        <v>15</v>
      </c>
      <c r="H14" s="127"/>
      <c r="I14" s="99"/>
      <c r="J14" s="99"/>
      <c r="N14" s="110" t="s">
        <v>18</v>
      </c>
      <c r="O14" s="110"/>
      <c r="P14" s="111"/>
      <c r="Q14" s="111"/>
      <c r="R14" s="111"/>
      <c r="S14" s="111"/>
      <c r="T14" s="111"/>
      <c r="U14" s="111"/>
      <c r="V14" s="111"/>
      <c r="W14" s="99"/>
      <c r="X14" s="99"/>
      <c r="Y14" s="99"/>
    </row>
    <row r="15" spans="1:25" ht="29.25" customHeight="1" x14ac:dyDescent="0.25">
      <c r="C15" s="130" t="s">
        <v>33</v>
      </c>
      <c r="D15" s="130" t="s">
        <v>1</v>
      </c>
      <c r="E15" s="131" t="s">
        <v>41</v>
      </c>
      <c r="F15" s="130" t="s">
        <v>7</v>
      </c>
      <c r="G15" s="132" t="s">
        <v>8</v>
      </c>
      <c r="H15" s="133" t="s">
        <v>285</v>
      </c>
      <c r="I15" s="133" t="s">
        <v>287</v>
      </c>
      <c r="J15" s="133" t="s">
        <v>359</v>
      </c>
      <c r="L15" s="220" t="s">
        <v>475</v>
      </c>
      <c r="N15" s="113" t="s">
        <v>13</v>
      </c>
      <c r="O15" s="113" t="s">
        <v>33</v>
      </c>
      <c r="P15" s="113" t="s">
        <v>1</v>
      </c>
      <c r="Q15" s="113" t="s">
        <v>2</v>
      </c>
      <c r="R15" s="113" t="s">
        <v>19</v>
      </c>
      <c r="S15" s="113" t="s">
        <v>20</v>
      </c>
      <c r="T15" s="113" t="s">
        <v>21</v>
      </c>
      <c r="U15" s="113" t="s">
        <v>22</v>
      </c>
      <c r="V15" s="113" t="s">
        <v>23</v>
      </c>
      <c r="W15" s="99"/>
      <c r="X15" s="113" t="s">
        <v>51</v>
      </c>
      <c r="Y15" s="99"/>
    </row>
    <row r="16" spans="1:25" ht="24" customHeight="1" thickBot="1" x14ac:dyDescent="0.3">
      <c r="C16" s="135" t="s">
        <v>150</v>
      </c>
      <c r="D16" s="136" t="s">
        <v>24</v>
      </c>
      <c r="E16" s="136" t="s">
        <v>25</v>
      </c>
      <c r="F16" s="136" t="s">
        <v>35</v>
      </c>
      <c r="G16" s="137" t="s">
        <v>36</v>
      </c>
      <c r="H16" s="136" t="s">
        <v>286</v>
      </c>
      <c r="I16" s="136" t="s">
        <v>471</v>
      </c>
      <c r="J16" s="136" t="s">
        <v>359</v>
      </c>
      <c r="L16" s="136"/>
      <c r="N16" s="139" t="s">
        <v>43</v>
      </c>
      <c r="O16" s="139" t="s">
        <v>34</v>
      </c>
      <c r="P16" s="139" t="s">
        <v>24</v>
      </c>
      <c r="Q16" s="139" t="s">
        <v>25</v>
      </c>
      <c r="R16" s="139" t="s">
        <v>26</v>
      </c>
      <c r="S16" s="139" t="s">
        <v>27</v>
      </c>
      <c r="T16" s="139" t="s">
        <v>47</v>
      </c>
      <c r="U16" s="139" t="s">
        <v>46</v>
      </c>
      <c r="V16" s="139" t="s">
        <v>28</v>
      </c>
      <c r="W16" s="99"/>
      <c r="X16" s="139" t="s">
        <v>25</v>
      </c>
      <c r="Y16" s="99"/>
    </row>
    <row r="17" spans="3:25" ht="13.8" x14ac:dyDescent="0.25">
      <c r="C17" s="221" t="s">
        <v>152</v>
      </c>
      <c r="D17" s="221"/>
      <c r="E17" s="203"/>
      <c r="F17" s="203" t="s">
        <v>48</v>
      </c>
      <c r="G17" s="204"/>
      <c r="H17" s="203" t="s">
        <v>436</v>
      </c>
      <c r="I17" s="203"/>
      <c r="J17" s="138"/>
      <c r="L17" s="141" t="str">
        <f>General!B2</f>
        <v>PJ</v>
      </c>
      <c r="N17" s="99" t="s">
        <v>289</v>
      </c>
      <c r="O17" s="99"/>
      <c r="P17" s="99" t="s">
        <v>611</v>
      </c>
      <c r="Q17" s="99" t="str">
        <f>X17</f>
        <v>Non Energy Use</v>
      </c>
      <c r="R17" s="99" t="str">
        <f>General!$B$2</f>
        <v>PJ</v>
      </c>
      <c r="S17" s="99" t="str">
        <f>General!$C$5</f>
        <v>PJa</v>
      </c>
      <c r="T17" s="99"/>
      <c r="U17" s="99"/>
      <c r="V17" s="99"/>
      <c r="W17" s="99"/>
      <c r="X17" s="99" t="s">
        <v>474</v>
      </c>
      <c r="Y17" s="99"/>
    </row>
    <row r="18" spans="3:25" ht="13.8" x14ac:dyDescent="0.25">
      <c r="C18" s="104"/>
      <c r="D18" s="104" t="str">
        <f>$P$17</f>
        <v>INDNED_E00</v>
      </c>
      <c r="E18" s="104" t="str">
        <f>$Q$17</f>
        <v>Non Energy Use</v>
      </c>
      <c r="F18" s="104" t="str">
        <f>Commodities!$D$10</f>
        <v>COABCO</v>
      </c>
      <c r="G18" s="104"/>
      <c r="H18" s="222">
        <f>H8*3</f>
        <v>119.32380000000001</v>
      </c>
      <c r="I18" s="219">
        <f>L18/$L$27</f>
        <v>0</v>
      </c>
      <c r="J18" s="223"/>
      <c r="L18" s="219">
        <f>'En.Bal-Final_Energy'!M11/1000*41.868</f>
        <v>0</v>
      </c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</row>
    <row r="19" spans="3:25" ht="13.8" x14ac:dyDescent="0.25">
      <c r="C19" s="104"/>
      <c r="D19" s="104"/>
      <c r="E19" s="104"/>
      <c r="F19" s="104" t="str">
        <f>Commodities!$D$21</f>
        <v>OILLPG</v>
      </c>
      <c r="G19" s="104"/>
      <c r="H19" s="222"/>
      <c r="I19" s="219">
        <f t="shared" ref="I19:I26" si="0">L19/$L$27</f>
        <v>0</v>
      </c>
      <c r="J19" s="223"/>
      <c r="L19" s="219">
        <f>'En.Bal-Final_Energy'!X11/1000*41.868</f>
        <v>0</v>
      </c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</row>
    <row r="20" spans="3:25" ht="13.8" x14ac:dyDescent="0.25">
      <c r="C20" s="104"/>
      <c r="D20" s="104"/>
      <c r="E20" s="224"/>
      <c r="F20" s="104" t="str">
        <f>Commodities!$D$25</f>
        <v>OILNAP</v>
      </c>
      <c r="G20" s="104"/>
      <c r="H20" s="222"/>
      <c r="I20" s="219">
        <f t="shared" si="0"/>
        <v>0</v>
      </c>
      <c r="J20" s="223"/>
      <c r="L20" s="219">
        <f>'En.Bal-Final_Energy'!AD11/1000*41.868</f>
        <v>0</v>
      </c>
      <c r="Y20" s="99"/>
    </row>
    <row r="21" spans="3:25" ht="13.8" x14ac:dyDescent="0.25">
      <c r="C21" s="104"/>
      <c r="D21" s="104"/>
      <c r="E21" s="224"/>
      <c r="F21" s="104" t="str">
        <f>Commodities!$D$96</f>
        <v>OILWHTSP</v>
      </c>
      <c r="G21" s="104"/>
      <c r="H21" s="222"/>
      <c r="I21" s="219">
        <f t="shared" si="0"/>
        <v>0</v>
      </c>
      <c r="J21" s="223"/>
      <c r="L21" s="219">
        <f>'En.Bal-Final_Energy'!AG11/1000*41.868</f>
        <v>0</v>
      </c>
      <c r="Y21" s="99"/>
    </row>
    <row r="22" spans="3:25" ht="13.8" x14ac:dyDescent="0.25">
      <c r="C22" s="104"/>
      <c r="D22" s="104"/>
      <c r="E22" s="224"/>
      <c r="F22" s="104" t="str">
        <f>Commodities!$D$28</f>
        <v>OILLUB</v>
      </c>
      <c r="G22" s="104"/>
      <c r="H22" s="222"/>
      <c r="I22" s="219">
        <f t="shared" si="0"/>
        <v>0</v>
      </c>
      <c r="J22" s="223"/>
      <c r="L22" s="219">
        <f>'En.Bal-Final_Energy'!AH11/1000*41.868</f>
        <v>0</v>
      </c>
      <c r="Y22" s="99"/>
    </row>
    <row r="23" spans="3:25" ht="13.8" x14ac:dyDescent="0.25">
      <c r="C23" s="104"/>
      <c r="D23" s="224"/>
      <c r="E23" s="224"/>
      <c r="F23" s="104" t="str">
        <f>Commodities!$D$27</f>
        <v>OILBIT</v>
      </c>
      <c r="G23" s="224"/>
      <c r="H23" s="222"/>
      <c r="I23" s="219">
        <f t="shared" si="0"/>
        <v>0</v>
      </c>
      <c r="J23" s="223"/>
      <c r="L23" s="219">
        <f>'En.Bal-Final_Energy'!AI11/1000*41.868</f>
        <v>0</v>
      </c>
    </row>
    <row r="24" spans="3:25" ht="13.8" x14ac:dyDescent="0.25">
      <c r="C24" s="104"/>
      <c r="D24" s="224"/>
      <c r="E24" s="224"/>
      <c r="F24" s="104" t="str">
        <f>Commodities!$D$26</f>
        <v>OILPCK</v>
      </c>
      <c r="G24" s="224"/>
      <c r="H24" s="222"/>
      <c r="I24" s="219">
        <f t="shared" si="0"/>
        <v>0</v>
      </c>
      <c r="J24" s="223"/>
      <c r="L24" s="219">
        <f>'En.Bal-Final_Energy'!AJ11/1000*41.868</f>
        <v>0</v>
      </c>
    </row>
    <row r="25" spans="3:25" ht="13.8" x14ac:dyDescent="0.25">
      <c r="C25" s="104"/>
      <c r="D25" s="224"/>
      <c r="E25" s="224"/>
      <c r="F25" s="104" t="str">
        <f>Commodities!$D$29</f>
        <v>OILOTH</v>
      </c>
      <c r="G25" s="224"/>
      <c r="H25" s="222"/>
      <c r="I25" s="219">
        <f t="shared" si="0"/>
        <v>1</v>
      </c>
      <c r="J25" s="223"/>
      <c r="L25" s="219">
        <f>'En.Bal-Final_Energy'!AL11/1000*41.868</f>
        <v>39.7746</v>
      </c>
    </row>
    <row r="26" spans="3:25" ht="13.8" x14ac:dyDescent="0.25">
      <c r="C26" s="104"/>
      <c r="D26" s="224"/>
      <c r="E26" s="224"/>
      <c r="F26" s="104" t="str">
        <f>Commodities!$D$82</f>
        <v>GASNAT_LP</v>
      </c>
      <c r="G26" s="224"/>
      <c r="H26" s="222"/>
      <c r="I26" s="219">
        <f t="shared" si="0"/>
        <v>0</v>
      </c>
      <c r="J26" s="223"/>
      <c r="K26" s="225"/>
      <c r="L26" s="226">
        <f>'En.Bal-Final_Energy'!AN11/1000*41.868</f>
        <v>0</v>
      </c>
    </row>
    <row r="27" spans="3:25" ht="13.8" x14ac:dyDescent="0.25">
      <c r="C27" s="149"/>
      <c r="D27" s="225"/>
      <c r="E27" s="225"/>
      <c r="F27" s="149"/>
      <c r="G27" s="225" t="str">
        <f>Commodities!$Y$22</f>
        <v>INDNED</v>
      </c>
      <c r="H27" s="227"/>
      <c r="I27" s="226"/>
      <c r="J27" s="226">
        <v>1</v>
      </c>
      <c r="K27" s="224"/>
      <c r="L27" s="228">
        <f>SUM(L18:L26)</f>
        <v>39.7746</v>
      </c>
    </row>
  </sheetData>
  <pageMargins left="0.7" right="0.7" top="0.75" bottom="0.75" header="0.3" footer="0.3"/>
  <pageSetup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N319"/>
  <sheetViews>
    <sheetView zoomScale="55" zoomScaleNormal="55" workbookViewId="0">
      <selection sqref="A1:XFD1048576"/>
    </sheetView>
  </sheetViews>
  <sheetFormatPr defaultColWidth="9.109375" defaultRowHeight="13.8" x14ac:dyDescent="0.25"/>
  <cols>
    <col min="1" max="1" width="5.88671875" style="157" customWidth="1"/>
    <col min="2" max="2" width="15.5546875" style="157" customWidth="1"/>
    <col min="3" max="3" width="22.6640625" style="157" bestFit="1" customWidth="1"/>
    <col min="4" max="4" width="36.88671875" style="157" customWidth="1"/>
    <col min="5" max="6" width="37.88671875" style="157" customWidth="1"/>
    <col min="7" max="7" width="16.6640625" style="157" customWidth="1"/>
    <col min="8" max="9" width="21.109375" style="157" bestFit="1" customWidth="1"/>
    <col min="10" max="10" width="24.33203125" style="157" bestFit="1" customWidth="1"/>
    <col min="11" max="11" width="27.109375" style="157" bestFit="1" customWidth="1"/>
    <col min="12" max="12" width="25.88671875" style="157" bestFit="1" customWidth="1"/>
    <col min="13" max="13" width="23.44140625" style="157" bestFit="1" customWidth="1"/>
    <col min="14" max="14" width="31.33203125" style="157" bestFit="1" customWidth="1"/>
    <col min="15" max="15" width="16.88671875" style="157" customWidth="1"/>
    <col min="16" max="17" width="24.33203125" style="157" customWidth="1"/>
    <col min="18" max="18" width="34.109375" style="157" bestFit="1" customWidth="1"/>
    <col min="19" max="19" width="11.109375" style="157" customWidth="1"/>
    <col min="20" max="20" width="28.109375" style="157" customWidth="1"/>
    <col min="21" max="21" width="28.109375" style="157" hidden="1" customWidth="1"/>
    <col min="22" max="22" width="11.6640625" style="157" customWidth="1"/>
    <col min="23" max="23" width="24.88671875" style="157" customWidth="1"/>
    <col min="24" max="24" width="13" style="157" bestFit="1" customWidth="1"/>
    <col min="25" max="25" width="31" style="157" customWidth="1"/>
    <col min="26" max="26" width="42.6640625" style="157" customWidth="1"/>
    <col min="27" max="27" width="11.44140625" style="157" bestFit="1" customWidth="1"/>
    <col min="28" max="28" width="12.44140625" style="157" bestFit="1" customWidth="1"/>
    <col min="29" max="29" width="9.6640625" style="157" bestFit="1" customWidth="1"/>
    <col min="30" max="30" width="13" style="157" bestFit="1" customWidth="1"/>
    <col min="31" max="31" width="18.6640625" style="157" bestFit="1" customWidth="1"/>
    <col min="32" max="35" width="13.109375" style="157" bestFit="1" customWidth="1"/>
    <col min="36" max="39" width="9.109375" style="157"/>
    <col min="40" max="16384" width="9.109375" style="156"/>
  </cols>
  <sheetData>
    <row r="1" spans="1:39" ht="17.399999999999999" x14ac:dyDescent="0.3">
      <c r="A1" s="121"/>
      <c r="B1" s="121" t="s">
        <v>477</v>
      </c>
      <c r="C1" s="121"/>
      <c r="D1" s="121"/>
      <c r="E1" s="121"/>
      <c r="F1" s="121"/>
      <c r="G1" s="121"/>
      <c r="H1" s="121"/>
      <c r="I1" s="121"/>
      <c r="J1" s="121"/>
      <c r="K1" s="121"/>
      <c r="L1" s="156"/>
      <c r="M1" s="156"/>
      <c r="N1" s="156"/>
      <c r="O1" s="156"/>
      <c r="P1" s="156"/>
      <c r="Q1" s="156"/>
      <c r="R1" s="156"/>
      <c r="S1" s="156"/>
      <c r="T1" s="156"/>
      <c r="V1" s="156"/>
      <c r="W1" s="156"/>
      <c r="X1" s="156"/>
      <c r="Y1" s="156"/>
      <c r="Z1" s="156"/>
      <c r="AA1" s="156"/>
      <c r="AB1" s="156"/>
      <c r="AC1" s="156"/>
      <c r="AD1" s="156"/>
      <c r="AE1" s="156"/>
      <c r="AF1" s="156"/>
      <c r="AG1" s="156"/>
      <c r="AH1" s="156"/>
      <c r="AI1" s="156"/>
      <c r="AJ1" s="156"/>
      <c r="AK1" s="156"/>
      <c r="AL1" s="156"/>
      <c r="AM1" s="156"/>
    </row>
    <row r="2" spans="1:39" x14ac:dyDescent="0.25">
      <c r="A2" s="156"/>
      <c r="B2" s="156"/>
      <c r="C2" s="156"/>
      <c r="D2" s="156"/>
      <c r="E2" s="156"/>
      <c r="F2" s="156"/>
      <c r="G2" s="156"/>
      <c r="H2" s="156"/>
      <c r="I2" s="156"/>
      <c r="J2" s="156"/>
      <c r="K2" s="156"/>
      <c r="N2" s="158"/>
      <c r="O2" s="158"/>
      <c r="S2" s="156"/>
      <c r="T2" s="156"/>
      <c r="Y2" s="158"/>
      <c r="AM2" s="156"/>
    </row>
    <row r="3" spans="1:39" x14ac:dyDescent="0.25">
      <c r="A3" s="156"/>
      <c r="B3" s="156"/>
      <c r="C3" s="159"/>
      <c r="D3" s="159"/>
      <c r="E3" s="159"/>
      <c r="F3" s="159"/>
      <c r="G3" s="159"/>
      <c r="H3" s="159"/>
      <c r="I3" s="159"/>
      <c r="J3" s="160" t="s">
        <v>831</v>
      </c>
      <c r="K3" s="161"/>
      <c r="L3" s="161"/>
      <c r="M3" s="162"/>
      <c r="N3" s="162"/>
      <c r="O3" s="162"/>
      <c r="P3" s="163"/>
      <c r="Q3" s="163"/>
      <c r="R3" s="162"/>
      <c r="S3" s="156"/>
      <c r="V3" s="156"/>
      <c r="W3" s="109" t="s">
        <v>149</v>
      </c>
      <c r="X3" s="109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6"/>
      <c r="AL3" s="156"/>
      <c r="AM3" s="156"/>
    </row>
    <row r="4" spans="1:39" x14ac:dyDescent="0.25">
      <c r="A4" s="156"/>
      <c r="B4" s="159"/>
      <c r="C4" s="164"/>
      <c r="D4" s="156"/>
      <c r="E4" s="158"/>
      <c r="F4" s="158"/>
      <c r="G4" s="158"/>
      <c r="H4" s="158"/>
      <c r="I4" s="158"/>
      <c r="J4" s="156"/>
      <c r="K4" s="161"/>
      <c r="L4" s="161"/>
      <c r="M4" s="162"/>
      <c r="N4" s="162"/>
      <c r="O4" s="162"/>
      <c r="P4" s="163"/>
      <c r="Q4" s="163"/>
      <c r="R4" s="162"/>
      <c r="S4" s="156"/>
      <c r="V4" s="156"/>
      <c r="W4" s="156"/>
      <c r="X4" s="156"/>
      <c r="Y4" s="156"/>
      <c r="Z4" s="156"/>
      <c r="AA4" s="156"/>
      <c r="AB4" s="156"/>
      <c r="AC4" s="156"/>
      <c r="AD4" s="156"/>
      <c r="AE4" s="156"/>
      <c r="AF4" s="156"/>
      <c r="AG4" s="156"/>
      <c r="AH4" s="156"/>
      <c r="AI4" s="156"/>
      <c r="AJ4" s="156"/>
      <c r="AK4" s="156"/>
      <c r="AL4" s="156"/>
      <c r="AM4" s="156"/>
    </row>
    <row r="5" spans="1:39" x14ac:dyDescent="0.25">
      <c r="G5" s="126" t="s">
        <v>15</v>
      </c>
      <c r="H5" s="128"/>
      <c r="I5" s="128"/>
      <c r="J5" s="165"/>
      <c r="K5" s="128"/>
      <c r="L5" s="128"/>
      <c r="M5" s="129"/>
      <c r="S5" s="156"/>
      <c r="V5" s="156"/>
      <c r="W5" s="156"/>
      <c r="X5" s="156"/>
      <c r="Y5" s="156"/>
      <c r="Z5" s="156"/>
      <c r="AA5" s="166"/>
      <c r="AB5" s="166"/>
      <c r="AC5" s="166"/>
      <c r="AD5" s="166"/>
      <c r="AE5" s="166"/>
      <c r="AF5" s="156"/>
      <c r="AG5" s="156"/>
      <c r="AH5" s="156"/>
      <c r="AI5" s="156"/>
      <c r="AJ5" s="156"/>
      <c r="AK5" s="156"/>
      <c r="AL5" s="156"/>
      <c r="AM5" s="156"/>
    </row>
    <row r="6" spans="1:39" x14ac:dyDescent="0.25">
      <c r="B6" s="156"/>
      <c r="C6" s="156"/>
      <c r="D6" s="156"/>
      <c r="E6" s="156"/>
      <c r="F6" s="156"/>
      <c r="H6" s="127"/>
      <c r="I6" s="127"/>
      <c r="J6" s="165"/>
      <c r="K6" s="127"/>
      <c r="L6" s="127"/>
      <c r="M6" s="127"/>
      <c r="N6" s="129"/>
      <c r="O6" s="156"/>
      <c r="P6" s="156"/>
      <c r="Q6" s="156"/>
      <c r="R6" s="156"/>
      <c r="V6" s="156"/>
      <c r="X6" s="156"/>
      <c r="Y6" s="156"/>
      <c r="Z6" s="156"/>
      <c r="AA6" s="166"/>
      <c r="AB6" s="166"/>
      <c r="AC6" s="166"/>
      <c r="AD6" s="166"/>
      <c r="AE6" s="166"/>
      <c r="AF6" s="156"/>
      <c r="AG6" s="156"/>
      <c r="AH6" s="156"/>
      <c r="AI6" s="156"/>
      <c r="AJ6" s="156"/>
      <c r="AK6" s="156"/>
      <c r="AL6" s="156"/>
      <c r="AM6" s="156"/>
    </row>
    <row r="7" spans="1:39" x14ac:dyDescent="0.25">
      <c r="B7" s="130" t="s">
        <v>33</v>
      </c>
      <c r="C7" s="130" t="s">
        <v>1</v>
      </c>
      <c r="D7" s="131" t="s">
        <v>41</v>
      </c>
      <c r="E7" s="130" t="s">
        <v>7</v>
      </c>
      <c r="F7" s="130" t="s">
        <v>832</v>
      </c>
      <c r="G7" s="132" t="s">
        <v>8</v>
      </c>
      <c r="H7" s="133" t="s">
        <v>17</v>
      </c>
      <c r="I7" s="167" t="s">
        <v>287</v>
      </c>
      <c r="J7" s="133" t="s">
        <v>302</v>
      </c>
      <c r="K7" s="133" t="s">
        <v>285</v>
      </c>
      <c r="L7" s="133" t="s">
        <v>299</v>
      </c>
      <c r="M7" s="133" t="s">
        <v>833</v>
      </c>
      <c r="N7" s="133" t="s">
        <v>6</v>
      </c>
      <c r="O7" s="133" t="s">
        <v>148</v>
      </c>
      <c r="P7" s="133" t="s">
        <v>426</v>
      </c>
      <c r="Q7" s="167" t="s">
        <v>827</v>
      </c>
      <c r="R7" s="133" t="s">
        <v>300</v>
      </c>
      <c r="V7" s="156"/>
      <c r="W7" s="168" t="s">
        <v>18</v>
      </c>
      <c r="X7" s="168"/>
      <c r="Y7" s="166"/>
      <c r="Z7" s="166"/>
      <c r="AA7" s="166"/>
      <c r="AB7" s="166"/>
      <c r="AC7" s="166"/>
      <c r="AD7" s="166"/>
      <c r="AE7" s="166"/>
      <c r="AF7" s="156"/>
      <c r="AG7" s="156"/>
      <c r="AH7" s="156"/>
      <c r="AI7" s="156"/>
      <c r="AJ7" s="156"/>
      <c r="AK7" s="156"/>
      <c r="AL7" s="156"/>
      <c r="AM7" s="156"/>
    </row>
    <row r="8" spans="1:39" ht="21" customHeight="1" thickBot="1" x14ac:dyDescent="0.3">
      <c r="B8" s="135" t="s">
        <v>150</v>
      </c>
      <c r="C8" s="136" t="s">
        <v>24</v>
      </c>
      <c r="D8" s="136" t="s">
        <v>25</v>
      </c>
      <c r="E8" s="136" t="s">
        <v>35</v>
      </c>
      <c r="F8" s="136"/>
      <c r="G8" s="137" t="s">
        <v>36</v>
      </c>
      <c r="H8" s="136" t="s">
        <v>37</v>
      </c>
      <c r="I8" s="169"/>
      <c r="J8" s="136"/>
      <c r="K8" s="136" t="s">
        <v>286</v>
      </c>
      <c r="L8" s="136" t="s">
        <v>465</v>
      </c>
      <c r="M8" s="136"/>
      <c r="N8" s="136" t="s">
        <v>39</v>
      </c>
      <c r="O8" s="136" t="s">
        <v>151</v>
      </c>
      <c r="P8" s="136" t="s">
        <v>448</v>
      </c>
      <c r="Q8" s="169" t="s">
        <v>828</v>
      </c>
      <c r="R8" s="169" t="s">
        <v>301</v>
      </c>
      <c r="S8" s="170"/>
      <c r="T8" s="170"/>
      <c r="U8" s="170"/>
      <c r="V8" s="156"/>
      <c r="W8" s="171" t="s">
        <v>13</v>
      </c>
      <c r="X8" s="171" t="s">
        <v>33</v>
      </c>
      <c r="Y8" s="171" t="s">
        <v>1</v>
      </c>
      <c r="Z8" s="171" t="s">
        <v>2</v>
      </c>
      <c r="AA8" s="171" t="s">
        <v>19</v>
      </c>
      <c r="AB8" s="171" t="s">
        <v>20</v>
      </c>
      <c r="AC8" s="171" t="s">
        <v>21</v>
      </c>
      <c r="AD8" s="171" t="s">
        <v>22</v>
      </c>
      <c r="AE8" s="171" t="s">
        <v>23</v>
      </c>
      <c r="AF8" s="156"/>
      <c r="AG8" s="156"/>
      <c r="AH8" s="156"/>
      <c r="AI8" s="156"/>
      <c r="AJ8" s="156"/>
      <c r="AK8" s="156"/>
      <c r="AL8" s="156"/>
      <c r="AM8" s="156"/>
    </row>
    <row r="9" spans="1:39" ht="29.25" customHeight="1" thickBot="1" x14ac:dyDescent="0.3">
      <c r="B9" s="140" t="s">
        <v>152</v>
      </c>
      <c r="C9" s="140"/>
      <c r="D9" s="141"/>
      <c r="E9" s="141" t="s">
        <v>48</v>
      </c>
      <c r="F9" s="141"/>
      <c r="G9" s="172"/>
      <c r="H9" s="141" t="s">
        <v>330</v>
      </c>
      <c r="I9" s="173"/>
      <c r="J9" s="141"/>
      <c r="K9" s="141" t="s">
        <v>328</v>
      </c>
      <c r="L9" s="141" t="s">
        <v>330</v>
      </c>
      <c r="M9" s="141"/>
      <c r="N9" s="141" t="s">
        <v>324</v>
      </c>
      <c r="O9" s="141" t="s">
        <v>294</v>
      </c>
      <c r="P9" s="141" t="s">
        <v>330</v>
      </c>
      <c r="Q9" s="173"/>
      <c r="R9" s="141"/>
      <c r="S9" s="138"/>
      <c r="T9" s="174" t="s">
        <v>478</v>
      </c>
      <c r="U9" s="138"/>
      <c r="V9" s="156"/>
      <c r="W9" s="139" t="s">
        <v>43</v>
      </c>
      <c r="X9" s="139" t="s">
        <v>34</v>
      </c>
      <c r="Y9" s="139" t="s">
        <v>24</v>
      </c>
      <c r="Z9" s="139" t="s">
        <v>25</v>
      </c>
      <c r="AA9" s="139" t="s">
        <v>26</v>
      </c>
      <c r="AB9" s="139" t="s">
        <v>27</v>
      </c>
      <c r="AC9" s="139" t="s">
        <v>47</v>
      </c>
      <c r="AD9" s="139" t="s">
        <v>46</v>
      </c>
      <c r="AE9" s="139" t="s">
        <v>28</v>
      </c>
      <c r="AF9" s="156"/>
      <c r="AG9" s="156"/>
      <c r="AH9" s="156"/>
      <c r="AI9" s="156"/>
      <c r="AJ9" s="156"/>
      <c r="AK9" s="156"/>
      <c r="AL9" s="156"/>
      <c r="AM9" s="156"/>
    </row>
    <row r="10" spans="1:39" ht="12.75" customHeight="1" x14ac:dyDescent="0.25">
      <c r="B10" s="175"/>
      <c r="C10" s="175" t="str">
        <f>Y10</f>
        <v>INDCHPAUT_00</v>
      </c>
      <c r="D10" s="175" t="str">
        <f>Z10</f>
        <v>CHP Autoproducers</v>
      </c>
      <c r="E10" s="175"/>
      <c r="F10" s="175"/>
      <c r="G10" s="176"/>
      <c r="H10" s="177">
        <v>0.32</v>
      </c>
      <c r="I10" s="177"/>
      <c r="J10" s="178">
        <f>31.536</f>
        <v>31.536000000000001</v>
      </c>
      <c r="K10" s="179">
        <v>0</v>
      </c>
      <c r="L10" s="177">
        <v>0.72</v>
      </c>
      <c r="M10" s="180">
        <v>10</v>
      </c>
      <c r="N10" s="180"/>
      <c r="O10" s="180">
        <v>35</v>
      </c>
      <c r="P10" s="177"/>
      <c r="Q10" s="178">
        <v>0.2</v>
      </c>
      <c r="R10" s="177">
        <v>2</v>
      </c>
      <c r="S10" s="138"/>
      <c r="U10" s="138"/>
      <c r="V10" s="156"/>
      <c r="W10" s="156" t="s">
        <v>152</v>
      </c>
      <c r="X10" s="156"/>
      <c r="Y10" s="156" t="s">
        <v>460</v>
      </c>
      <c r="Z10" s="156" t="s">
        <v>461</v>
      </c>
      <c r="AA10" s="156" t="str">
        <f>General!$B$2</f>
        <v>PJ</v>
      </c>
      <c r="AB10" s="156" t="str">
        <f>General!$B$5</f>
        <v>GW</v>
      </c>
      <c r="AC10" s="156" t="s">
        <v>126</v>
      </c>
      <c r="AD10" s="156"/>
      <c r="AE10" s="156" t="s">
        <v>297</v>
      </c>
      <c r="AF10" s="156"/>
      <c r="AG10" s="156"/>
      <c r="AH10" s="156"/>
      <c r="AI10" s="156"/>
      <c r="AJ10" s="156"/>
      <c r="AK10" s="156"/>
      <c r="AL10" s="156"/>
      <c r="AM10" s="156"/>
    </row>
    <row r="11" spans="1:39" ht="12.75" customHeight="1" x14ac:dyDescent="0.25">
      <c r="E11" s="157" t="str">
        <f>Commodities!$D$47</f>
        <v>INDCOASUB</v>
      </c>
      <c r="G11" s="181"/>
      <c r="H11" s="182"/>
      <c r="I11" s="182"/>
      <c r="J11" s="183"/>
      <c r="K11" s="184"/>
      <c r="L11" s="182"/>
      <c r="M11" s="185"/>
      <c r="N11" s="185"/>
      <c r="O11" s="185"/>
      <c r="P11" s="182">
        <v>0.6</v>
      </c>
      <c r="Q11" s="183"/>
      <c r="R11" s="182"/>
      <c r="S11" s="138"/>
      <c r="T11" s="138">
        <v>1.1000000000000001</v>
      </c>
      <c r="U11" s="138"/>
      <c r="V11" s="156"/>
      <c r="W11" s="156" t="s">
        <v>152</v>
      </c>
      <c r="X11" s="156"/>
      <c r="Y11" s="156" t="s">
        <v>829</v>
      </c>
      <c r="Z11" s="156" t="s">
        <v>830</v>
      </c>
      <c r="AA11" s="156" t="s">
        <v>327</v>
      </c>
      <c r="AB11" s="156" t="s">
        <v>328</v>
      </c>
      <c r="AC11" s="156" t="s">
        <v>126</v>
      </c>
      <c r="AD11" s="156"/>
      <c r="AE11" s="156" t="s">
        <v>297</v>
      </c>
      <c r="AF11" s="156"/>
      <c r="AG11" s="156"/>
      <c r="AH11" s="156"/>
      <c r="AI11" s="156"/>
      <c r="AJ11" s="156"/>
      <c r="AK11" s="156"/>
      <c r="AL11" s="156"/>
      <c r="AM11" s="156"/>
    </row>
    <row r="12" spans="1:39" x14ac:dyDescent="0.25">
      <c r="E12" s="157" t="str">
        <f>Commodities!D51</f>
        <v>INDCOABKB</v>
      </c>
      <c r="G12" s="181"/>
      <c r="H12" s="182"/>
      <c r="I12" s="182"/>
      <c r="J12" s="183"/>
      <c r="K12" s="186"/>
      <c r="L12" s="187"/>
      <c r="M12" s="185"/>
      <c r="N12" s="185"/>
      <c r="O12" s="185"/>
      <c r="P12" s="182">
        <v>0</v>
      </c>
      <c r="Q12" s="187"/>
      <c r="R12" s="187"/>
      <c r="S12" s="138"/>
      <c r="T12" s="138">
        <f>T11</f>
        <v>1.1000000000000001</v>
      </c>
      <c r="U12" s="183" t="s">
        <v>420</v>
      </c>
      <c r="V12" s="156"/>
      <c r="W12" s="156" t="s">
        <v>289</v>
      </c>
      <c r="X12" s="156"/>
      <c r="Y12" s="156" t="s">
        <v>462</v>
      </c>
      <c r="Z12" s="156" t="s">
        <v>463</v>
      </c>
      <c r="AA12" s="156" t="str">
        <f>AA10</f>
        <v>PJ</v>
      </c>
      <c r="AB12" s="156" t="str">
        <f>General!C5</f>
        <v>PJa</v>
      </c>
      <c r="AC12" s="156" t="s">
        <v>479</v>
      </c>
      <c r="AD12" s="156"/>
      <c r="AE12" s="156" t="s">
        <v>297</v>
      </c>
      <c r="AG12" s="156"/>
      <c r="AH12" s="156"/>
      <c r="AI12" s="156"/>
      <c r="AJ12" s="156"/>
      <c r="AK12" s="156"/>
      <c r="AL12" s="156"/>
      <c r="AM12" s="156"/>
    </row>
    <row r="13" spans="1:39" x14ac:dyDescent="0.25">
      <c r="D13" s="188"/>
      <c r="E13" s="157" t="str">
        <f>Commodities!D56</f>
        <v>INDOILHFO</v>
      </c>
      <c r="G13" s="181"/>
      <c r="H13" s="182"/>
      <c r="I13" s="182"/>
      <c r="J13" s="183"/>
      <c r="K13" s="186"/>
      <c r="L13" s="187"/>
      <c r="M13" s="185"/>
      <c r="N13" s="185"/>
      <c r="O13" s="185"/>
      <c r="P13" s="182">
        <v>0</v>
      </c>
      <c r="Q13" s="187"/>
      <c r="R13" s="187"/>
      <c r="S13" s="138"/>
      <c r="T13" s="138">
        <f t="shared" ref="T13:T17" si="0">T12</f>
        <v>1.1000000000000001</v>
      </c>
      <c r="U13" s="183" t="s">
        <v>420</v>
      </c>
      <c r="V13" s="138"/>
      <c r="W13" s="156"/>
      <c r="X13" s="156"/>
      <c r="Y13" s="156" t="s">
        <v>837</v>
      </c>
      <c r="Z13" s="156" t="s">
        <v>838</v>
      </c>
      <c r="AA13" s="156" t="str">
        <f>AA11</f>
        <v>PJ</v>
      </c>
      <c r="AB13" s="156" t="str">
        <f>AB12</f>
        <v>PJa</v>
      </c>
      <c r="AC13" s="156" t="s">
        <v>479</v>
      </c>
      <c r="AD13" s="156"/>
      <c r="AE13" s="156" t="s">
        <v>297</v>
      </c>
      <c r="AF13" s="156"/>
      <c r="AG13" s="156"/>
      <c r="AH13" s="156"/>
      <c r="AI13" s="156"/>
      <c r="AJ13" s="156"/>
      <c r="AK13" s="156"/>
      <c r="AL13" s="156"/>
      <c r="AM13" s="156"/>
    </row>
    <row r="14" spans="1:39" x14ac:dyDescent="0.25">
      <c r="D14" s="188"/>
      <c r="E14" s="157" t="str">
        <f>Commodities!D61</f>
        <v>INDGASNAT</v>
      </c>
      <c r="G14" s="181"/>
      <c r="H14" s="182"/>
      <c r="I14" s="182"/>
      <c r="J14" s="183"/>
      <c r="K14" s="186"/>
      <c r="L14" s="187"/>
      <c r="M14" s="185"/>
      <c r="N14" s="185"/>
      <c r="O14" s="185"/>
      <c r="P14" s="182">
        <v>0.4</v>
      </c>
      <c r="Q14" s="187"/>
      <c r="R14" s="187"/>
      <c r="S14" s="138"/>
      <c r="T14" s="138">
        <f t="shared" si="0"/>
        <v>1.1000000000000001</v>
      </c>
      <c r="U14" s="183" t="s">
        <v>420</v>
      </c>
      <c r="V14" s="138"/>
      <c r="W14" s="156"/>
      <c r="X14" s="156"/>
      <c r="Y14" s="156"/>
      <c r="Z14" s="156"/>
      <c r="AA14" s="156"/>
      <c r="AB14" s="156"/>
      <c r="AC14" s="156"/>
      <c r="AD14" s="156"/>
      <c r="AE14" s="156"/>
      <c r="AF14" s="156"/>
      <c r="AG14" s="156"/>
      <c r="AH14" s="156"/>
      <c r="AI14" s="156"/>
      <c r="AJ14" s="156"/>
      <c r="AK14" s="156"/>
      <c r="AL14" s="156"/>
      <c r="AM14" s="156"/>
    </row>
    <row r="15" spans="1:39" x14ac:dyDescent="0.25">
      <c r="D15" s="188"/>
      <c r="E15" s="157" t="str">
        <f>Commodities!D62</f>
        <v>INDGASBFG</v>
      </c>
      <c r="G15" s="181"/>
      <c r="H15" s="182"/>
      <c r="I15" s="182"/>
      <c r="J15" s="183"/>
      <c r="K15" s="186"/>
      <c r="L15" s="187"/>
      <c r="M15" s="185"/>
      <c r="N15" s="185"/>
      <c r="O15" s="185"/>
      <c r="P15" s="182">
        <v>0</v>
      </c>
      <c r="Q15" s="187"/>
      <c r="R15" s="187"/>
      <c r="S15" s="138"/>
      <c r="T15" s="138">
        <f t="shared" si="0"/>
        <v>1.1000000000000001</v>
      </c>
      <c r="U15" s="183" t="s">
        <v>420</v>
      </c>
      <c r="V15" s="138"/>
      <c r="W15" s="156"/>
      <c r="X15" s="156"/>
      <c r="Y15" s="156"/>
      <c r="Z15" s="156"/>
      <c r="AA15" s="156"/>
      <c r="AB15" s="156"/>
      <c r="AC15" s="156"/>
      <c r="AD15" s="156"/>
      <c r="AE15" s="156"/>
      <c r="AF15" s="156"/>
      <c r="AG15" s="156"/>
      <c r="AH15" s="156"/>
      <c r="AI15" s="156"/>
      <c r="AJ15" s="156"/>
      <c r="AK15" s="156"/>
      <c r="AL15" s="156"/>
      <c r="AM15" s="156"/>
    </row>
    <row r="16" spans="1:39" x14ac:dyDescent="0.25">
      <c r="D16" s="188"/>
      <c r="E16" s="157" t="str">
        <f>Commodities!D69</f>
        <v>INDBIOBGS</v>
      </c>
      <c r="G16" s="181"/>
      <c r="H16" s="182"/>
      <c r="I16" s="182"/>
      <c r="J16" s="183"/>
      <c r="K16" s="186"/>
      <c r="L16" s="187"/>
      <c r="M16" s="185"/>
      <c r="N16" s="185"/>
      <c r="O16" s="185"/>
      <c r="P16" s="182">
        <v>0</v>
      </c>
      <c r="Q16" s="187"/>
      <c r="R16" s="187"/>
      <c r="S16" s="138"/>
      <c r="T16" s="138">
        <f t="shared" si="0"/>
        <v>1.1000000000000001</v>
      </c>
      <c r="U16" s="183" t="s">
        <v>420</v>
      </c>
      <c r="V16" s="138"/>
      <c r="W16" s="156"/>
      <c r="X16" s="156"/>
      <c r="Y16" s="156"/>
      <c r="Z16" s="156"/>
      <c r="AA16" s="156"/>
      <c r="AB16" s="156"/>
      <c r="AC16" s="156"/>
      <c r="AD16" s="156"/>
      <c r="AE16" s="156"/>
      <c r="AF16" s="156"/>
      <c r="AG16" s="156"/>
      <c r="AH16" s="156"/>
      <c r="AI16" s="156"/>
      <c r="AJ16" s="156"/>
      <c r="AK16" s="156"/>
      <c r="AL16" s="156"/>
      <c r="AM16" s="156"/>
    </row>
    <row r="17" spans="2:39" x14ac:dyDescent="0.25">
      <c r="D17" s="188"/>
      <c r="E17" s="157" t="str">
        <f>Commodities!D65</f>
        <v>INDBIOWID</v>
      </c>
      <c r="G17" s="181"/>
      <c r="H17" s="182"/>
      <c r="I17" s="182"/>
      <c r="J17" s="183"/>
      <c r="K17" s="186"/>
      <c r="L17" s="187"/>
      <c r="M17" s="185"/>
      <c r="N17" s="185"/>
      <c r="O17" s="185"/>
      <c r="P17" s="182">
        <v>0.1</v>
      </c>
      <c r="Q17" s="187"/>
      <c r="R17" s="187"/>
      <c r="S17" s="138"/>
      <c r="T17" s="138">
        <f t="shared" si="0"/>
        <v>1.1000000000000001</v>
      </c>
      <c r="U17" s="183" t="s">
        <v>420</v>
      </c>
      <c r="V17" s="138"/>
      <c r="W17" s="156"/>
      <c r="X17" s="156"/>
      <c r="Y17" s="156"/>
      <c r="Z17" s="156"/>
      <c r="AA17" s="156"/>
      <c r="AB17" s="156"/>
      <c r="AC17" s="156"/>
      <c r="AD17" s="156"/>
      <c r="AE17" s="156"/>
      <c r="AF17" s="156"/>
      <c r="AG17" s="156"/>
      <c r="AH17" s="156"/>
      <c r="AI17" s="156"/>
      <c r="AJ17" s="156"/>
      <c r="AK17" s="156"/>
      <c r="AL17" s="156"/>
      <c r="AM17" s="156"/>
    </row>
    <row r="18" spans="2:39" x14ac:dyDescent="0.25">
      <c r="D18" s="188"/>
      <c r="F18" s="157" t="s">
        <v>128</v>
      </c>
      <c r="G18" s="181"/>
      <c r="H18" s="182"/>
      <c r="I18" s="182">
        <v>0.02</v>
      </c>
      <c r="J18" s="183"/>
      <c r="K18" s="186"/>
      <c r="L18" s="187"/>
      <c r="M18" s="185"/>
      <c r="N18" s="185"/>
      <c r="O18" s="185"/>
      <c r="P18" s="182"/>
      <c r="Q18" s="187"/>
      <c r="R18" s="187"/>
      <c r="S18" s="138"/>
      <c r="T18" s="138"/>
      <c r="U18" s="183"/>
      <c r="V18" s="138"/>
      <c r="W18" s="156"/>
      <c r="X18" s="156"/>
      <c r="Y18" s="156"/>
      <c r="Z18" s="156"/>
      <c r="AA18" s="156"/>
      <c r="AB18" s="156"/>
      <c r="AC18" s="156"/>
      <c r="AD18" s="156"/>
      <c r="AE18" s="156"/>
      <c r="AF18" s="156"/>
      <c r="AG18" s="156"/>
      <c r="AH18" s="156"/>
      <c r="AI18" s="156"/>
      <c r="AJ18" s="156"/>
      <c r="AK18" s="156"/>
      <c r="AL18" s="156"/>
      <c r="AM18" s="156"/>
    </row>
    <row r="19" spans="2:39" x14ac:dyDescent="0.25">
      <c r="D19" s="188"/>
      <c r="G19" s="181" t="str">
        <f>Commodities!D78</f>
        <v>INDHTH</v>
      </c>
      <c r="H19" s="182"/>
      <c r="I19" s="182"/>
      <c r="J19" s="183"/>
      <c r="K19" s="186"/>
      <c r="L19" s="187"/>
      <c r="M19" s="185"/>
      <c r="N19" s="185"/>
      <c r="O19" s="185"/>
      <c r="P19" s="187"/>
      <c r="Q19" s="187"/>
      <c r="R19" s="187"/>
      <c r="S19" s="183"/>
      <c r="T19" s="183"/>
      <c r="U19" s="183" t="s">
        <v>420</v>
      </c>
      <c r="V19" s="183"/>
      <c r="AJ19" s="156"/>
      <c r="AK19" s="156"/>
      <c r="AL19" s="156"/>
      <c r="AM19" s="156"/>
    </row>
    <row r="20" spans="2:39" x14ac:dyDescent="0.25">
      <c r="B20" s="189"/>
      <c r="C20" s="189"/>
      <c r="D20" s="190"/>
      <c r="E20" s="189"/>
      <c r="F20" s="189"/>
      <c r="G20" s="191" t="str">
        <f>Commodities!D77</f>
        <v>INDELC</v>
      </c>
      <c r="H20" s="192"/>
      <c r="I20" s="193"/>
      <c r="J20" s="194"/>
      <c r="K20" s="195"/>
      <c r="L20" s="196"/>
      <c r="M20" s="197"/>
      <c r="N20" s="197"/>
      <c r="O20" s="197"/>
      <c r="P20" s="196"/>
      <c r="Q20" s="196"/>
      <c r="R20" s="196"/>
      <c r="S20" s="183"/>
      <c r="T20" s="183"/>
      <c r="U20" s="183" t="s">
        <v>420</v>
      </c>
      <c r="V20" s="183"/>
      <c r="AJ20" s="156"/>
      <c r="AK20" s="156"/>
      <c r="AL20" s="156"/>
      <c r="AM20" s="156"/>
    </row>
    <row r="21" spans="2:39" x14ac:dyDescent="0.25">
      <c r="B21" s="175"/>
      <c r="C21" s="175" t="str">
        <f>Y11</f>
        <v>INDELEAUT_00</v>
      </c>
      <c r="D21" s="175" t="str">
        <f>Z11</f>
        <v>ELE Autoproducers</v>
      </c>
      <c r="E21" s="175" t="str">
        <f>E14</f>
        <v>INDGASNAT</v>
      </c>
      <c r="F21" s="175"/>
      <c r="G21" s="176"/>
      <c r="H21" s="177">
        <v>0.34</v>
      </c>
      <c r="I21" s="177"/>
      <c r="J21" s="178">
        <f>J10</f>
        <v>31.536000000000001</v>
      </c>
      <c r="K21" s="179">
        <v>0</v>
      </c>
      <c r="L21" s="177">
        <v>0.55000000000000004</v>
      </c>
      <c r="M21" s="180">
        <v>5</v>
      </c>
      <c r="N21" s="180"/>
      <c r="O21" s="180">
        <v>35</v>
      </c>
      <c r="P21" s="177"/>
      <c r="Q21" s="198"/>
      <c r="R21" s="177"/>
      <c r="S21" s="183"/>
      <c r="T21" s="183"/>
      <c r="U21" s="183" t="s">
        <v>422</v>
      </c>
      <c r="AJ21" s="156"/>
      <c r="AK21" s="156"/>
      <c r="AL21" s="156"/>
      <c r="AM21" s="156"/>
    </row>
    <row r="22" spans="2:39" x14ac:dyDescent="0.25">
      <c r="F22" s="157" t="s">
        <v>128</v>
      </c>
      <c r="G22" s="181"/>
      <c r="H22" s="182"/>
      <c r="I22" s="182">
        <v>0.03</v>
      </c>
      <c r="J22" s="187"/>
      <c r="K22" s="184"/>
      <c r="L22" s="182"/>
      <c r="M22" s="185"/>
      <c r="N22" s="185"/>
      <c r="O22" s="185"/>
      <c r="P22" s="182"/>
      <c r="Q22" s="187"/>
      <c r="R22" s="182"/>
      <c r="S22" s="183"/>
      <c r="T22" s="183"/>
      <c r="U22" s="183"/>
      <c r="AJ22" s="156"/>
      <c r="AK22" s="156"/>
      <c r="AL22" s="156"/>
      <c r="AM22" s="156"/>
    </row>
    <row r="23" spans="2:39" x14ac:dyDescent="0.25">
      <c r="B23" s="189"/>
      <c r="C23" s="189"/>
      <c r="D23" s="189"/>
      <c r="E23" s="189"/>
      <c r="F23" s="189"/>
      <c r="G23" s="191" t="str">
        <f>G20</f>
        <v>INDELC</v>
      </c>
      <c r="H23" s="193"/>
      <c r="I23" s="193"/>
      <c r="J23" s="196"/>
      <c r="K23" s="196"/>
      <c r="L23" s="196"/>
      <c r="M23" s="197"/>
      <c r="N23" s="197"/>
      <c r="O23" s="197"/>
      <c r="P23" s="193"/>
      <c r="Q23" s="196"/>
      <c r="R23" s="196"/>
      <c r="S23" s="183"/>
      <c r="T23" s="183"/>
      <c r="U23" s="183" t="s">
        <v>422</v>
      </c>
      <c r="AJ23" s="156"/>
      <c r="AK23" s="156"/>
      <c r="AL23" s="156"/>
      <c r="AM23" s="156"/>
    </row>
    <row r="24" spans="2:39" x14ac:dyDescent="0.25">
      <c r="T24" s="183"/>
      <c r="U24" s="183" t="s">
        <v>422</v>
      </c>
      <c r="AJ24" s="156"/>
      <c r="AK24" s="156"/>
      <c r="AL24" s="156"/>
      <c r="AM24" s="156"/>
    </row>
    <row r="25" spans="2:39" x14ac:dyDescent="0.25">
      <c r="T25" s="183"/>
      <c r="U25" s="183" t="s">
        <v>422</v>
      </c>
      <c r="AJ25" s="156"/>
      <c r="AK25" s="156"/>
      <c r="AL25" s="156"/>
      <c r="AM25" s="156"/>
    </row>
    <row r="26" spans="2:39" x14ac:dyDescent="0.25">
      <c r="T26" s="183"/>
      <c r="U26" s="183" t="s">
        <v>422</v>
      </c>
      <c r="AJ26" s="156"/>
      <c r="AK26" s="156"/>
      <c r="AL26" s="156"/>
      <c r="AM26" s="156"/>
    </row>
    <row r="27" spans="2:39" x14ac:dyDescent="0.25">
      <c r="B27" s="99"/>
      <c r="C27" s="99"/>
      <c r="D27" s="99"/>
      <c r="E27" s="99"/>
      <c r="F27" s="126" t="s">
        <v>15</v>
      </c>
      <c r="G27" s="126"/>
      <c r="H27" s="127"/>
      <c r="T27" s="183"/>
      <c r="U27" s="183" t="s">
        <v>422</v>
      </c>
      <c r="AJ27" s="156"/>
      <c r="AK27" s="156"/>
      <c r="AL27" s="156"/>
      <c r="AM27" s="156"/>
    </row>
    <row r="28" spans="2:39" ht="14.4" thickBot="1" x14ac:dyDescent="0.3">
      <c r="B28" s="130" t="s">
        <v>33</v>
      </c>
      <c r="C28" s="130" t="s">
        <v>1</v>
      </c>
      <c r="D28" s="131" t="s">
        <v>41</v>
      </c>
      <c r="E28" s="130" t="s">
        <v>7</v>
      </c>
      <c r="F28" s="132" t="s">
        <v>8</v>
      </c>
      <c r="G28" s="199" t="s">
        <v>401</v>
      </c>
      <c r="H28" s="133" t="s">
        <v>836</v>
      </c>
      <c r="I28" s="133" t="s">
        <v>839</v>
      </c>
      <c r="J28" s="200" t="s">
        <v>17</v>
      </c>
      <c r="L28" s="136" t="s">
        <v>825</v>
      </c>
      <c r="T28" s="183"/>
      <c r="U28" s="183"/>
      <c r="AJ28" s="156"/>
      <c r="AK28" s="156"/>
      <c r="AL28" s="156"/>
      <c r="AM28" s="156"/>
    </row>
    <row r="29" spans="2:39" ht="14.4" thickBot="1" x14ac:dyDescent="0.3">
      <c r="B29" s="135" t="s">
        <v>150</v>
      </c>
      <c r="C29" s="136" t="s">
        <v>24</v>
      </c>
      <c r="D29" s="136" t="s">
        <v>25</v>
      </c>
      <c r="E29" s="136" t="s">
        <v>35</v>
      </c>
      <c r="F29" s="137" t="s">
        <v>36</v>
      </c>
      <c r="G29" s="201" t="s">
        <v>448</v>
      </c>
      <c r="H29" s="136" t="s">
        <v>448</v>
      </c>
      <c r="I29" s="136"/>
      <c r="J29" s="137" t="s">
        <v>37</v>
      </c>
      <c r="T29" s="183"/>
      <c r="U29" s="183" t="s">
        <v>423</v>
      </c>
      <c r="AJ29" s="156"/>
      <c r="AK29" s="156"/>
      <c r="AL29" s="156"/>
      <c r="AM29" s="156"/>
    </row>
    <row r="30" spans="2:39" x14ac:dyDescent="0.25">
      <c r="B30" s="140" t="s">
        <v>152</v>
      </c>
      <c r="C30" s="140"/>
      <c r="D30" s="141"/>
      <c r="E30" s="141"/>
      <c r="F30" s="142" t="s">
        <v>288</v>
      </c>
      <c r="G30" s="202" t="s">
        <v>303</v>
      </c>
      <c r="H30" s="203" t="s">
        <v>303</v>
      </c>
      <c r="I30" s="203"/>
      <c r="J30" s="204" t="s">
        <v>303</v>
      </c>
      <c r="T30" s="183"/>
      <c r="U30" s="183" t="s">
        <v>423</v>
      </c>
      <c r="AJ30" s="156"/>
      <c r="AK30" s="156"/>
      <c r="AL30" s="156"/>
      <c r="AM30" s="156"/>
    </row>
    <row r="31" spans="2:39" x14ac:dyDescent="0.25">
      <c r="B31" s="205"/>
      <c r="C31" s="206" t="str">
        <f>Y12</f>
        <v>INDHTHALC_00</v>
      </c>
      <c r="D31" s="207" t="str">
        <f>Z12</f>
        <v>Allocation of Derived Heat</v>
      </c>
      <c r="E31" s="206" t="str">
        <f>Commodities!D78</f>
        <v>INDHTH</v>
      </c>
      <c r="F31" s="176"/>
      <c r="G31" s="208"/>
      <c r="H31" s="175"/>
      <c r="I31" s="180"/>
      <c r="J31" s="176">
        <v>1</v>
      </c>
      <c r="T31" s="183"/>
      <c r="U31" s="183" t="s">
        <v>423</v>
      </c>
      <c r="AJ31" s="156"/>
      <c r="AK31" s="156"/>
      <c r="AL31" s="156"/>
      <c r="AM31" s="156"/>
    </row>
    <row r="32" spans="2:39" x14ac:dyDescent="0.25">
      <c r="B32" s="209"/>
      <c r="F32" s="154" t="str">
        <f>Commodities!D88</f>
        <v>INDISTHTH</v>
      </c>
      <c r="G32" s="210">
        <v>1</v>
      </c>
      <c r="H32" s="146"/>
      <c r="I32" s="146"/>
      <c r="J32" s="154"/>
      <c r="L32" s="211" t="e">
        <f>'En.Bal-Final_Energy'!BD14/'En.Bal-Final_Energy'!$BD$13</f>
        <v>#DIV/0!</v>
      </c>
      <c r="T32" s="183"/>
      <c r="U32" s="183" t="s">
        <v>423</v>
      </c>
      <c r="AJ32" s="156"/>
      <c r="AK32" s="156"/>
      <c r="AL32" s="156"/>
      <c r="AM32" s="156"/>
    </row>
    <row r="33" spans="2:39" x14ac:dyDescent="0.25">
      <c r="B33" s="209"/>
      <c r="F33" s="181" t="str">
        <f>Commodities!D89</f>
        <v>INDNFMHTH</v>
      </c>
      <c r="G33" s="209">
        <v>1</v>
      </c>
      <c r="H33" s="146"/>
      <c r="I33" s="146"/>
      <c r="J33" s="181"/>
      <c r="L33" s="211" t="e">
        <f>'En.Bal-Final_Energy'!BD16/'En.Bal-Final_Energy'!$BD$13</f>
        <v>#DIV/0!</v>
      </c>
      <c r="T33" s="183"/>
      <c r="U33" s="183" t="s">
        <v>423</v>
      </c>
      <c r="AJ33" s="156"/>
      <c r="AK33" s="156"/>
      <c r="AL33" s="156"/>
      <c r="AM33" s="156"/>
    </row>
    <row r="34" spans="2:39" x14ac:dyDescent="0.25">
      <c r="B34" s="209"/>
      <c r="F34" s="181" t="str">
        <f>Commodities!D90</f>
        <v>INDFBTHTH</v>
      </c>
      <c r="G34" s="209">
        <v>1</v>
      </c>
      <c r="H34" s="146"/>
      <c r="I34" s="146"/>
      <c r="J34" s="181"/>
      <c r="L34" s="211" t="e">
        <f>'En.Bal-Final_Energy'!BD21/'En.Bal-Final_Energy'!$BD$13</f>
        <v>#DIV/0!</v>
      </c>
      <c r="T34" s="183"/>
      <c r="U34" s="183" t="s">
        <v>423</v>
      </c>
      <c r="AJ34" s="156"/>
      <c r="AK34" s="156"/>
      <c r="AL34" s="156"/>
      <c r="AM34" s="156"/>
    </row>
    <row r="35" spans="2:39" x14ac:dyDescent="0.25">
      <c r="B35" s="209"/>
      <c r="F35" s="181" t="str">
        <f>Commodities!D93</f>
        <v>INDNMMHTH</v>
      </c>
      <c r="G35" s="209">
        <v>1</v>
      </c>
      <c r="H35" s="146"/>
      <c r="I35" s="146"/>
      <c r="J35" s="181"/>
      <c r="L35" s="211" t="e">
        <f>'En.Bal-Final_Energy'!BD17/'En.Bal-Final_Energy'!$BD$13</f>
        <v>#DIV/0!</v>
      </c>
      <c r="T35" s="183"/>
      <c r="U35" s="183" t="s">
        <v>423</v>
      </c>
      <c r="AJ35" s="156"/>
      <c r="AK35" s="156"/>
      <c r="AL35" s="156"/>
      <c r="AM35" s="156"/>
    </row>
    <row r="36" spans="2:39" x14ac:dyDescent="0.25">
      <c r="B36" s="209"/>
      <c r="F36" s="181" t="str">
        <f>Commodities!D91</f>
        <v>INDPCHHTH</v>
      </c>
      <c r="G36" s="209">
        <v>1</v>
      </c>
      <c r="H36" s="146"/>
      <c r="I36" s="146"/>
      <c r="J36" s="181"/>
      <c r="L36" s="211" t="e">
        <f>'En.Bal-Final_Energy'!BD15/'En.Bal-Final_Energy'!$BD$13</f>
        <v>#DIV/0!</v>
      </c>
      <c r="T36" s="183"/>
      <c r="U36" s="183"/>
      <c r="AJ36" s="156"/>
      <c r="AK36" s="156"/>
      <c r="AL36" s="156"/>
      <c r="AM36" s="156"/>
    </row>
    <row r="37" spans="2:39" x14ac:dyDescent="0.25">
      <c r="B37" s="209"/>
      <c r="F37" s="181" t="str">
        <f>Commodities!D94</f>
        <v>INDMIQHTH</v>
      </c>
      <c r="G37" s="209">
        <v>1</v>
      </c>
      <c r="H37" s="146"/>
      <c r="I37" s="146"/>
      <c r="J37" s="181"/>
      <c r="L37" s="211" t="e">
        <f>'En.Bal-Final_Energy'!BD20/'En.Bal-Final_Energy'!$BD$13</f>
        <v>#DIV/0!</v>
      </c>
      <c r="T37" s="183"/>
      <c r="U37" s="183"/>
      <c r="AJ37" s="156"/>
      <c r="AK37" s="156"/>
      <c r="AL37" s="156"/>
      <c r="AM37" s="156"/>
    </row>
    <row r="38" spans="2:39" x14ac:dyDescent="0.25">
      <c r="B38" s="209"/>
      <c r="F38" s="181" t="str">
        <f>Commodities!D95</f>
        <v>INDCONHTH</v>
      </c>
      <c r="G38" s="209">
        <v>1</v>
      </c>
      <c r="H38" s="146"/>
      <c r="I38" s="146"/>
      <c r="J38" s="181"/>
      <c r="L38" s="211" t="e">
        <f>'En.Bal-Final_Energy'!BD24/'En.Bal-Final_Energy'!$BD$13</f>
        <v>#DIV/0!</v>
      </c>
      <c r="T38" s="183"/>
      <c r="U38" s="183" t="s">
        <v>423</v>
      </c>
      <c r="AJ38" s="156"/>
      <c r="AK38" s="156"/>
      <c r="AL38" s="156"/>
      <c r="AM38" s="156"/>
    </row>
    <row r="39" spans="2:39" x14ac:dyDescent="0.25">
      <c r="B39" s="212"/>
      <c r="C39" s="189"/>
      <c r="D39" s="189"/>
      <c r="E39" s="189"/>
      <c r="F39" s="191" t="str">
        <f>Commodities!D92</f>
        <v>INDOTHHTH</v>
      </c>
      <c r="G39" s="212">
        <v>1</v>
      </c>
      <c r="H39" s="197"/>
      <c r="I39" s="197"/>
      <c r="J39" s="191"/>
      <c r="L39" s="211" t="e">
        <f>1-SUM(L32:L38)</f>
        <v>#DIV/0!</v>
      </c>
      <c r="T39" s="183"/>
      <c r="U39" s="183" t="s">
        <v>423</v>
      </c>
      <c r="AJ39" s="156"/>
      <c r="AK39" s="156"/>
      <c r="AL39" s="156"/>
      <c r="AM39" s="156"/>
    </row>
    <row r="40" spans="2:39" x14ac:dyDescent="0.25">
      <c r="B40" s="208"/>
      <c r="C40" s="175" t="str">
        <f>Y13</f>
        <v>INDHTHALC_01</v>
      </c>
      <c r="D40" s="175" t="str">
        <f>Z13</f>
        <v>Allocation of Derived Heat-1</v>
      </c>
      <c r="E40" s="175" t="str">
        <f>E31</f>
        <v>INDHTH</v>
      </c>
      <c r="F40" s="175"/>
      <c r="G40" s="208"/>
      <c r="H40" s="175"/>
      <c r="I40" s="175">
        <v>2100</v>
      </c>
      <c r="J40" s="176">
        <v>1</v>
      </c>
      <c r="T40" s="183"/>
      <c r="U40" s="183" t="s">
        <v>423</v>
      </c>
      <c r="AJ40" s="156"/>
      <c r="AK40" s="156"/>
      <c r="AL40" s="156"/>
      <c r="AM40" s="156"/>
    </row>
    <row r="41" spans="2:39" x14ac:dyDescent="0.25">
      <c r="B41" s="209"/>
      <c r="F41" s="157" t="str">
        <f>F35</f>
        <v>INDNMMHTH</v>
      </c>
      <c r="G41" s="209">
        <v>0.25</v>
      </c>
      <c r="H41" s="157">
        <v>0.5</v>
      </c>
      <c r="J41" s="181"/>
      <c r="L41" s="157" t="s">
        <v>840</v>
      </c>
      <c r="T41" s="183"/>
      <c r="U41" s="183" t="s">
        <v>423</v>
      </c>
      <c r="AJ41" s="156"/>
      <c r="AK41" s="156"/>
      <c r="AL41" s="156"/>
      <c r="AM41" s="156"/>
    </row>
    <row r="42" spans="2:39" x14ac:dyDescent="0.25">
      <c r="B42" s="209"/>
      <c r="F42" s="157" t="str">
        <f>F37</f>
        <v>INDMIQHTH</v>
      </c>
      <c r="G42" s="209">
        <v>1</v>
      </c>
      <c r="H42" s="157">
        <v>1</v>
      </c>
      <c r="J42" s="181"/>
      <c r="L42" s="157" t="s">
        <v>840</v>
      </c>
      <c r="T42" s="183"/>
      <c r="U42" s="183" t="s">
        <v>423</v>
      </c>
      <c r="AJ42" s="156"/>
      <c r="AK42" s="156"/>
      <c r="AL42" s="156"/>
      <c r="AM42" s="156"/>
    </row>
    <row r="43" spans="2:39" x14ac:dyDescent="0.25">
      <c r="B43" s="209"/>
      <c r="F43" s="157" t="str">
        <f>F38</f>
        <v>INDCONHTH</v>
      </c>
      <c r="G43" s="209">
        <v>0.25</v>
      </c>
      <c r="H43" s="157">
        <v>1</v>
      </c>
      <c r="J43" s="181"/>
      <c r="L43" s="157" t="s">
        <v>840</v>
      </c>
      <c r="T43" s="183"/>
      <c r="U43" s="183" t="s">
        <v>423</v>
      </c>
      <c r="AJ43" s="156"/>
      <c r="AK43" s="156"/>
      <c r="AL43" s="156"/>
      <c r="AM43" s="156"/>
    </row>
    <row r="44" spans="2:39" x14ac:dyDescent="0.25">
      <c r="B44" s="212"/>
      <c r="C44" s="189"/>
      <c r="D44" s="189"/>
      <c r="E44" s="189"/>
      <c r="F44" s="189" t="str">
        <f>F39</f>
        <v>INDOTHHTH</v>
      </c>
      <c r="G44" s="212">
        <v>1</v>
      </c>
      <c r="H44" s="189">
        <v>1</v>
      </c>
      <c r="I44" s="189"/>
      <c r="J44" s="191"/>
      <c r="L44" s="157" t="s">
        <v>840</v>
      </c>
      <c r="T44" s="183"/>
      <c r="U44" s="183"/>
      <c r="AJ44" s="156"/>
      <c r="AK44" s="156"/>
      <c r="AL44" s="156"/>
      <c r="AM44" s="156"/>
    </row>
    <row r="45" spans="2:39" x14ac:dyDescent="0.25">
      <c r="U45" s="183" t="s">
        <v>420</v>
      </c>
      <c r="AJ45" s="156"/>
      <c r="AK45" s="156"/>
      <c r="AL45" s="156"/>
      <c r="AM45" s="156"/>
    </row>
    <row r="46" spans="2:39" x14ac:dyDescent="0.25">
      <c r="U46" s="183" t="s">
        <v>420</v>
      </c>
      <c r="AJ46" s="156"/>
      <c r="AK46" s="156"/>
      <c r="AL46" s="156"/>
      <c r="AM46" s="156"/>
    </row>
    <row r="47" spans="2:39" x14ac:dyDescent="0.25">
      <c r="U47" s="183" t="s">
        <v>420</v>
      </c>
      <c r="AJ47" s="156"/>
      <c r="AK47" s="156"/>
      <c r="AL47" s="156"/>
      <c r="AM47" s="156"/>
    </row>
    <row r="48" spans="2:39" x14ac:dyDescent="0.25">
      <c r="R48" s="183"/>
      <c r="U48" s="183" t="s">
        <v>420</v>
      </c>
      <c r="AJ48" s="156"/>
      <c r="AK48" s="156"/>
      <c r="AL48" s="156"/>
      <c r="AM48" s="156"/>
    </row>
    <row r="49" spans="4:39" x14ac:dyDescent="0.25">
      <c r="R49" s="183"/>
      <c r="U49" s="183" t="s">
        <v>420</v>
      </c>
      <c r="AJ49" s="156"/>
      <c r="AK49" s="156"/>
      <c r="AL49" s="156"/>
      <c r="AM49" s="156"/>
    </row>
    <row r="50" spans="4:39" x14ac:dyDescent="0.25">
      <c r="R50" s="183"/>
      <c r="U50" s="183" t="s">
        <v>420</v>
      </c>
      <c r="AJ50" s="156"/>
      <c r="AK50" s="156"/>
      <c r="AL50" s="156"/>
      <c r="AM50" s="156"/>
    </row>
    <row r="51" spans="4:39" x14ac:dyDescent="0.25">
      <c r="R51" s="183"/>
      <c r="U51" s="183" t="s">
        <v>420</v>
      </c>
      <c r="AJ51" s="156"/>
      <c r="AK51" s="156"/>
      <c r="AL51" s="156"/>
      <c r="AM51" s="156"/>
    </row>
    <row r="52" spans="4:39" x14ac:dyDescent="0.25">
      <c r="R52" s="183"/>
      <c r="U52" s="183" t="s">
        <v>420</v>
      </c>
      <c r="AJ52" s="156"/>
      <c r="AK52" s="156"/>
      <c r="AL52" s="156"/>
      <c r="AM52" s="156"/>
    </row>
    <row r="53" spans="4:39" x14ac:dyDescent="0.25">
      <c r="R53" s="183"/>
      <c r="U53" s="183" t="s">
        <v>420</v>
      </c>
      <c r="AJ53" s="156"/>
      <c r="AK53" s="156"/>
      <c r="AL53" s="156"/>
      <c r="AM53" s="156"/>
    </row>
    <row r="54" spans="4:39" x14ac:dyDescent="0.25">
      <c r="H54" s="185"/>
      <c r="I54" s="185"/>
      <c r="J54" s="183"/>
      <c r="K54" s="183"/>
      <c r="L54" s="183"/>
      <c r="M54" s="183"/>
      <c r="N54" s="183"/>
      <c r="P54" s="183"/>
      <c r="Q54" s="183"/>
      <c r="R54" s="183"/>
      <c r="U54" s="183" t="s">
        <v>420</v>
      </c>
      <c r="AJ54" s="156"/>
      <c r="AK54" s="156"/>
      <c r="AL54" s="156"/>
      <c r="AM54" s="156"/>
    </row>
    <row r="55" spans="4:39" x14ac:dyDescent="0.25">
      <c r="H55" s="185"/>
      <c r="I55" s="185"/>
      <c r="J55" s="183"/>
      <c r="K55" s="183"/>
      <c r="L55" s="183"/>
      <c r="M55" s="183"/>
      <c r="N55" s="183"/>
      <c r="P55" s="183"/>
      <c r="Q55" s="183"/>
      <c r="R55" s="183"/>
      <c r="U55" s="183" t="s">
        <v>420</v>
      </c>
      <c r="AJ55" s="156"/>
      <c r="AK55" s="156"/>
      <c r="AL55" s="156"/>
      <c r="AM55" s="156"/>
    </row>
    <row r="56" spans="4:39" x14ac:dyDescent="0.25">
      <c r="H56" s="185"/>
      <c r="I56" s="185"/>
      <c r="J56" s="183"/>
      <c r="K56" s="183"/>
      <c r="L56" s="183"/>
      <c r="M56" s="183"/>
      <c r="N56" s="183"/>
      <c r="P56" s="183"/>
      <c r="Q56" s="183"/>
      <c r="R56" s="183"/>
      <c r="U56" s="183" t="s">
        <v>420</v>
      </c>
      <c r="AJ56" s="156"/>
      <c r="AK56" s="156"/>
      <c r="AL56" s="156"/>
      <c r="AM56" s="156"/>
    </row>
    <row r="57" spans="4:39" x14ac:dyDescent="0.25">
      <c r="H57" s="182"/>
      <c r="I57" s="182"/>
      <c r="J57" s="183"/>
      <c r="K57" s="183"/>
      <c r="L57" s="183"/>
      <c r="M57" s="183"/>
      <c r="N57" s="183"/>
      <c r="P57" s="183"/>
      <c r="Q57" s="183"/>
      <c r="R57" s="183"/>
      <c r="U57" s="183" t="s">
        <v>420</v>
      </c>
      <c r="AJ57" s="156"/>
      <c r="AK57" s="156"/>
      <c r="AL57" s="156"/>
      <c r="AM57" s="156"/>
    </row>
    <row r="58" spans="4:39" x14ac:dyDescent="0.25">
      <c r="H58" s="182"/>
      <c r="I58" s="182"/>
      <c r="J58" s="183"/>
      <c r="K58" s="183"/>
      <c r="L58" s="183"/>
      <c r="M58" s="183"/>
      <c r="N58" s="183"/>
      <c r="P58" s="183"/>
      <c r="Q58" s="183"/>
      <c r="R58" s="183"/>
      <c r="U58" s="183"/>
      <c r="AJ58" s="156"/>
      <c r="AK58" s="156"/>
      <c r="AL58" s="156"/>
      <c r="AM58" s="156"/>
    </row>
    <row r="59" spans="4:39" x14ac:dyDescent="0.25">
      <c r="D59" s="188"/>
      <c r="H59" s="182"/>
      <c r="I59" s="182"/>
      <c r="J59" s="183"/>
      <c r="K59" s="183"/>
      <c r="L59" s="183"/>
      <c r="M59" s="183"/>
      <c r="N59" s="183"/>
      <c r="P59" s="183"/>
      <c r="Q59" s="183"/>
      <c r="R59" s="183"/>
      <c r="U59" s="183" t="s">
        <v>421</v>
      </c>
      <c r="AJ59" s="156"/>
      <c r="AK59" s="156"/>
      <c r="AL59" s="156"/>
      <c r="AM59" s="156"/>
    </row>
    <row r="60" spans="4:39" x14ac:dyDescent="0.25">
      <c r="D60" s="188"/>
      <c r="H60" s="182"/>
      <c r="I60" s="182"/>
      <c r="J60" s="183"/>
      <c r="K60" s="183"/>
      <c r="L60" s="183"/>
      <c r="M60" s="183"/>
      <c r="N60" s="183"/>
      <c r="P60" s="183"/>
      <c r="Q60" s="183"/>
      <c r="R60" s="183"/>
      <c r="U60" s="183" t="s">
        <v>421</v>
      </c>
      <c r="AJ60" s="156"/>
      <c r="AK60" s="156"/>
      <c r="AL60" s="156"/>
      <c r="AM60" s="156"/>
    </row>
    <row r="61" spans="4:39" x14ac:dyDescent="0.25">
      <c r="D61" s="188"/>
      <c r="H61" s="182"/>
      <c r="I61" s="182"/>
      <c r="J61" s="183"/>
      <c r="K61" s="183"/>
      <c r="L61" s="183"/>
      <c r="M61" s="183"/>
      <c r="N61" s="183"/>
      <c r="P61" s="183"/>
      <c r="Q61" s="183"/>
      <c r="R61" s="183"/>
      <c r="U61" s="183" t="s">
        <v>421</v>
      </c>
      <c r="AJ61" s="156"/>
      <c r="AK61" s="156"/>
      <c r="AL61" s="156"/>
      <c r="AM61" s="156"/>
    </row>
    <row r="62" spans="4:39" x14ac:dyDescent="0.25">
      <c r="D62" s="188"/>
      <c r="H62" s="182"/>
      <c r="I62" s="182"/>
      <c r="J62" s="183"/>
      <c r="K62" s="183"/>
      <c r="L62" s="183"/>
      <c r="M62" s="183"/>
      <c r="N62" s="183"/>
      <c r="P62" s="183"/>
      <c r="Q62" s="183"/>
      <c r="R62" s="183"/>
      <c r="U62" s="183" t="s">
        <v>421</v>
      </c>
      <c r="AJ62" s="156"/>
      <c r="AK62" s="156"/>
      <c r="AL62" s="156"/>
      <c r="AM62" s="156"/>
    </row>
    <row r="63" spans="4:39" x14ac:dyDescent="0.25">
      <c r="D63" s="188"/>
      <c r="H63" s="182"/>
      <c r="I63" s="182"/>
      <c r="J63" s="183"/>
      <c r="K63" s="183"/>
      <c r="L63" s="183"/>
      <c r="M63" s="183"/>
      <c r="N63" s="183"/>
      <c r="P63" s="183"/>
      <c r="Q63" s="183"/>
      <c r="R63" s="183"/>
      <c r="U63" s="183" t="s">
        <v>421</v>
      </c>
      <c r="AJ63" s="156"/>
      <c r="AK63" s="156"/>
      <c r="AL63" s="156"/>
      <c r="AM63" s="156"/>
    </row>
    <row r="64" spans="4:39" x14ac:dyDescent="0.25">
      <c r="D64" s="188"/>
      <c r="H64" s="182"/>
      <c r="I64" s="182"/>
      <c r="J64" s="183"/>
      <c r="K64" s="183"/>
      <c r="L64" s="183"/>
      <c r="M64" s="183"/>
      <c r="N64" s="183"/>
      <c r="P64" s="183"/>
      <c r="Q64" s="183"/>
      <c r="R64" s="183"/>
      <c r="U64" s="183" t="s">
        <v>421</v>
      </c>
      <c r="AJ64" s="156"/>
      <c r="AK64" s="156"/>
      <c r="AL64" s="156"/>
      <c r="AM64" s="156"/>
    </row>
    <row r="65" spans="4:39" x14ac:dyDescent="0.25">
      <c r="D65" s="188"/>
      <c r="H65" s="182"/>
      <c r="I65" s="182"/>
      <c r="J65" s="183"/>
      <c r="K65" s="183"/>
      <c r="L65" s="183"/>
      <c r="M65" s="183"/>
      <c r="N65" s="183"/>
      <c r="P65" s="183"/>
      <c r="Q65" s="183"/>
      <c r="R65" s="183"/>
      <c r="U65" s="183" t="s">
        <v>421</v>
      </c>
      <c r="AJ65" s="156"/>
      <c r="AK65" s="156"/>
      <c r="AL65" s="156"/>
      <c r="AM65" s="156"/>
    </row>
    <row r="66" spans="4:39" x14ac:dyDescent="0.25">
      <c r="D66" s="188"/>
      <c r="H66" s="182"/>
      <c r="I66" s="182"/>
      <c r="J66" s="183"/>
      <c r="K66" s="183"/>
      <c r="L66" s="183"/>
      <c r="M66" s="183"/>
      <c r="N66" s="183"/>
      <c r="P66" s="183"/>
      <c r="Q66" s="183"/>
      <c r="R66" s="183"/>
      <c r="U66" s="183" t="s">
        <v>421</v>
      </c>
      <c r="AJ66" s="156"/>
      <c r="AK66" s="156"/>
      <c r="AL66" s="156"/>
      <c r="AM66" s="156"/>
    </row>
    <row r="67" spans="4:39" x14ac:dyDescent="0.25">
      <c r="D67" s="188"/>
      <c r="H67" s="182"/>
      <c r="I67" s="182"/>
      <c r="J67" s="183"/>
      <c r="K67" s="183"/>
      <c r="L67" s="183"/>
      <c r="M67" s="183"/>
      <c r="N67" s="183"/>
      <c r="P67" s="183"/>
      <c r="Q67" s="183"/>
      <c r="R67" s="183"/>
      <c r="U67" s="183" t="s">
        <v>421</v>
      </c>
      <c r="AJ67" s="156"/>
      <c r="AK67" s="156"/>
      <c r="AL67" s="156"/>
      <c r="AM67" s="156"/>
    </row>
    <row r="68" spans="4:39" x14ac:dyDescent="0.25">
      <c r="D68" s="188"/>
      <c r="H68" s="182"/>
      <c r="I68" s="182"/>
      <c r="J68" s="183"/>
      <c r="K68" s="183"/>
      <c r="L68" s="183"/>
      <c r="M68" s="183"/>
      <c r="N68" s="183"/>
      <c r="P68" s="183"/>
      <c r="Q68" s="183"/>
      <c r="R68" s="183"/>
      <c r="U68" s="183" t="s">
        <v>421</v>
      </c>
      <c r="AJ68" s="156"/>
      <c r="AK68" s="156"/>
      <c r="AL68" s="156"/>
      <c r="AM68" s="156"/>
    </row>
    <row r="69" spans="4:39" x14ac:dyDescent="0.25">
      <c r="D69" s="188"/>
      <c r="H69" s="182"/>
      <c r="I69" s="182"/>
      <c r="J69" s="183"/>
      <c r="K69" s="183"/>
      <c r="L69" s="183"/>
      <c r="M69" s="183"/>
      <c r="N69" s="183"/>
      <c r="P69" s="183"/>
      <c r="Q69" s="183"/>
      <c r="R69" s="183"/>
      <c r="U69" s="183" t="s">
        <v>421</v>
      </c>
      <c r="AJ69" s="156"/>
      <c r="AK69" s="156"/>
      <c r="AL69" s="156"/>
      <c r="AM69" s="156"/>
    </row>
    <row r="70" spans="4:39" x14ac:dyDescent="0.25">
      <c r="D70" s="188"/>
      <c r="H70" s="182"/>
      <c r="I70" s="182"/>
      <c r="J70" s="183"/>
      <c r="K70" s="183"/>
      <c r="L70" s="183"/>
      <c r="M70" s="183"/>
      <c r="N70" s="183"/>
      <c r="P70" s="183"/>
      <c r="Q70" s="183"/>
      <c r="R70" s="183"/>
      <c r="U70" s="183" t="s">
        <v>421</v>
      </c>
      <c r="AJ70" s="156"/>
      <c r="AK70" s="156"/>
      <c r="AL70" s="156"/>
      <c r="AM70" s="156"/>
    </row>
    <row r="71" spans="4:39" x14ac:dyDescent="0.25">
      <c r="H71" s="185"/>
      <c r="I71" s="185"/>
      <c r="J71" s="183"/>
      <c r="K71" s="183"/>
      <c r="L71" s="183"/>
      <c r="M71" s="183"/>
      <c r="N71" s="183"/>
      <c r="P71" s="183"/>
      <c r="Q71" s="183"/>
      <c r="R71" s="183"/>
      <c r="U71" s="183" t="s">
        <v>421</v>
      </c>
      <c r="AJ71" s="156"/>
      <c r="AK71" s="156"/>
      <c r="AL71" s="156"/>
      <c r="AM71" s="156"/>
    </row>
    <row r="72" spans="4:39" x14ac:dyDescent="0.25">
      <c r="H72" s="185"/>
      <c r="I72" s="185"/>
      <c r="J72" s="183"/>
      <c r="K72" s="183"/>
      <c r="L72" s="183"/>
      <c r="M72" s="183"/>
      <c r="N72" s="183"/>
      <c r="P72" s="183"/>
      <c r="Q72" s="183"/>
      <c r="R72" s="183"/>
      <c r="U72" s="183"/>
      <c r="AJ72" s="156"/>
      <c r="AK72" s="156"/>
      <c r="AL72" s="156"/>
      <c r="AM72" s="156"/>
    </row>
    <row r="73" spans="4:39" x14ac:dyDescent="0.25">
      <c r="H73" s="185"/>
      <c r="I73" s="185"/>
      <c r="J73" s="183"/>
      <c r="K73" s="183"/>
      <c r="L73" s="183"/>
      <c r="M73" s="183"/>
      <c r="N73" s="183"/>
      <c r="P73" s="183"/>
      <c r="Q73" s="183"/>
      <c r="R73" s="183"/>
      <c r="U73" s="183" t="s">
        <v>422</v>
      </c>
      <c r="AJ73" s="156"/>
      <c r="AK73" s="156"/>
      <c r="AL73" s="156"/>
      <c r="AM73" s="156"/>
    </row>
    <row r="74" spans="4:39" x14ac:dyDescent="0.25">
      <c r="H74" s="185"/>
      <c r="I74" s="185"/>
      <c r="J74" s="183"/>
      <c r="K74" s="183"/>
      <c r="L74" s="183"/>
      <c r="M74" s="183"/>
      <c r="N74" s="183"/>
      <c r="P74" s="183"/>
      <c r="Q74" s="183"/>
      <c r="R74" s="183"/>
      <c r="U74" s="183" t="s">
        <v>422</v>
      </c>
      <c r="AJ74" s="156"/>
      <c r="AK74" s="156"/>
      <c r="AL74" s="156"/>
      <c r="AM74" s="156"/>
    </row>
    <row r="75" spans="4:39" x14ac:dyDescent="0.25">
      <c r="H75" s="185"/>
      <c r="I75" s="185"/>
      <c r="J75" s="183"/>
      <c r="K75" s="183"/>
      <c r="L75" s="183"/>
      <c r="M75" s="183"/>
      <c r="N75" s="183"/>
      <c r="P75" s="183"/>
      <c r="Q75" s="183"/>
      <c r="R75" s="183"/>
      <c r="U75" s="183" t="s">
        <v>422</v>
      </c>
      <c r="AJ75" s="156"/>
      <c r="AK75" s="156"/>
      <c r="AL75" s="156"/>
      <c r="AM75" s="156"/>
    </row>
    <row r="76" spans="4:39" x14ac:dyDescent="0.25">
      <c r="H76" s="185"/>
      <c r="I76" s="185"/>
      <c r="J76" s="183"/>
      <c r="K76" s="183"/>
      <c r="L76" s="183"/>
      <c r="M76" s="183"/>
      <c r="N76" s="183"/>
      <c r="P76" s="183"/>
      <c r="Q76" s="183"/>
      <c r="R76" s="183"/>
      <c r="U76" s="183" t="s">
        <v>422</v>
      </c>
      <c r="AJ76" s="156"/>
      <c r="AK76" s="156"/>
      <c r="AL76" s="156"/>
      <c r="AM76" s="156"/>
    </row>
    <row r="77" spans="4:39" x14ac:dyDescent="0.25">
      <c r="H77" s="185"/>
      <c r="I77" s="185"/>
      <c r="J77" s="183"/>
      <c r="K77" s="183"/>
      <c r="L77" s="183"/>
      <c r="M77" s="183"/>
      <c r="N77" s="183"/>
      <c r="P77" s="183"/>
      <c r="Q77" s="183"/>
      <c r="R77" s="183"/>
      <c r="U77" s="183" t="s">
        <v>422</v>
      </c>
      <c r="AJ77" s="156"/>
      <c r="AK77" s="156"/>
      <c r="AL77" s="156"/>
      <c r="AM77" s="156"/>
    </row>
    <row r="78" spans="4:39" x14ac:dyDescent="0.25">
      <c r="H78" s="185"/>
      <c r="I78" s="185"/>
      <c r="J78" s="183"/>
      <c r="K78" s="183"/>
      <c r="L78" s="183"/>
      <c r="M78" s="183"/>
      <c r="N78" s="183"/>
      <c r="P78" s="183"/>
      <c r="Q78" s="183"/>
      <c r="R78" s="183"/>
      <c r="U78" s="183" t="s">
        <v>422</v>
      </c>
      <c r="AJ78" s="156"/>
      <c r="AK78" s="156"/>
      <c r="AL78" s="156"/>
      <c r="AM78" s="156"/>
    </row>
    <row r="79" spans="4:39" x14ac:dyDescent="0.25">
      <c r="H79" s="185"/>
      <c r="I79" s="185"/>
      <c r="J79" s="183"/>
      <c r="K79" s="183"/>
      <c r="L79" s="183"/>
      <c r="M79" s="183"/>
      <c r="N79" s="183"/>
      <c r="P79" s="183"/>
      <c r="Q79" s="183"/>
      <c r="R79" s="183"/>
      <c r="U79" s="183" t="s">
        <v>422</v>
      </c>
      <c r="AJ79" s="156"/>
      <c r="AK79" s="156"/>
      <c r="AL79" s="156"/>
      <c r="AM79" s="156"/>
    </row>
    <row r="80" spans="4:39" x14ac:dyDescent="0.25">
      <c r="H80" s="185"/>
      <c r="I80" s="185"/>
      <c r="J80" s="183"/>
      <c r="K80" s="183"/>
      <c r="L80" s="183"/>
      <c r="M80" s="183"/>
      <c r="N80" s="183"/>
      <c r="P80" s="183"/>
      <c r="Q80" s="183"/>
      <c r="R80" s="183"/>
      <c r="U80" s="183" t="s">
        <v>422</v>
      </c>
      <c r="AJ80" s="156"/>
      <c r="AK80" s="156"/>
      <c r="AL80" s="156"/>
      <c r="AM80" s="156"/>
    </row>
    <row r="81" spans="8:39" x14ac:dyDescent="0.25">
      <c r="H81" s="185"/>
      <c r="I81" s="185"/>
      <c r="J81" s="183"/>
      <c r="K81" s="183"/>
      <c r="L81" s="183"/>
      <c r="M81" s="183"/>
      <c r="N81" s="183"/>
      <c r="P81" s="183"/>
      <c r="Q81" s="183"/>
      <c r="R81" s="183"/>
      <c r="U81" s="183" t="s">
        <v>422</v>
      </c>
      <c r="AJ81" s="156"/>
      <c r="AK81" s="156"/>
      <c r="AL81" s="156"/>
      <c r="AM81" s="156"/>
    </row>
    <row r="82" spans="8:39" x14ac:dyDescent="0.25">
      <c r="H82" s="185"/>
      <c r="I82" s="185"/>
      <c r="J82" s="183"/>
      <c r="K82" s="183"/>
      <c r="L82" s="183"/>
      <c r="M82" s="183"/>
      <c r="N82" s="183"/>
      <c r="P82" s="183"/>
      <c r="Q82" s="183"/>
      <c r="R82" s="183"/>
      <c r="U82" s="183" t="s">
        <v>422</v>
      </c>
      <c r="AJ82" s="156"/>
      <c r="AK82" s="156"/>
      <c r="AL82" s="156"/>
      <c r="AM82" s="156"/>
    </row>
    <row r="83" spans="8:39" x14ac:dyDescent="0.25">
      <c r="H83" s="185"/>
      <c r="I83" s="185"/>
      <c r="J83" s="183"/>
      <c r="K83" s="183"/>
      <c r="L83" s="183"/>
      <c r="M83" s="183"/>
      <c r="N83" s="183"/>
      <c r="P83" s="183"/>
      <c r="Q83" s="183"/>
      <c r="R83" s="183"/>
      <c r="U83" s="183" t="s">
        <v>422</v>
      </c>
      <c r="AJ83" s="156"/>
      <c r="AK83" s="156"/>
      <c r="AL83" s="156"/>
      <c r="AM83" s="156"/>
    </row>
    <row r="84" spans="8:39" x14ac:dyDescent="0.25">
      <c r="H84" s="185"/>
      <c r="I84" s="185"/>
      <c r="J84" s="183"/>
      <c r="K84" s="183"/>
      <c r="L84" s="183"/>
      <c r="M84" s="183"/>
      <c r="N84" s="183"/>
      <c r="P84" s="183"/>
      <c r="Q84" s="183"/>
      <c r="R84" s="183"/>
      <c r="U84" s="183" t="s">
        <v>422</v>
      </c>
      <c r="AJ84" s="156"/>
      <c r="AK84" s="156"/>
      <c r="AL84" s="156"/>
      <c r="AM84" s="156"/>
    </row>
    <row r="85" spans="8:39" x14ac:dyDescent="0.25">
      <c r="H85" s="185"/>
      <c r="I85" s="185"/>
      <c r="J85" s="183"/>
      <c r="K85" s="183"/>
      <c r="L85" s="183"/>
      <c r="M85" s="183"/>
      <c r="N85" s="183"/>
      <c r="P85" s="183"/>
      <c r="Q85" s="183"/>
      <c r="R85" s="183"/>
      <c r="U85" s="183" t="s">
        <v>422</v>
      </c>
      <c r="AJ85" s="156"/>
      <c r="AK85" s="156"/>
      <c r="AL85" s="156"/>
      <c r="AM85" s="156"/>
    </row>
    <row r="86" spans="8:39" x14ac:dyDescent="0.25">
      <c r="H86" s="185"/>
      <c r="I86" s="185"/>
      <c r="J86" s="183"/>
      <c r="K86" s="183"/>
      <c r="L86" s="183"/>
      <c r="M86" s="183"/>
      <c r="N86" s="183"/>
      <c r="P86" s="183"/>
      <c r="Q86" s="183"/>
      <c r="R86" s="183"/>
      <c r="U86" s="183"/>
      <c r="AJ86" s="156"/>
      <c r="AK86" s="156"/>
      <c r="AL86" s="156"/>
      <c r="AM86" s="156"/>
    </row>
    <row r="87" spans="8:39" x14ac:dyDescent="0.25">
      <c r="H87" s="185"/>
      <c r="I87" s="185"/>
      <c r="J87" s="183"/>
      <c r="K87" s="183"/>
      <c r="L87" s="183"/>
      <c r="M87" s="183"/>
      <c r="N87" s="183"/>
      <c r="P87" s="183"/>
      <c r="Q87" s="183"/>
      <c r="R87" s="183"/>
      <c r="U87" s="183" t="s">
        <v>423</v>
      </c>
      <c r="AJ87" s="156"/>
      <c r="AK87" s="156"/>
      <c r="AL87" s="156"/>
      <c r="AM87" s="156"/>
    </row>
    <row r="88" spans="8:39" x14ac:dyDescent="0.25">
      <c r="H88" s="185"/>
      <c r="I88" s="185"/>
      <c r="J88" s="183"/>
      <c r="K88" s="183"/>
      <c r="L88" s="183"/>
      <c r="M88" s="183"/>
      <c r="N88" s="183"/>
      <c r="P88" s="183"/>
      <c r="Q88" s="183"/>
      <c r="R88" s="183"/>
      <c r="U88" s="183" t="s">
        <v>423</v>
      </c>
      <c r="AJ88" s="156"/>
      <c r="AK88" s="156"/>
      <c r="AL88" s="156"/>
      <c r="AM88" s="156"/>
    </row>
    <row r="89" spans="8:39" x14ac:dyDescent="0.25">
      <c r="H89" s="185"/>
      <c r="I89" s="185"/>
      <c r="J89" s="183"/>
      <c r="K89" s="183"/>
      <c r="L89" s="183"/>
      <c r="M89" s="183"/>
      <c r="N89" s="183"/>
      <c r="P89" s="183"/>
      <c r="Q89" s="183"/>
      <c r="R89" s="183"/>
      <c r="U89" s="183" t="s">
        <v>423</v>
      </c>
      <c r="AJ89" s="156"/>
      <c r="AK89" s="156"/>
      <c r="AL89" s="156"/>
      <c r="AM89" s="156"/>
    </row>
    <row r="90" spans="8:39" x14ac:dyDescent="0.25">
      <c r="H90" s="185"/>
      <c r="I90" s="185"/>
      <c r="J90" s="183"/>
      <c r="K90" s="183"/>
      <c r="L90" s="183"/>
      <c r="M90" s="183"/>
      <c r="N90" s="183"/>
      <c r="P90" s="183"/>
      <c r="Q90" s="183"/>
      <c r="R90" s="183"/>
      <c r="U90" s="183" t="s">
        <v>423</v>
      </c>
      <c r="AJ90" s="156"/>
      <c r="AK90" s="156"/>
      <c r="AL90" s="156"/>
      <c r="AM90" s="156"/>
    </row>
    <row r="91" spans="8:39" x14ac:dyDescent="0.25">
      <c r="H91" s="185"/>
      <c r="I91" s="185"/>
      <c r="J91" s="183"/>
      <c r="K91" s="183"/>
      <c r="L91" s="183"/>
      <c r="M91" s="183"/>
      <c r="N91" s="183"/>
      <c r="P91" s="183"/>
      <c r="Q91" s="183"/>
      <c r="R91" s="183"/>
      <c r="U91" s="183" t="s">
        <v>423</v>
      </c>
      <c r="AJ91" s="156"/>
      <c r="AK91" s="156"/>
      <c r="AL91" s="156"/>
      <c r="AM91" s="156"/>
    </row>
    <row r="92" spans="8:39" x14ac:dyDescent="0.25">
      <c r="H92" s="185"/>
      <c r="I92" s="185"/>
      <c r="J92" s="183"/>
      <c r="K92" s="183"/>
      <c r="L92" s="183"/>
      <c r="M92" s="183"/>
      <c r="N92" s="183"/>
      <c r="P92" s="183"/>
      <c r="Q92" s="183"/>
      <c r="R92" s="183"/>
      <c r="U92" s="183" t="s">
        <v>423</v>
      </c>
      <c r="AJ92" s="156"/>
      <c r="AK92" s="156"/>
      <c r="AL92" s="156"/>
      <c r="AM92" s="156"/>
    </row>
    <row r="93" spans="8:39" x14ac:dyDescent="0.25">
      <c r="H93" s="185"/>
      <c r="I93" s="185"/>
      <c r="J93" s="183"/>
      <c r="K93" s="183"/>
      <c r="L93" s="183"/>
      <c r="M93" s="183"/>
      <c r="N93" s="183"/>
      <c r="P93" s="183"/>
      <c r="Q93" s="183"/>
      <c r="R93" s="183"/>
      <c r="U93" s="183" t="s">
        <v>423</v>
      </c>
      <c r="AJ93" s="156"/>
      <c r="AK93" s="156"/>
      <c r="AL93" s="156"/>
      <c r="AM93" s="156"/>
    </row>
    <row r="94" spans="8:39" x14ac:dyDescent="0.25">
      <c r="H94" s="185"/>
      <c r="I94" s="185"/>
      <c r="J94" s="183"/>
      <c r="K94" s="183"/>
      <c r="L94" s="183"/>
      <c r="M94" s="183"/>
      <c r="N94" s="183"/>
      <c r="P94" s="183"/>
      <c r="Q94" s="183"/>
      <c r="R94" s="183"/>
      <c r="U94" s="183" t="s">
        <v>423</v>
      </c>
      <c r="AJ94" s="156"/>
      <c r="AK94" s="156"/>
      <c r="AL94" s="156"/>
      <c r="AM94" s="156"/>
    </row>
    <row r="95" spans="8:39" x14ac:dyDescent="0.25">
      <c r="H95" s="185"/>
      <c r="I95" s="185"/>
      <c r="J95" s="183"/>
      <c r="K95" s="183"/>
      <c r="L95" s="183"/>
      <c r="M95" s="183"/>
      <c r="N95" s="183"/>
      <c r="P95" s="183"/>
      <c r="Q95" s="183"/>
      <c r="R95" s="183"/>
      <c r="U95" s="183" t="s">
        <v>423</v>
      </c>
      <c r="AJ95" s="156"/>
      <c r="AK95" s="156"/>
      <c r="AL95" s="156"/>
      <c r="AM95" s="156"/>
    </row>
    <row r="96" spans="8:39" x14ac:dyDescent="0.25">
      <c r="H96" s="185"/>
      <c r="I96" s="185"/>
      <c r="J96" s="183"/>
      <c r="K96" s="183"/>
      <c r="L96" s="183"/>
      <c r="M96" s="183"/>
      <c r="N96" s="183"/>
      <c r="P96" s="183"/>
      <c r="Q96" s="183"/>
      <c r="R96" s="183"/>
      <c r="U96" s="183" t="s">
        <v>423</v>
      </c>
      <c r="AJ96" s="156"/>
      <c r="AK96" s="156"/>
      <c r="AL96" s="156"/>
      <c r="AM96" s="156"/>
    </row>
    <row r="97" spans="8:39" x14ac:dyDescent="0.25">
      <c r="H97" s="185"/>
      <c r="I97" s="185"/>
      <c r="J97" s="183"/>
      <c r="K97" s="183"/>
      <c r="L97" s="183"/>
      <c r="M97" s="183"/>
      <c r="N97" s="183"/>
      <c r="P97" s="183"/>
      <c r="Q97" s="183"/>
      <c r="R97" s="183"/>
      <c r="U97" s="183" t="s">
        <v>423</v>
      </c>
      <c r="AJ97" s="156"/>
      <c r="AK97" s="156"/>
      <c r="AL97" s="156"/>
      <c r="AM97" s="156"/>
    </row>
    <row r="98" spans="8:39" x14ac:dyDescent="0.25">
      <c r="H98" s="185"/>
      <c r="I98" s="185"/>
      <c r="J98" s="183"/>
      <c r="K98" s="183"/>
      <c r="L98" s="183"/>
      <c r="M98" s="183"/>
      <c r="N98" s="183"/>
      <c r="P98" s="183"/>
      <c r="Q98" s="183"/>
      <c r="R98" s="183"/>
      <c r="U98" s="183" t="s">
        <v>423</v>
      </c>
      <c r="AJ98" s="156"/>
      <c r="AK98" s="156"/>
      <c r="AL98" s="156"/>
      <c r="AM98" s="156"/>
    </row>
    <row r="99" spans="8:39" x14ac:dyDescent="0.25">
      <c r="H99" s="185"/>
      <c r="I99" s="185"/>
      <c r="J99" s="183"/>
      <c r="K99" s="183"/>
      <c r="L99" s="183"/>
      <c r="M99" s="183"/>
      <c r="N99" s="183"/>
      <c r="P99" s="183"/>
      <c r="Q99" s="183"/>
      <c r="R99" s="183"/>
      <c r="U99" s="183" t="s">
        <v>423</v>
      </c>
      <c r="AJ99" s="156"/>
      <c r="AK99" s="156"/>
      <c r="AL99" s="156"/>
      <c r="AM99" s="156"/>
    </row>
    <row r="100" spans="8:39" x14ac:dyDescent="0.25">
      <c r="H100" s="185"/>
      <c r="I100" s="185"/>
      <c r="J100" s="183"/>
      <c r="K100" s="183"/>
      <c r="L100" s="183"/>
      <c r="M100" s="183"/>
      <c r="N100" s="183"/>
      <c r="P100" s="183"/>
      <c r="Q100" s="183"/>
      <c r="R100" s="183"/>
      <c r="AJ100" s="156"/>
      <c r="AK100" s="156"/>
      <c r="AL100" s="156"/>
      <c r="AM100" s="156"/>
    </row>
    <row r="101" spans="8:39" x14ac:dyDescent="0.25">
      <c r="H101" s="185"/>
      <c r="I101" s="185"/>
      <c r="J101" s="183"/>
      <c r="K101" s="183"/>
      <c r="L101" s="183"/>
      <c r="M101" s="183"/>
      <c r="N101" s="183"/>
      <c r="P101" s="183"/>
      <c r="Q101" s="183"/>
      <c r="R101" s="183"/>
      <c r="U101" s="183" t="s">
        <v>420</v>
      </c>
      <c r="AJ101" s="156"/>
      <c r="AK101" s="156"/>
      <c r="AL101" s="156"/>
      <c r="AM101" s="156"/>
    </row>
    <row r="102" spans="8:39" x14ac:dyDescent="0.25">
      <c r="H102" s="185"/>
      <c r="I102" s="185"/>
      <c r="J102" s="183"/>
      <c r="K102" s="183"/>
      <c r="L102" s="183"/>
      <c r="M102" s="183"/>
      <c r="N102" s="183"/>
      <c r="P102" s="183"/>
      <c r="Q102" s="183"/>
      <c r="R102" s="183"/>
      <c r="U102" s="183" t="s">
        <v>420</v>
      </c>
      <c r="AJ102" s="156"/>
      <c r="AK102" s="156"/>
      <c r="AL102" s="156"/>
      <c r="AM102" s="156"/>
    </row>
    <row r="103" spans="8:39" x14ac:dyDescent="0.25">
      <c r="H103" s="185"/>
      <c r="I103" s="185"/>
      <c r="J103" s="183"/>
      <c r="K103" s="183"/>
      <c r="L103" s="183"/>
      <c r="M103" s="183"/>
      <c r="N103" s="183"/>
      <c r="P103" s="183"/>
      <c r="Q103" s="183"/>
      <c r="R103" s="183"/>
      <c r="U103" s="183" t="s">
        <v>420</v>
      </c>
      <c r="AJ103" s="156"/>
      <c r="AK103" s="156"/>
      <c r="AL103" s="156"/>
      <c r="AM103" s="156"/>
    </row>
    <row r="104" spans="8:39" x14ac:dyDescent="0.25">
      <c r="H104" s="185"/>
      <c r="I104" s="185"/>
      <c r="J104" s="183"/>
      <c r="K104" s="183"/>
      <c r="L104" s="183"/>
      <c r="M104" s="183"/>
      <c r="N104" s="183"/>
      <c r="P104" s="183"/>
      <c r="Q104" s="183"/>
      <c r="R104" s="183"/>
      <c r="U104" s="183" t="s">
        <v>420</v>
      </c>
      <c r="AJ104" s="156"/>
      <c r="AK104" s="156"/>
      <c r="AL104" s="156"/>
      <c r="AM104" s="156"/>
    </row>
    <row r="105" spans="8:39" x14ac:dyDescent="0.25">
      <c r="H105" s="185"/>
      <c r="I105" s="185"/>
      <c r="J105" s="183"/>
      <c r="K105" s="183"/>
      <c r="L105" s="183"/>
      <c r="M105" s="183"/>
      <c r="N105" s="183"/>
      <c r="P105" s="183"/>
      <c r="Q105" s="183"/>
      <c r="R105" s="183"/>
      <c r="U105" s="183" t="s">
        <v>420</v>
      </c>
      <c r="AJ105" s="156"/>
      <c r="AK105" s="156"/>
      <c r="AL105" s="156"/>
      <c r="AM105" s="156"/>
    </row>
    <row r="106" spans="8:39" x14ac:dyDescent="0.25">
      <c r="H106" s="185"/>
      <c r="I106" s="185"/>
      <c r="J106" s="183"/>
      <c r="K106" s="183"/>
      <c r="L106" s="183"/>
      <c r="M106" s="183"/>
      <c r="N106" s="183"/>
      <c r="P106" s="183"/>
      <c r="Q106" s="183"/>
      <c r="R106" s="183"/>
      <c r="U106" s="183" t="s">
        <v>420</v>
      </c>
      <c r="AJ106" s="156"/>
      <c r="AK106" s="156"/>
      <c r="AL106" s="156"/>
      <c r="AM106" s="156"/>
    </row>
    <row r="107" spans="8:39" x14ac:dyDescent="0.25">
      <c r="H107" s="185"/>
      <c r="I107" s="185"/>
      <c r="J107" s="183"/>
      <c r="K107" s="183"/>
      <c r="L107" s="183"/>
      <c r="M107" s="183"/>
      <c r="N107" s="183"/>
      <c r="P107" s="183"/>
      <c r="Q107" s="183"/>
      <c r="R107" s="183"/>
      <c r="U107" s="183" t="s">
        <v>420</v>
      </c>
      <c r="AJ107" s="156"/>
      <c r="AK107" s="156"/>
      <c r="AL107" s="156"/>
      <c r="AM107" s="156"/>
    </row>
    <row r="108" spans="8:39" x14ac:dyDescent="0.25">
      <c r="H108" s="185"/>
      <c r="I108" s="185"/>
      <c r="J108" s="183"/>
      <c r="K108" s="183"/>
      <c r="L108" s="183"/>
      <c r="M108" s="183"/>
      <c r="N108" s="183"/>
      <c r="P108" s="183"/>
      <c r="Q108" s="183"/>
      <c r="R108" s="183"/>
      <c r="U108" s="183" t="s">
        <v>420</v>
      </c>
      <c r="AJ108" s="156"/>
      <c r="AK108" s="156"/>
      <c r="AL108" s="156"/>
      <c r="AM108" s="156"/>
    </row>
    <row r="109" spans="8:39" x14ac:dyDescent="0.25">
      <c r="H109" s="185"/>
      <c r="I109" s="185"/>
      <c r="J109" s="183"/>
      <c r="K109" s="183"/>
      <c r="L109" s="183"/>
      <c r="M109" s="183"/>
      <c r="N109" s="183"/>
      <c r="P109" s="183"/>
      <c r="Q109" s="183"/>
      <c r="R109" s="183"/>
      <c r="U109" s="183" t="s">
        <v>420</v>
      </c>
      <c r="AJ109" s="156"/>
      <c r="AK109" s="156"/>
      <c r="AL109" s="156"/>
      <c r="AM109" s="156"/>
    </row>
    <row r="110" spans="8:39" x14ac:dyDescent="0.25">
      <c r="H110" s="185"/>
      <c r="I110" s="185"/>
      <c r="J110" s="183"/>
      <c r="K110" s="183"/>
      <c r="L110" s="183"/>
      <c r="M110" s="183"/>
      <c r="N110" s="183"/>
      <c r="P110" s="183"/>
      <c r="Q110" s="183"/>
      <c r="R110" s="183"/>
      <c r="U110" s="183" t="s">
        <v>420</v>
      </c>
      <c r="AJ110" s="156"/>
      <c r="AK110" s="156"/>
      <c r="AL110" s="156"/>
      <c r="AM110" s="156"/>
    </row>
    <row r="111" spans="8:39" x14ac:dyDescent="0.25">
      <c r="H111" s="185"/>
      <c r="I111" s="185"/>
      <c r="J111" s="183"/>
      <c r="K111" s="183"/>
      <c r="L111" s="183"/>
      <c r="M111" s="183"/>
      <c r="N111" s="183"/>
      <c r="P111" s="183"/>
      <c r="Q111" s="183"/>
      <c r="R111" s="183"/>
      <c r="U111" s="183" t="s">
        <v>420</v>
      </c>
      <c r="AJ111" s="156"/>
      <c r="AK111" s="156"/>
      <c r="AL111" s="156"/>
      <c r="AM111" s="156"/>
    </row>
    <row r="112" spans="8:39" x14ac:dyDescent="0.25">
      <c r="H112" s="185"/>
      <c r="I112" s="185"/>
      <c r="J112" s="183"/>
      <c r="K112" s="183"/>
      <c r="L112" s="183"/>
      <c r="M112" s="183"/>
      <c r="N112" s="183"/>
      <c r="P112" s="183"/>
      <c r="Q112" s="183"/>
      <c r="R112" s="183"/>
      <c r="U112" s="183" t="s">
        <v>420</v>
      </c>
      <c r="AJ112" s="156"/>
      <c r="AK112" s="156"/>
      <c r="AL112" s="156"/>
      <c r="AM112" s="156"/>
    </row>
    <row r="113" spans="8:39" x14ac:dyDescent="0.25">
      <c r="H113" s="182"/>
      <c r="I113" s="182"/>
      <c r="J113" s="183"/>
      <c r="K113" s="183"/>
      <c r="L113" s="183"/>
      <c r="M113" s="183"/>
      <c r="N113" s="183"/>
      <c r="P113" s="183"/>
      <c r="Q113" s="183"/>
      <c r="R113" s="183"/>
      <c r="U113" s="183" t="s">
        <v>420</v>
      </c>
      <c r="AJ113" s="156"/>
      <c r="AK113" s="156"/>
      <c r="AL113" s="156"/>
      <c r="AM113" s="156"/>
    </row>
    <row r="114" spans="8:39" x14ac:dyDescent="0.25">
      <c r="H114" s="182"/>
      <c r="I114" s="182"/>
      <c r="J114" s="183"/>
      <c r="K114" s="183"/>
      <c r="L114" s="183"/>
      <c r="M114" s="183"/>
      <c r="N114" s="183"/>
      <c r="P114" s="183"/>
      <c r="Q114" s="183"/>
      <c r="R114" s="183"/>
      <c r="U114" s="183"/>
      <c r="AJ114" s="156"/>
      <c r="AK114" s="156"/>
      <c r="AL114" s="156"/>
      <c r="AM114" s="156"/>
    </row>
    <row r="115" spans="8:39" x14ac:dyDescent="0.25">
      <c r="H115" s="182"/>
      <c r="I115" s="182"/>
      <c r="J115" s="183"/>
      <c r="K115" s="183"/>
      <c r="L115" s="183"/>
      <c r="M115" s="183"/>
      <c r="N115" s="183"/>
      <c r="P115" s="183"/>
      <c r="Q115" s="183"/>
      <c r="R115" s="183"/>
      <c r="U115" s="183" t="s">
        <v>421</v>
      </c>
      <c r="AJ115" s="156"/>
      <c r="AK115" s="156"/>
      <c r="AL115" s="156"/>
      <c r="AM115" s="156"/>
    </row>
    <row r="116" spans="8:39" x14ac:dyDescent="0.25">
      <c r="H116" s="182"/>
      <c r="I116" s="182"/>
      <c r="J116" s="183"/>
      <c r="K116" s="183"/>
      <c r="L116" s="183"/>
      <c r="M116" s="183"/>
      <c r="N116" s="183"/>
      <c r="P116" s="183"/>
      <c r="Q116" s="183"/>
      <c r="R116" s="183"/>
      <c r="U116" s="183" t="s">
        <v>421</v>
      </c>
      <c r="AJ116" s="156"/>
      <c r="AK116" s="156"/>
      <c r="AL116" s="156"/>
      <c r="AM116" s="156"/>
    </row>
    <row r="117" spans="8:39" x14ac:dyDescent="0.25">
      <c r="H117" s="182"/>
      <c r="I117" s="182"/>
      <c r="J117" s="183"/>
      <c r="K117" s="183"/>
      <c r="L117" s="183"/>
      <c r="M117" s="183"/>
      <c r="N117" s="183"/>
      <c r="P117" s="183"/>
      <c r="Q117" s="183"/>
      <c r="R117" s="183"/>
      <c r="U117" s="183" t="s">
        <v>421</v>
      </c>
      <c r="AJ117" s="156"/>
      <c r="AK117" s="156"/>
      <c r="AL117" s="156"/>
      <c r="AM117" s="156"/>
    </row>
    <row r="118" spans="8:39" x14ac:dyDescent="0.25">
      <c r="H118" s="182"/>
      <c r="I118" s="182"/>
      <c r="J118" s="183"/>
      <c r="K118" s="183"/>
      <c r="L118" s="183"/>
      <c r="M118" s="183"/>
      <c r="N118" s="183"/>
      <c r="P118" s="183"/>
      <c r="Q118" s="183"/>
      <c r="R118" s="183"/>
      <c r="U118" s="183" t="s">
        <v>421</v>
      </c>
      <c r="AJ118" s="156"/>
      <c r="AK118" s="156"/>
      <c r="AL118" s="156"/>
      <c r="AM118" s="156"/>
    </row>
    <row r="119" spans="8:39" x14ac:dyDescent="0.25">
      <c r="H119" s="182"/>
      <c r="I119" s="182"/>
      <c r="J119" s="183"/>
      <c r="K119" s="183"/>
      <c r="L119" s="183"/>
      <c r="M119" s="183"/>
      <c r="N119" s="183"/>
      <c r="P119" s="183"/>
      <c r="Q119" s="183"/>
      <c r="R119" s="183"/>
      <c r="U119" s="183" t="s">
        <v>421</v>
      </c>
      <c r="AJ119" s="156"/>
      <c r="AK119" s="156"/>
      <c r="AL119" s="156"/>
      <c r="AM119" s="156"/>
    </row>
    <row r="120" spans="8:39" x14ac:dyDescent="0.25">
      <c r="H120" s="182"/>
      <c r="I120" s="182"/>
      <c r="J120" s="183"/>
      <c r="K120" s="183"/>
      <c r="L120" s="183"/>
      <c r="M120" s="183"/>
      <c r="N120" s="183"/>
      <c r="P120" s="183"/>
      <c r="Q120" s="183"/>
      <c r="R120" s="183"/>
      <c r="U120" s="183" t="s">
        <v>421</v>
      </c>
      <c r="AJ120" s="156"/>
      <c r="AK120" s="156"/>
      <c r="AL120" s="156"/>
      <c r="AM120" s="156"/>
    </row>
    <row r="121" spans="8:39" x14ac:dyDescent="0.25">
      <c r="H121" s="182"/>
      <c r="I121" s="182"/>
      <c r="J121" s="183"/>
      <c r="K121" s="183"/>
      <c r="L121" s="183"/>
      <c r="M121" s="183"/>
      <c r="N121" s="183"/>
      <c r="P121" s="183"/>
      <c r="Q121" s="183"/>
      <c r="R121" s="183"/>
      <c r="U121" s="183" t="s">
        <v>421</v>
      </c>
      <c r="AJ121" s="156"/>
      <c r="AK121" s="156"/>
      <c r="AL121" s="156"/>
      <c r="AM121" s="156"/>
    </row>
    <row r="122" spans="8:39" x14ac:dyDescent="0.25">
      <c r="H122" s="182"/>
      <c r="I122" s="182"/>
      <c r="J122" s="183"/>
      <c r="K122" s="183"/>
      <c r="L122" s="183"/>
      <c r="M122" s="183"/>
      <c r="N122" s="183"/>
      <c r="P122" s="183"/>
      <c r="Q122" s="183"/>
      <c r="R122" s="183"/>
      <c r="U122" s="183" t="s">
        <v>421</v>
      </c>
      <c r="AJ122" s="156"/>
      <c r="AK122" s="156"/>
      <c r="AL122" s="156"/>
      <c r="AM122" s="156"/>
    </row>
    <row r="123" spans="8:39" x14ac:dyDescent="0.25">
      <c r="H123" s="182"/>
      <c r="I123" s="182"/>
      <c r="J123" s="183"/>
      <c r="K123" s="183"/>
      <c r="L123" s="183"/>
      <c r="M123" s="183"/>
      <c r="N123" s="183"/>
      <c r="P123" s="183"/>
      <c r="Q123" s="183"/>
      <c r="R123" s="183"/>
      <c r="U123" s="183" t="s">
        <v>421</v>
      </c>
      <c r="AJ123" s="156"/>
      <c r="AK123" s="156"/>
      <c r="AL123" s="156"/>
      <c r="AM123" s="156"/>
    </row>
    <row r="124" spans="8:39" x14ac:dyDescent="0.25">
      <c r="H124" s="182"/>
      <c r="I124" s="182"/>
      <c r="J124" s="183"/>
      <c r="K124" s="183"/>
      <c r="L124" s="183"/>
      <c r="M124" s="183"/>
      <c r="N124" s="183"/>
      <c r="P124" s="183"/>
      <c r="Q124" s="183"/>
      <c r="R124" s="183"/>
      <c r="U124" s="183" t="s">
        <v>421</v>
      </c>
      <c r="AJ124" s="156"/>
      <c r="AK124" s="156"/>
      <c r="AL124" s="156"/>
      <c r="AM124" s="156"/>
    </row>
    <row r="125" spans="8:39" x14ac:dyDescent="0.25">
      <c r="H125" s="182"/>
      <c r="I125" s="182"/>
      <c r="J125" s="183"/>
      <c r="K125" s="183"/>
      <c r="L125" s="183"/>
      <c r="M125" s="183"/>
      <c r="N125" s="183"/>
      <c r="P125" s="183"/>
      <c r="Q125" s="183"/>
      <c r="R125" s="183"/>
      <c r="U125" s="183" t="s">
        <v>421</v>
      </c>
      <c r="AJ125" s="156"/>
      <c r="AK125" s="156"/>
      <c r="AL125" s="156"/>
      <c r="AM125" s="156"/>
    </row>
    <row r="126" spans="8:39" x14ac:dyDescent="0.25">
      <c r="H126" s="182"/>
      <c r="I126" s="182"/>
      <c r="J126" s="183"/>
      <c r="K126" s="183"/>
      <c r="L126" s="183"/>
      <c r="M126" s="183"/>
      <c r="N126" s="183"/>
      <c r="P126" s="183"/>
      <c r="Q126" s="183"/>
      <c r="R126" s="183"/>
      <c r="U126" s="183" t="s">
        <v>421</v>
      </c>
      <c r="AJ126" s="156"/>
      <c r="AK126" s="156"/>
      <c r="AL126" s="156"/>
      <c r="AM126" s="156"/>
    </row>
    <row r="127" spans="8:39" x14ac:dyDescent="0.25">
      <c r="H127" s="185"/>
      <c r="I127" s="185"/>
      <c r="J127" s="183"/>
      <c r="K127" s="183"/>
      <c r="L127" s="183"/>
      <c r="M127" s="183"/>
      <c r="N127" s="183"/>
      <c r="P127" s="183"/>
      <c r="Q127" s="183"/>
      <c r="R127" s="183"/>
      <c r="U127" s="183" t="s">
        <v>421</v>
      </c>
      <c r="AJ127" s="156"/>
      <c r="AK127" s="156"/>
      <c r="AL127" s="156"/>
      <c r="AM127" s="156"/>
    </row>
    <row r="128" spans="8:39" x14ac:dyDescent="0.25">
      <c r="H128" s="185"/>
      <c r="I128" s="185"/>
      <c r="J128" s="183"/>
      <c r="K128" s="183"/>
      <c r="L128" s="183"/>
      <c r="M128" s="183"/>
      <c r="N128" s="183"/>
      <c r="P128" s="183"/>
      <c r="Q128" s="183"/>
      <c r="R128" s="183"/>
      <c r="U128" s="183"/>
      <c r="AJ128" s="156"/>
      <c r="AK128" s="156"/>
      <c r="AL128" s="156"/>
      <c r="AM128" s="156"/>
    </row>
    <row r="129" spans="4:39" x14ac:dyDescent="0.25">
      <c r="H129" s="185"/>
      <c r="I129" s="185"/>
      <c r="J129" s="183"/>
      <c r="K129" s="183"/>
      <c r="L129" s="183"/>
      <c r="M129" s="183"/>
      <c r="N129" s="183"/>
      <c r="P129" s="183"/>
      <c r="Q129" s="183"/>
      <c r="R129" s="183"/>
      <c r="U129" s="183" t="s">
        <v>422</v>
      </c>
      <c r="AJ129" s="156"/>
      <c r="AK129" s="156"/>
      <c r="AL129" s="156"/>
      <c r="AM129" s="156"/>
    </row>
    <row r="130" spans="4:39" x14ac:dyDescent="0.25">
      <c r="H130" s="185"/>
      <c r="I130" s="185"/>
      <c r="J130" s="183"/>
      <c r="K130" s="183"/>
      <c r="L130" s="183"/>
      <c r="M130" s="183"/>
      <c r="N130" s="183"/>
      <c r="P130" s="183"/>
      <c r="Q130" s="183"/>
      <c r="R130" s="183"/>
      <c r="U130" s="183" t="s">
        <v>422</v>
      </c>
      <c r="AJ130" s="156"/>
      <c r="AK130" s="156"/>
      <c r="AL130" s="156"/>
      <c r="AM130" s="156"/>
    </row>
    <row r="131" spans="4:39" x14ac:dyDescent="0.25">
      <c r="H131" s="185"/>
      <c r="I131" s="185"/>
      <c r="J131" s="183"/>
      <c r="K131" s="183"/>
      <c r="L131" s="183"/>
      <c r="M131" s="183"/>
      <c r="N131" s="183"/>
      <c r="P131" s="183"/>
      <c r="Q131" s="183"/>
      <c r="R131" s="183"/>
      <c r="U131" s="183" t="s">
        <v>422</v>
      </c>
      <c r="AJ131" s="156"/>
      <c r="AK131" s="156"/>
      <c r="AL131" s="156"/>
      <c r="AM131" s="156"/>
    </row>
    <row r="132" spans="4:39" x14ac:dyDescent="0.25">
      <c r="H132" s="185"/>
      <c r="I132" s="185"/>
      <c r="J132" s="183"/>
      <c r="K132" s="183"/>
      <c r="L132" s="183"/>
      <c r="M132" s="183"/>
      <c r="N132" s="183"/>
      <c r="P132" s="183"/>
      <c r="Q132" s="183"/>
      <c r="R132" s="183"/>
      <c r="U132" s="183" t="s">
        <v>422</v>
      </c>
      <c r="AJ132" s="156"/>
      <c r="AK132" s="156"/>
      <c r="AL132" s="156"/>
      <c r="AM132" s="156"/>
    </row>
    <row r="133" spans="4:39" x14ac:dyDescent="0.25">
      <c r="H133" s="185"/>
      <c r="I133" s="185"/>
      <c r="J133" s="183"/>
      <c r="K133" s="183"/>
      <c r="L133" s="183"/>
      <c r="M133" s="183"/>
      <c r="N133" s="183"/>
      <c r="P133" s="183"/>
      <c r="Q133" s="183"/>
      <c r="R133" s="183"/>
      <c r="U133" s="183" t="s">
        <v>422</v>
      </c>
      <c r="AJ133" s="156"/>
      <c r="AK133" s="156"/>
      <c r="AL133" s="156"/>
      <c r="AM133" s="156"/>
    </row>
    <row r="134" spans="4:39" x14ac:dyDescent="0.25">
      <c r="H134" s="185"/>
      <c r="I134" s="185"/>
      <c r="J134" s="183"/>
      <c r="K134" s="183"/>
      <c r="L134" s="183"/>
      <c r="M134" s="183"/>
      <c r="N134" s="183"/>
      <c r="P134" s="183"/>
      <c r="Q134" s="183"/>
      <c r="R134" s="183"/>
      <c r="U134" s="183" t="s">
        <v>422</v>
      </c>
      <c r="AJ134" s="156"/>
      <c r="AK134" s="156"/>
      <c r="AL134" s="156"/>
      <c r="AM134" s="156"/>
    </row>
    <row r="135" spans="4:39" x14ac:dyDescent="0.25">
      <c r="H135" s="185"/>
      <c r="I135" s="185"/>
      <c r="J135" s="183"/>
      <c r="K135" s="183"/>
      <c r="L135" s="183"/>
      <c r="M135" s="183"/>
      <c r="N135" s="183"/>
      <c r="P135" s="183"/>
      <c r="Q135" s="183"/>
      <c r="R135" s="183"/>
      <c r="U135" s="183" t="s">
        <v>422</v>
      </c>
      <c r="AJ135" s="156"/>
      <c r="AK135" s="156"/>
      <c r="AL135" s="156"/>
      <c r="AM135" s="156"/>
    </row>
    <row r="136" spans="4:39" x14ac:dyDescent="0.25">
      <c r="H136" s="185"/>
      <c r="I136" s="185"/>
      <c r="J136" s="183"/>
      <c r="K136" s="183"/>
      <c r="L136" s="183"/>
      <c r="M136" s="183"/>
      <c r="N136" s="183"/>
      <c r="P136" s="183"/>
      <c r="Q136" s="183"/>
      <c r="R136" s="183"/>
      <c r="U136" s="183" t="s">
        <v>422</v>
      </c>
      <c r="AJ136" s="156"/>
      <c r="AK136" s="156"/>
      <c r="AL136" s="156"/>
      <c r="AM136" s="156"/>
    </row>
    <row r="137" spans="4:39" x14ac:dyDescent="0.25">
      <c r="H137" s="185"/>
      <c r="I137" s="185"/>
      <c r="J137" s="183"/>
      <c r="K137" s="183"/>
      <c r="L137" s="183"/>
      <c r="M137" s="183"/>
      <c r="N137" s="183"/>
      <c r="P137" s="183"/>
      <c r="Q137" s="183"/>
      <c r="R137" s="183"/>
      <c r="U137" s="183" t="s">
        <v>422</v>
      </c>
      <c r="AJ137" s="156"/>
      <c r="AK137" s="156"/>
      <c r="AL137" s="156"/>
      <c r="AM137" s="156"/>
    </row>
    <row r="138" spans="4:39" x14ac:dyDescent="0.25">
      <c r="H138" s="185"/>
      <c r="I138" s="185"/>
      <c r="J138" s="183"/>
      <c r="K138" s="183"/>
      <c r="L138" s="183"/>
      <c r="M138" s="183"/>
      <c r="N138" s="183"/>
      <c r="P138" s="183"/>
      <c r="Q138" s="183"/>
      <c r="R138" s="183"/>
      <c r="U138" s="183" t="s">
        <v>422</v>
      </c>
      <c r="AJ138" s="156"/>
      <c r="AK138" s="156"/>
      <c r="AL138" s="156"/>
      <c r="AM138" s="156"/>
    </row>
    <row r="139" spans="4:39" x14ac:dyDescent="0.25">
      <c r="H139" s="185"/>
      <c r="I139" s="185"/>
      <c r="J139" s="183"/>
      <c r="K139" s="183"/>
      <c r="L139" s="183"/>
      <c r="M139" s="183"/>
      <c r="N139" s="183"/>
      <c r="P139" s="183"/>
      <c r="Q139" s="183"/>
      <c r="R139" s="183"/>
      <c r="U139" s="183" t="s">
        <v>422</v>
      </c>
      <c r="AJ139" s="156"/>
      <c r="AK139" s="156"/>
      <c r="AL139" s="156"/>
      <c r="AM139" s="156"/>
    </row>
    <row r="140" spans="4:39" x14ac:dyDescent="0.25">
      <c r="H140" s="185"/>
      <c r="I140" s="185"/>
      <c r="J140" s="183"/>
      <c r="K140" s="183"/>
      <c r="L140" s="183"/>
      <c r="M140" s="183"/>
      <c r="N140" s="183"/>
      <c r="P140" s="183"/>
      <c r="Q140" s="183"/>
      <c r="R140" s="183"/>
      <c r="U140" s="183" t="s">
        <v>422</v>
      </c>
      <c r="AJ140" s="156"/>
      <c r="AK140" s="156"/>
      <c r="AL140" s="156"/>
      <c r="AM140" s="156"/>
    </row>
    <row r="141" spans="4:39" x14ac:dyDescent="0.25">
      <c r="H141" s="185"/>
      <c r="I141" s="185"/>
      <c r="J141" s="183"/>
      <c r="K141" s="183"/>
      <c r="L141" s="183"/>
      <c r="M141" s="183"/>
      <c r="N141" s="183"/>
      <c r="P141" s="183"/>
      <c r="Q141" s="183"/>
      <c r="R141" s="183"/>
      <c r="U141" s="183" t="s">
        <v>422</v>
      </c>
      <c r="AJ141" s="156"/>
      <c r="AK141" s="156"/>
      <c r="AL141" s="156"/>
      <c r="AM141" s="156"/>
    </row>
    <row r="142" spans="4:39" x14ac:dyDescent="0.25">
      <c r="H142" s="185"/>
      <c r="I142" s="185"/>
      <c r="J142" s="183"/>
      <c r="K142" s="183"/>
      <c r="L142" s="183"/>
      <c r="M142" s="183"/>
      <c r="N142" s="183"/>
      <c r="P142" s="183"/>
      <c r="Q142" s="183"/>
      <c r="R142" s="183"/>
      <c r="U142" s="183"/>
      <c r="AJ142" s="156"/>
      <c r="AK142" s="156"/>
      <c r="AL142" s="156"/>
      <c r="AM142" s="156"/>
    </row>
    <row r="143" spans="4:39" x14ac:dyDescent="0.25">
      <c r="D143" s="188"/>
      <c r="H143" s="185"/>
      <c r="I143" s="185"/>
      <c r="J143" s="183"/>
      <c r="K143" s="183"/>
      <c r="L143" s="183"/>
      <c r="M143" s="183"/>
      <c r="N143" s="183"/>
      <c r="P143" s="183"/>
      <c r="Q143" s="183"/>
      <c r="R143" s="183"/>
      <c r="U143" s="183" t="s">
        <v>423</v>
      </c>
      <c r="AJ143" s="156"/>
      <c r="AK143" s="156"/>
      <c r="AL143" s="156"/>
      <c r="AM143" s="156"/>
    </row>
    <row r="144" spans="4:39" x14ac:dyDescent="0.25">
      <c r="D144" s="188"/>
      <c r="H144" s="185"/>
      <c r="I144" s="185"/>
      <c r="J144" s="183"/>
      <c r="K144" s="183"/>
      <c r="L144" s="183"/>
      <c r="M144" s="183"/>
      <c r="N144" s="183"/>
      <c r="P144" s="183"/>
      <c r="Q144" s="183"/>
      <c r="R144" s="183"/>
      <c r="U144" s="183" t="s">
        <v>423</v>
      </c>
      <c r="AJ144" s="156"/>
      <c r="AK144" s="156"/>
      <c r="AL144" s="156"/>
      <c r="AM144" s="156"/>
    </row>
    <row r="145" spans="4:39" x14ac:dyDescent="0.25">
      <c r="D145" s="188"/>
      <c r="H145" s="185"/>
      <c r="I145" s="185"/>
      <c r="J145" s="183"/>
      <c r="K145" s="183"/>
      <c r="L145" s="183"/>
      <c r="M145" s="183"/>
      <c r="N145" s="183"/>
      <c r="P145" s="183"/>
      <c r="Q145" s="183"/>
      <c r="R145" s="183"/>
      <c r="U145" s="183" t="s">
        <v>423</v>
      </c>
      <c r="AJ145" s="156"/>
      <c r="AK145" s="156"/>
      <c r="AL145" s="156"/>
      <c r="AM145" s="156"/>
    </row>
    <row r="146" spans="4:39" x14ac:dyDescent="0.25">
      <c r="D146" s="188"/>
      <c r="H146" s="185"/>
      <c r="I146" s="185"/>
      <c r="J146" s="183"/>
      <c r="K146" s="183"/>
      <c r="L146" s="183"/>
      <c r="M146" s="183"/>
      <c r="N146" s="183"/>
      <c r="P146" s="183"/>
      <c r="Q146" s="183"/>
      <c r="R146" s="183"/>
      <c r="U146" s="183" t="s">
        <v>423</v>
      </c>
      <c r="AJ146" s="156"/>
      <c r="AK146" s="156"/>
      <c r="AL146" s="156"/>
      <c r="AM146" s="156"/>
    </row>
    <row r="147" spans="4:39" x14ac:dyDescent="0.25">
      <c r="D147" s="188"/>
      <c r="H147" s="185"/>
      <c r="I147" s="185"/>
      <c r="J147" s="183"/>
      <c r="K147" s="183"/>
      <c r="L147" s="183"/>
      <c r="M147" s="183"/>
      <c r="N147" s="183"/>
      <c r="P147" s="183"/>
      <c r="Q147" s="183"/>
      <c r="R147" s="183"/>
      <c r="U147" s="183" t="s">
        <v>423</v>
      </c>
      <c r="AJ147" s="156"/>
      <c r="AK147" s="156"/>
      <c r="AL147" s="156"/>
      <c r="AM147" s="156"/>
    </row>
    <row r="148" spans="4:39" x14ac:dyDescent="0.25">
      <c r="D148" s="188"/>
      <c r="H148" s="185"/>
      <c r="I148" s="185"/>
      <c r="J148" s="183"/>
      <c r="K148" s="183"/>
      <c r="L148" s="183"/>
      <c r="M148" s="183"/>
      <c r="N148" s="183"/>
      <c r="P148" s="183"/>
      <c r="Q148" s="183"/>
      <c r="R148" s="183"/>
      <c r="U148" s="183" t="s">
        <v>423</v>
      </c>
      <c r="AJ148" s="156"/>
      <c r="AK148" s="156"/>
      <c r="AL148" s="156"/>
      <c r="AM148" s="156"/>
    </row>
    <row r="149" spans="4:39" x14ac:dyDescent="0.25">
      <c r="D149" s="188"/>
      <c r="H149" s="185"/>
      <c r="I149" s="185"/>
      <c r="J149" s="183"/>
      <c r="K149" s="183"/>
      <c r="L149" s="183"/>
      <c r="M149" s="183"/>
      <c r="N149" s="183"/>
      <c r="P149" s="183"/>
      <c r="Q149" s="183"/>
      <c r="R149" s="183"/>
      <c r="U149" s="183" t="s">
        <v>423</v>
      </c>
      <c r="AJ149" s="156"/>
      <c r="AK149" s="156"/>
      <c r="AL149" s="156"/>
      <c r="AM149" s="156"/>
    </row>
    <row r="150" spans="4:39" x14ac:dyDescent="0.25">
      <c r="D150" s="188"/>
      <c r="H150" s="185"/>
      <c r="I150" s="185"/>
      <c r="J150" s="183"/>
      <c r="K150" s="183"/>
      <c r="L150" s="183"/>
      <c r="M150" s="183"/>
      <c r="N150" s="183"/>
      <c r="P150" s="183"/>
      <c r="Q150" s="183"/>
      <c r="R150" s="183"/>
      <c r="U150" s="183" t="s">
        <v>423</v>
      </c>
      <c r="AJ150" s="156"/>
      <c r="AK150" s="156"/>
      <c r="AL150" s="156"/>
      <c r="AM150" s="156"/>
    </row>
    <row r="151" spans="4:39" x14ac:dyDescent="0.25">
      <c r="D151" s="188"/>
      <c r="H151" s="185"/>
      <c r="I151" s="185"/>
      <c r="J151" s="183"/>
      <c r="K151" s="183"/>
      <c r="L151" s="183"/>
      <c r="M151" s="183"/>
      <c r="N151" s="183"/>
      <c r="P151" s="183"/>
      <c r="Q151" s="183"/>
      <c r="R151" s="183"/>
      <c r="U151" s="183" t="s">
        <v>423</v>
      </c>
      <c r="AJ151" s="156"/>
      <c r="AK151" s="156"/>
      <c r="AL151" s="156"/>
      <c r="AM151" s="156"/>
    </row>
    <row r="152" spans="4:39" x14ac:dyDescent="0.25">
      <c r="D152" s="188"/>
      <c r="H152" s="185"/>
      <c r="I152" s="185"/>
      <c r="J152" s="183"/>
      <c r="K152" s="183"/>
      <c r="L152" s="183"/>
      <c r="M152" s="183"/>
      <c r="N152" s="183"/>
      <c r="P152" s="183"/>
      <c r="Q152" s="183"/>
      <c r="R152" s="183"/>
      <c r="U152" s="183" t="s">
        <v>423</v>
      </c>
      <c r="AJ152" s="156"/>
      <c r="AK152" s="156"/>
      <c r="AL152" s="156"/>
      <c r="AM152" s="156"/>
    </row>
    <row r="153" spans="4:39" x14ac:dyDescent="0.25">
      <c r="D153" s="188"/>
      <c r="H153" s="185"/>
      <c r="I153" s="185"/>
      <c r="J153" s="183"/>
      <c r="K153" s="183"/>
      <c r="L153" s="183"/>
      <c r="M153" s="183"/>
      <c r="N153" s="183"/>
      <c r="P153" s="183"/>
      <c r="Q153" s="183"/>
      <c r="R153" s="183"/>
      <c r="U153" s="183" t="s">
        <v>423</v>
      </c>
      <c r="AJ153" s="156"/>
      <c r="AK153" s="156"/>
      <c r="AL153" s="156"/>
      <c r="AM153" s="156"/>
    </row>
    <row r="154" spans="4:39" x14ac:dyDescent="0.25">
      <c r="D154" s="188"/>
      <c r="H154" s="185"/>
      <c r="I154" s="185"/>
      <c r="J154" s="183"/>
      <c r="K154" s="183"/>
      <c r="L154" s="183"/>
      <c r="M154" s="183"/>
      <c r="N154" s="183"/>
      <c r="P154" s="183"/>
      <c r="Q154" s="183"/>
      <c r="R154" s="183"/>
      <c r="U154" s="183" t="s">
        <v>423</v>
      </c>
      <c r="AJ154" s="156"/>
      <c r="AK154" s="156"/>
      <c r="AL154" s="156"/>
      <c r="AM154" s="156"/>
    </row>
    <row r="155" spans="4:39" x14ac:dyDescent="0.25">
      <c r="H155" s="185"/>
      <c r="I155" s="185"/>
      <c r="J155" s="183"/>
      <c r="K155" s="183"/>
      <c r="L155" s="183"/>
      <c r="M155" s="183"/>
      <c r="N155" s="183"/>
      <c r="P155" s="183"/>
      <c r="Q155" s="183"/>
      <c r="R155" s="183"/>
      <c r="U155" s="183" t="s">
        <v>423</v>
      </c>
      <c r="AJ155" s="156"/>
      <c r="AK155" s="156"/>
      <c r="AL155" s="156"/>
      <c r="AM155" s="156"/>
    </row>
    <row r="156" spans="4:39" x14ac:dyDescent="0.25">
      <c r="H156" s="185"/>
      <c r="I156" s="185"/>
      <c r="J156" s="183"/>
      <c r="K156" s="183"/>
      <c r="L156" s="183"/>
      <c r="M156" s="183"/>
      <c r="N156" s="183"/>
      <c r="P156" s="183"/>
      <c r="Q156" s="183"/>
      <c r="R156" s="183"/>
      <c r="AJ156" s="156"/>
      <c r="AK156" s="156"/>
      <c r="AL156" s="156"/>
      <c r="AM156" s="156"/>
    </row>
    <row r="157" spans="4:39" x14ac:dyDescent="0.25">
      <c r="H157" s="185"/>
      <c r="I157" s="185"/>
      <c r="J157" s="183"/>
      <c r="K157" s="183"/>
      <c r="L157" s="183"/>
      <c r="M157" s="183"/>
      <c r="N157" s="183"/>
      <c r="P157" s="183"/>
      <c r="Q157" s="183"/>
      <c r="R157" s="183"/>
      <c r="U157" s="183" t="s">
        <v>420</v>
      </c>
      <c r="AJ157" s="156"/>
      <c r="AK157" s="156"/>
      <c r="AL157" s="156"/>
      <c r="AM157" s="156"/>
    </row>
    <row r="158" spans="4:39" x14ac:dyDescent="0.25">
      <c r="H158" s="185"/>
      <c r="I158" s="185"/>
      <c r="J158" s="183"/>
      <c r="K158" s="183"/>
      <c r="L158" s="183"/>
      <c r="M158" s="183"/>
      <c r="N158" s="183"/>
      <c r="P158" s="183"/>
      <c r="Q158" s="183"/>
      <c r="R158" s="183"/>
      <c r="U158" s="183" t="s">
        <v>420</v>
      </c>
      <c r="AJ158" s="156"/>
      <c r="AK158" s="156"/>
      <c r="AL158" s="156"/>
      <c r="AM158" s="156"/>
    </row>
    <row r="159" spans="4:39" x14ac:dyDescent="0.25">
      <c r="H159" s="185"/>
      <c r="I159" s="185"/>
      <c r="J159" s="183"/>
      <c r="K159" s="183"/>
      <c r="L159" s="183"/>
      <c r="M159" s="183"/>
      <c r="N159" s="183"/>
      <c r="P159" s="183"/>
      <c r="Q159" s="183"/>
      <c r="R159" s="183"/>
      <c r="U159" s="183" t="s">
        <v>420</v>
      </c>
      <c r="AJ159" s="156"/>
      <c r="AK159" s="156"/>
      <c r="AL159" s="156"/>
      <c r="AM159" s="156"/>
    </row>
    <row r="160" spans="4:39" x14ac:dyDescent="0.25">
      <c r="H160" s="185"/>
      <c r="I160" s="185"/>
      <c r="J160" s="183"/>
      <c r="K160" s="183"/>
      <c r="L160" s="183"/>
      <c r="M160" s="183"/>
      <c r="N160" s="183"/>
      <c r="P160" s="183"/>
      <c r="Q160" s="183"/>
      <c r="R160" s="183"/>
      <c r="U160" s="183" t="s">
        <v>420</v>
      </c>
      <c r="AJ160" s="156"/>
      <c r="AK160" s="156"/>
      <c r="AL160" s="156"/>
      <c r="AM160" s="156"/>
    </row>
    <row r="161" spans="8:39" x14ac:dyDescent="0.25">
      <c r="H161" s="185"/>
      <c r="I161" s="185"/>
      <c r="J161" s="183"/>
      <c r="K161" s="183"/>
      <c r="L161" s="183"/>
      <c r="M161" s="183"/>
      <c r="N161" s="183"/>
      <c r="P161" s="183"/>
      <c r="Q161" s="183"/>
      <c r="R161" s="183"/>
      <c r="U161" s="183" t="s">
        <v>420</v>
      </c>
      <c r="AJ161" s="156"/>
      <c r="AK161" s="156"/>
      <c r="AL161" s="156"/>
      <c r="AM161" s="156"/>
    </row>
    <row r="162" spans="8:39" x14ac:dyDescent="0.25">
      <c r="H162" s="185"/>
      <c r="I162" s="185"/>
      <c r="J162" s="183"/>
      <c r="K162" s="183"/>
      <c r="L162" s="183"/>
      <c r="M162" s="183"/>
      <c r="N162" s="183"/>
      <c r="P162" s="183"/>
      <c r="Q162" s="183"/>
      <c r="R162" s="183"/>
      <c r="U162" s="183" t="s">
        <v>420</v>
      </c>
      <c r="AJ162" s="156"/>
      <c r="AK162" s="156"/>
      <c r="AL162" s="156"/>
      <c r="AM162" s="156"/>
    </row>
    <row r="163" spans="8:39" x14ac:dyDescent="0.25">
      <c r="H163" s="185"/>
      <c r="I163" s="185"/>
      <c r="J163" s="183"/>
      <c r="K163" s="183"/>
      <c r="L163" s="183"/>
      <c r="M163" s="183"/>
      <c r="N163" s="183"/>
      <c r="P163" s="183"/>
      <c r="Q163" s="183"/>
      <c r="R163" s="183"/>
      <c r="U163" s="183" t="s">
        <v>420</v>
      </c>
      <c r="AJ163" s="156"/>
      <c r="AK163" s="156"/>
      <c r="AL163" s="156"/>
      <c r="AM163" s="156"/>
    </row>
    <row r="164" spans="8:39" x14ac:dyDescent="0.25">
      <c r="H164" s="185"/>
      <c r="I164" s="185"/>
      <c r="J164" s="183"/>
      <c r="K164" s="183"/>
      <c r="L164" s="183"/>
      <c r="M164" s="183"/>
      <c r="N164" s="183"/>
      <c r="P164" s="183"/>
      <c r="Q164" s="183"/>
      <c r="R164" s="183"/>
      <c r="U164" s="183" t="s">
        <v>420</v>
      </c>
      <c r="AJ164" s="156"/>
      <c r="AK164" s="156"/>
      <c r="AL164" s="156"/>
      <c r="AM164" s="156"/>
    </row>
    <row r="165" spans="8:39" x14ac:dyDescent="0.25">
      <c r="H165" s="185"/>
      <c r="I165" s="185"/>
      <c r="J165" s="183"/>
      <c r="K165" s="183"/>
      <c r="L165" s="183"/>
      <c r="M165" s="183"/>
      <c r="N165" s="183"/>
      <c r="P165" s="183"/>
      <c r="Q165" s="183"/>
      <c r="R165" s="183"/>
      <c r="U165" s="183" t="s">
        <v>420</v>
      </c>
      <c r="AJ165" s="156"/>
      <c r="AK165" s="156"/>
      <c r="AL165" s="156"/>
      <c r="AM165" s="156"/>
    </row>
    <row r="166" spans="8:39" x14ac:dyDescent="0.25">
      <c r="H166" s="185"/>
      <c r="I166" s="185"/>
      <c r="J166" s="183"/>
      <c r="K166" s="183"/>
      <c r="L166" s="183"/>
      <c r="M166" s="183"/>
      <c r="N166" s="183"/>
      <c r="P166" s="183"/>
      <c r="Q166" s="183"/>
      <c r="R166" s="183"/>
      <c r="U166" s="183" t="s">
        <v>420</v>
      </c>
      <c r="AJ166" s="156"/>
      <c r="AK166" s="156"/>
      <c r="AL166" s="156"/>
      <c r="AM166" s="156"/>
    </row>
    <row r="167" spans="8:39" x14ac:dyDescent="0.25">
      <c r="H167" s="185"/>
      <c r="I167" s="185"/>
      <c r="J167" s="183"/>
      <c r="K167" s="183"/>
      <c r="L167" s="183"/>
      <c r="M167" s="183"/>
      <c r="N167" s="183"/>
      <c r="P167" s="183"/>
      <c r="Q167" s="183"/>
      <c r="R167" s="183"/>
      <c r="U167" s="183" t="s">
        <v>420</v>
      </c>
      <c r="AJ167" s="156"/>
      <c r="AK167" s="156"/>
      <c r="AL167" s="156"/>
      <c r="AM167" s="156"/>
    </row>
    <row r="168" spans="8:39" x14ac:dyDescent="0.25">
      <c r="H168" s="185"/>
      <c r="I168" s="185"/>
      <c r="J168" s="183"/>
      <c r="K168" s="183"/>
      <c r="L168" s="183"/>
      <c r="M168" s="183"/>
      <c r="N168" s="183"/>
      <c r="P168" s="183"/>
      <c r="Q168" s="183"/>
      <c r="R168" s="183"/>
      <c r="U168" s="183" t="s">
        <v>420</v>
      </c>
      <c r="AJ168" s="156"/>
      <c r="AK168" s="156"/>
      <c r="AL168" s="156"/>
      <c r="AM168" s="156"/>
    </row>
    <row r="169" spans="8:39" x14ac:dyDescent="0.25">
      <c r="H169" s="185"/>
      <c r="I169" s="185"/>
      <c r="J169" s="183"/>
      <c r="K169" s="183"/>
      <c r="L169" s="183"/>
      <c r="M169" s="183"/>
      <c r="N169" s="183"/>
      <c r="P169" s="183"/>
      <c r="Q169" s="183"/>
      <c r="R169" s="183"/>
      <c r="U169" s="183" t="s">
        <v>420</v>
      </c>
      <c r="AJ169" s="156"/>
      <c r="AK169" s="156"/>
      <c r="AL169" s="156"/>
      <c r="AM169" s="156"/>
    </row>
    <row r="170" spans="8:39" x14ac:dyDescent="0.25">
      <c r="H170" s="185"/>
      <c r="I170" s="185"/>
      <c r="J170" s="183"/>
      <c r="K170" s="183"/>
      <c r="L170" s="183"/>
      <c r="M170" s="183"/>
      <c r="N170" s="183"/>
      <c r="P170" s="183"/>
      <c r="Q170" s="183"/>
      <c r="R170" s="183"/>
      <c r="U170" s="183"/>
      <c r="AJ170" s="156"/>
      <c r="AK170" s="156"/>
      <c r="AL170" s="156"/>
      <c r="AM170" s="156"/>
    </row>
    <row r="171" spans="8:39" x14ac:dyDescent="0.25">
      <c r="H171" s="185"/>
      <c r="I171" s="185"/>
      <c r="J171" s="183"/>
      <c r="K171" s="183"/>
      <c r="L171" s="183"/>
      <c r="M171" s="183"/>
      <c r="N171" s="183"/>
      <c r="P171" s="183"/>
      <c r="Q171" s="183"/>
      <c r="R171" s="183"/>
      <c r="U171" s="183" t="s">
        <v>421</v>
      </c>
      <c r="AJ171" s="156"/>
      <c r="AK171" s="156"/>
      <c r="AL171" s="156"/>
      <c r="AM171" s="156"/>
    </row>
    <row r="172" spans="8:39" x14ac:dyDescent="0.25">
      <c r="H172" s="185"/>
      <c r="I172" s="185"/>
      <c r="J172" s="183"/>
      <c r="K172" s="183"/>
      <c r="L172" s="183"/>
      <c r="M172" s="183"/>
      <c r="N172" s="183"/>
      <c r="P172" s="183"/>
      <c r="Q172" s="183"/>
      <c r="R172" s="183"/>
      <c r="U172" s="183" t="s">
        <v>421</v>
      </c>
      <c r="AJ172" s="156"/>
      <c r="AK172" s="156"/>
      <c r="AL172" s="156"/>
      <c r="AM172" s="156"/>
    </row>
    <row r="173" spans="8:39" x14ac:dyDescent="0.25">
      <c r="H173" s="185"/>
      <c r="I173" s="185"/>
      <c r="J173" s="183"/>
      <c r="K173" s="183"/>
      <c r="L173" s="183"/>
      <c r="M173" s="183"/>
      <c r="N173" s="183"/>
      <c r="P173" s="183"/>
      <c r="Q173" s="183"/>
      <c r="R173" s="183"/>
      <c r="U173" s="183" t="s">
        <v>421</v>
      </c>
      <c r="AJ173" s="156"/>
      <c r="AK173" s="156"/>
      <c r="AL173" s="156"/>
      <c r="AM173" s="156"/>
    </row>
    <row r="174" spans="8:39" x14ac:dyDescent="0.25">
      <c r="H174" s="185"/>
      <c r="I174" s="185"/>
      <c r="J174" s="183"/>
      <c r="K174" s="183"/>
      <c r="L174" s="183"/>
      <c r="M174" s="183"/>
      <c r="N174" s="183"/>
      <c r="P174" s="183"/>
      <c r="Q174" s="183"/>
      <c r="R174" s="183"/>
      <c r="U174" s="183" t="s">
        <v>421</v>
      </c>
      <c r="AJ174" s="156"/>
      <c r="AK174" s="156"/>
      <c r="AL174" s="156"/>
      <c r="AM174" s="156"/>
    </row>
    <row r="175" spans="8:39" x14ac:dyDescent="0.25">
      <c r="H175" s="185"/>
      <c r="I175" s="185"/>
      <c r="J175" s="183"/>
      <c r="K175" s="183"/>
      <c r="L175" s="183"/>
      <c r="M175" s="183"/>
      <c r="N175" s="183"/>
      <c r="P175" s="183"/>
      <c r="Q175" s="183"/>
      <c r="R175" s="183"/>
      <c r="U175" s="183" t="s">
        <v>421</v>
      </c>
      <c r="AJ175" s="156"/>
      <c r="AK175" s="156"/>
      <c r="AL175" s="156"/>
      <c r="AM175" s="156"/>
    </row>
    <row r="176" spans="8:39" x14ac:dyDescent="0.25">
      <c r="H176" s="185"/>
      <c r="I176" s="185"/>
      <c r="J176" s="183"/>
      <c r="K176" s="183"/>
      <c r="L176" s="183"/>
      <c r="M176" s="183"/>
      <c r="N176" s="183"/>
      <c r="P176" s="183"/>
      <c r="Q176" s="183"/>
      <c r="R176" s="183"/>
      <c r="U176" s="183" t="s">
        <v>421</v>
      </c>
      <c r="AJ176" s="156"/>
      <c r="AK176" s="156"/>
      <c r="AL176" s="156"/>
      <c r="AM176" s="156"/>
    </row>
    <row r="177" spans="8:39" x14ac:dyDescent="0.25">
      <c r="H177" s="185"/>
      <c r="I177" s="185"/>
      <c r="J177" s="183"/>
      <c r="K177" s="183"/>
      <c r="L177" s="183"/>
      <c r="M177" s="183"/>
      <c r="N177" s="183"/>
      <c r="P177" s="183"/>
      <c r="Q177" s="183"/>
      <c r="R177" s="183"/>
      <c r="U177" s="183" t="s">
        <v>421</v>
      </c>
      <c r="AJ177" s="156"/>
      <c r="AK177" s="156"/>
      <c r="AL177" s="156"/>
      <c r="AM177" s="156"/>
    </row>
    <row r="178" spans="8:39" x14ac:dyDescent="0.25">
      <c r="H178" s="185"/>
      <c r="I178" s="185"/>
      <c r="J178" s="183"/>
      <c r="K178" s="183"/>
      <c r="L178" s="183"/>
      <c r="M178" s="183"/>
      <c r="N178" s="183"/>
      <c r="P178" s="183"/>
      <c r="Q178" s="183"/>
      <c r="R178" s="183"/>
      <c r="U178" s="183" t="s">
        <v>421</v>
      </c>
      <c r="AJ178" s="156"/>
      <c r="AK178" s="156"/>
      <c r="AL178" s="156"/>
      <c r="AM178" s="156"/>
    </row>
    <row r="179" spans="8:39" x14ac:dyDescent="0.25">
      <c r="H179" s="185"/>
      <c r="I179" s="185"/>
      <c r="J179" s="183"/>
      <c r="K179" s="183"/>
      <c r="L179" s="183"/>
      <c r="M179" s="183"/>
      <c r="N179" s="183"/>
      <c r="P179" s="183"/>
      <c r="Q179" s="183"/>
      <c r="R179" s="183"/>
      <c r="U179" s="183" t="s">
        <v>421</v>
      </c>
      <c r="AJ179" s="156"/>
      <c r="AK179" s="156"/>
      <c r="AL179" s="156"/>
      <c r="AM179" s="156"/>
    </row>
    <row r="180" spans="8:39" x14ac:dyDescent="0.25">
      <c r="H180" s="185"/>
      <c r="I180" s="185"/>
      <c r="J180" s="183"/>
      <c r="K180" s="183"/>
      <c r="L180" s="183"/>
      <c r="M180" s="183"/>
      <c r="N180" s="183"/>
      <c r="P180" s="183"/>
      <c r="Q180" s="183"/>
      <c r="R180" s="183"/>
      <c r="U180" s="183" t="s">
        <v>421</v>
      </c>
      <c r="AJ180" s="156"/>
      <c r="AK180" s="156"/>
      <c r="AL180" s="156"/>
      <c r="AM180" s="156"/>
    </row>
    <row r="181" spans="8:39" x14ac:dyDescent="0.25">
      <c r="H181" s="185"/>
      <c r="I181" s="185"/>
      <c r="J181" s="183"/>
      <c r="K181" s="183"/>
      <c r="L181" s="183"/>
      <c r="M181" s="183"/>
      <c r="N181" s="183"/>
      <c r="P181" s="183"/>
      <c r="Q181" s="183"/>
      <c r="R181" s="183"/>
      <c r="U181" s="183" t="s">
        <v>421</v>
      </c>
      <c r="AJ181" s="156"/>
      <c r="AK181" s="156"/>
      <c r="AL181" s="156"/>
      <c r="AM181" s="156"/>
    </row>
    <row r="182" spans="8:39" x14ac:dyDescent="0.25">
      <c r="H182" s="185"/>
      <c r="I182" s="185"/>
      <c r="J182" s="183"/>
      <c r="K182" s="183"/>
      <c r="L182" s="183"/>
      <c r="M182" s="183"/>
      <c r="N182" s="183"/>
      <c r="P182" s="183"/>
      <c r="Q182" s="183"/>
      <c r="R182" s="183"/>
      <c r="U182" s="183" t="s">
        <v>421</v>
      </c>
      <c r="AJ182" s="156"/>
      <c r="AK182" s="156"/>
      <c r="AL182" s="156"/>
      <c r="AM182" s="156"/>
    </row>
    <row r="183" spans="8:39" x14ac:dyDescent="0.25">
      <c r="H183" s="185"/>
      <c r="I183" s="185"/>
      <c r="J183" s="183"/>
      <c r="K183" s="183"/>
      <c r="L183" s="183"/>
      <c r="M183" s="183"/>
      <c r="N183" s="183"/>
      <c r="P183" s="183"/>
      <c r="Q183" s="183"/>
      <c r="R183" s="183"/>
      <c r="U183" s="183" t="s">
        <v>421</v>
      </c>
      <c r="AJ183" s="156"/>
      <c r="AK183" s="156"/>
      <c r="AL183" s="156"/>
      <c r="AM183" s="156"/>
    </row>
    <row r="184" spans="8:39" x14ac:dyDescent="0.25">
      <c r="H184" s="185"/>
      <c r="I184" s="185"/>
      <c r="J184" s="183"/>
      <c r="K184" s="183"/>
      <c r="L184" s="183"/>
      <c r="M184" s="183"/>
      <c r="N184" s="183"/>
      <c r="P184" s="183"/>
      <c r="Q184" s="183"/>
      <c r="R184" s="183"/>
      <c r="U184" s="183"/>
      <c r="AJ184" s="156"/>
      <c r="AK184" s="156"/>
      <c r="AL184" s="156"/>
      <c r="AM184" s="156"/>
    </row>
    <row r="185" spans="8:39" x14ac:dyDescent="0.25">
      <c r="H185" s="185"/>
      <c r="I185" s="185"/>
      <c r="J185" s="183"/>
      <c r="K185" s="183"/>
      <c r="L185" s="183"/>
      <c r="M185" s="183"/>
      <c r="N185" s="183"/>
      <c r="P185" s="183"/>
      <c r="Q185" s="183"/>
      <c r="R185" s="183"/>
      <c r="U185" s="183" t="s">
        <v>422</v>
      </c>
      <c r="AJ185" s="156"/>
      <c r="AK185" s="156"/>
      <c r="AL185" s="156"/>
      <c r="AM185" s="156"/>
    </row>
    <row r="186" spans="8:39" x14ac:dyDescent="0.25">
      <c r="H186" s="185"/>
      <c r="I186" s="185"/>
      <c r="J186" s="183"/>
      <c r="K186" s="183"/>
      <c r="L186" s="183"/>
      <c r="M186" s="183"/>
      <c r="N186" s="183"/>
      <c r="P186" s="183"/>
      <c r="Q186" s="183"/>
      <c r="R186" s="183"/>
      <c r="U186" s="183" t="s">
        <v>422</v>
      </c>
      <c r="AJ186" s="156"/>
      <c r="AK186" s="156"/>
      <c r="AL186" s="156"/>
      <c r="AM186" s="156"/>
    </row>
    <row r="187" spans="8:39" x14ac:dyDescent="0.25">
      <c r="H187" s="185"/>
      <c r="I187" s="185"/>
      <c r="J187" s="183"/>
      <c r="K187" s="183"/>
      <c r="L187" s="183"/>
      <c r="M187" s="183"/>
      <c r="N187" s="183"/>
      <c r="P187" s="183"/>
      <c r="Q187" s="183"/>
      <c r="R187" s="183"/>
      <c r="U187" s="183" t="s">
        <v>422</v>
      </c>
      <c r="AJ187" s="156"/>
      <c r="AK187" s="156"/>
      <c r="AL187" s="156"/>
      <c r="AM187" s="156"/>
    </row>
    <row r="188" spans="8:39" x14ac:dyDescent="0.25">
      <c r="H188" s="185"/>
      <c r="I188" s="185"/>
      <c r="J188" s="183"/>
      <c r="K188" s="183"/>
      <c r="L188" s="183"/>
      <c r="M188" s="183"/>
      <c r="N188" s="183"/>
      <c r="P188" s="183"/>
      <c r="Q188" s="183"/>
      <c r="R188" s="183"/>
      <c r="U188" s="183" t="s">
        <v>422</v>
      </c>
      <c r="AJ188" s="156"/>
      <c r="AK188" s="156"/>
      <c r="AL188" s="156"/>
      <c r="AM188" s="156"/>
    </row>
    <row r="189" spans="8:39" x14ac:dyDescent="0.25">
      <c r="H189" s="185"/>
      <c r="I189" s="185"/>
      <c r="J189" s="183"/>
      <c r="K189" s="183"/>
      <c r="L189" s="183"/>
      <c r="M189" s="183"/>
      <c r="N189" s="183"/>
      <c r="P189" s="183"/>
      <c r="Q189" s="183"/>
      <c r="R189" s="183"/>
      <c r="U189" s="183" t="s">
        <v>422</v>
      </c>
      <c r="AJ189" s="156"/>
      <c r="AK189" s="156"/>
      <c r="AL189" s="156"/>
      <c r="AM189" s="156"/>
    </row>
    <row r="190" spans="8:39" x14ac:dyDescent="0.25">
      <c r="H190" s="185"/>
      <c r="I190" s="185"/>
      <c r="J190" s="183"/>
      <c r="K190" s="183"/>
      <c r="L190" s="183"/>
      <c r="M190" s="183"/>
      <c r="N190" s="183"/>
      <c r="P190" s="183"/>
      <c r="Q190" s="183"/>
      <c r="R190" s="183"/>
      <c r="U190" s="183" t="s">
        <v>422</v>
      </c>
      <c r="AJ190" s="156"/>
      <c r="AK190" s="156"/>
      <c r="AL190" s="156"/>
      <c r="AM190" s="156"/>
    </row>
    <row r="191" spans="8:39" x14ac:dyDescent="0.25">
      <c r="H191" s="185"/>
      <c r="I191" s="185"/>
      <c r="J191" s="183"/>
      <c r="K191" s="183"/>
      <c r="L191" s="183"/>
      <c r="M191" s="183"/>
      <c r="N191" s="183"/>
      <c r="P191" s="183"/>
      <c r="Q191" s="183"/>
      <c r="R191" s="183"/>
      <c r="U191" s="183" t="s">
        <v>422</v>
      </c>
      <c r="AJ191" s="156"/>
      <c r="AK191" s="156"/>
      <c r="AL191" s="156"/>
      <c r="AM191" s="156"/>
    </row>
    <row r="192" spans="8:39" x14ac:dyDescent="0.25">
      <c r="H192" s="185"/>
      <c r="I192" s="185"/>
      <c r="J192" s="183"/>
      <c r="K192" s="183"/>
      <c r="L192" s="183"/>
      <c r="M192" s="183"/>
      <c r="N192" s="183"/>
      <c r="P192" s="183"/>
      <c r="Q192" s="183"/>
      <c r="R192" s="183"/>
      <c r="U192" s="183" t="s">
        <v>422</v>
      </c>
      <c r="AJ192" s="156"/>
      <c r="AK192" s="156"/>
      <c r="AL192" s="156"/>
      <c r="AM192" s="156"/>
    </row>
    <row r="193" spans="4:39" x14ac:dyDescent="0.25">
      <c r="H193" s="185"/>
      <c r="I193" s="185"/>
      <c r="J193" s="183"/>
      <c r="K193" s="183"/>
      <c r="L193" s="183"/>
      <c r="M193" s="183"/>
      <c r="N193" s="183"/>
      <c r="P193" s="183"/>
      <c r="Q193" s="183"/>
      <c r="R193" s="183"/>
      <c r="U193" s="183" t="s">
        <v>422</v>
      </c>
      <c r="AJ193" s="156"/>
      <c r="AK193" s="156"/>
      <c r="AL193" s="156"/>
      <c r="AM193" s="156"/>
    </row>
    <row r="194" spans="4:39" x14ac:dyDescent="0.25">
      <c r="H194" s="185"/>
      <c r="I194" s="185"/>
      <c r="J194" s="183"/>
      <c r="K194" s="183"/>
      <c r="L194" s="183"/>
      <c r="M194" s="183"/>
      <c r="N194" s="183"/>
      <c r="P194" s="183"/>
      <c r="Q194" s="183"/>
      <c r="R194" s="183"/>
      <c r="U194" s="183" t="s">
        <v>422</v>
      </c>
      <c r="AJ194" s="156"/>
      <c r="AK194" s="156"/>
      <c r="AL194" s="156"/>
      <c r="AM194" s="156"/>
    </row>
    <row r="195" spans="4:39" x14ac:dyDescent="0.25">
      <c r="H195" s="185"/>
      <c r="I195" s="185"/>
      <c r="J195" s="183"/>
      <c r="K195" s="183"/>
      <c r="L195" s="183"/>
      <c r="M195" s="183"/>
      <c r="N195" s="183"/>
      <c r="P195" s="183"/>
      <c r="Q195" s="183"/>
      <c r="R195" s="183"/>
      <c r="U195" s="183" t="s">
        <v>422</v>
      </c>
      <c r="AJ195" s="156"/>
      <c r="AK195" s="156"/>
      <c r="AL195" s="156"/>
      <c r="AM195" s="156"/>
    </row>
    <row r="196" spans="4:39" x14ac:dyDescent="0.25">
      <c r="H196" s="185"/>
      <c r="I196" s="185"/>
      <c r="J196" s="183"/>
      <c r="K196" s="183"/>
      <c r="L196" s="183"/>
      <c r="M196" s="183"/>
      <c r="N196" s="183"/>
      <c r="P196" s="183"/>
      <c r="Q196" s="183"/>
      <c r="R196" s="183"/>
      <c r="U196" s="183" t="s">
        <v>422</v>
      </c>
      <c r="AJ196" s="156"/>
      <c r="AK196" s="156"/>
      <c r="AL196" s="156"/>
      <c r="AM196" s="156"/>
    </row>
    <row r="197" spans="4:39" x14ac:dyDescent="0.25">
      <c r="H197" s="182"/>
      <c r="I197" s="182"/>
      <c r="J197" s="183"/>
      <c r="K197" s="183"/>
      <c r="L197" s="183"/>
      <c r="M197" s="183"/>
      <c r="N197" s="183"/>
      <c r="P197" s="183"/>
      <c r="Q197" s="183"/>
      <c r="R197" s="183"/>
      <c r="U197" s="183" t="s">
        <v>422</v>
      </c>
      <c r="AJ197" s="156"/>
      <c r="AK197" s="156"/>
      <c r="AL197" s="156"/>
      <c r="AM197" s="156"/>
    </row>
    <row r="198" spans="4:39" x14ac:dyDescent="0.25">
      <c r="H198" s="182"/>
      <c r="I198" s="182"/>
      <c r="J198" s="183"/>
      <c r="K198" s="183"/>
      <c r="L198" s="183"/>
      <c r="M198" s="183"/>
      <c r="N198" s="183"/>
      <c r="P198" s="183"/>
      <c r="Q198" s="183"/>
      <c r="R198" s="183"/>
      <c r="U198" s="183"/>
      <c r="AJ198" s="156"/>
      <c r="AK198" s="156"/>
      <c r="AL198" s="156"/>
      <c r="AM198" s="156"/>
    </row>
    <row r="199" spans="4:39" x14ac:dyDescent="0.25">
      <c r="D199" s="188"/>
      <c r="H199" s="182"/>
      <c r="I199" s="182"/>
      <c r="J199" s="183"/>
      <c r="K199" s="183"/>
      <c r="L199" s="183"/>
      <c r="M199" s="183"/>
      <c r="N199" s="183"/>
      <c r="P199" s="183"/>
      <c r="Q199" s="183"/>
      <c r="R199" s="183"/>
      <c r="U199" s="183" t="s">
        <v>423</v>
      </c>
      <c r="AJ199" s="156"/>
      <c r="AK199" s="156"/>
      <c r="AL199" s="156"/>
      <c r="AM199" s="156"/>
    </row>
    <row r="200" spans="4:39" x14ac:dyDescent="0.25">
      <c r="D200" s="188"/>
      <c r="H200" s="182"/>
      <c r="I200" s="182"/>
      <c r="J200" s="183"/>
      <c r="K200" s="183"/>
      <c r="L200" s="183"/>
      <c r="M200" s="183"/>
      <c r="N200" s="183"/>
      <c r="P200" s="183"/>
      <c r="Q200" s="183"/>
      <c r="R200" s="183"/>
      <c r="U200" s="183" t="s">
        <v>423</v>
      </c>
      <c r="AJ200" s="156"/>
      <c r="AK200" s="156"/>
      <c r="AL200" s="156"/>
      <c r="AM200" s="156"/>
    </row>
    <row r="201" spans="4:39" x14ac:dyDescent="0.25">
      <c r="D201" s="188"/>
      <c r="H201" s="182"/>
      <c r="I201" s="182"/>
      <c r="J201" s="183"/>
      <c r="K201" s="183"/>
      <c r="L201" s="183"/>
      <c r="M201" s="183"/>
      <c r="N201" s="183"/>
      <c r="P201" s="183"/>
      <c r="Q201" s="183"/>
      <c r="R201" s="183"/>
      <c r="U201" s="183" t="s">
        <v>423</v>
      </c>
      <c r="AJ201" s="156"/>
      <c r="AK201" s="156"/>
      <c r="AL201" s="156"/>
      <c r="AM201" s="156"/>
    </row>
    <row r="202" spans="4:39" x14ac:dyDescent="0.25">
      <c r="D202" s="188"/>
      <c r="H202" s="182"/>
      <c r="I202" s="182"/>
      <c r="J202" s="183"/>
      <c r="K202" s="183"/>
      <c r="L202" s="183"/>
      <c r="M202" s="183"/>
      <c r="N202" s="183"/>
      <c r="P202" s="183"/>
      <c r="Q202" s="183"/>
      <c r="R202" s="183"/>
      <c r="U202" s="183" t="s">
        <v>423</v>
      </c>
      <c r="AJ202" s="156"/>
      <c r="AK202" s="156"/>
      <c r="AL202" s="156"/>
      <c r="AM202" s="156"/>
    </row>
    <row r="203" spans="4:39" x14ac:dyDescent="0.25">
      <c r="D203" s="188"/>
      <c r="H203" s="182"/>
      <c r="I203" s="182"/>
      <c r="J203" s="183"/>
      <c r="K203" s="183"/>
      <c r="L203" s="183"/>
      <c r="M203" s="183"/>
      <c r="N203" s="183"/>
      <c r="P203" s="183"/>
      <c r="Q203" s="183"/>
      <c r="R203" s="183"/>
      <c r="U203" s="183" t="s">
        <v>423</v>
      </c>
      <c r="AJ203" s="156"/>
      <c r="AK203" s="156"/>
      <c r="AL203" s="156"/>
      <c r="AM203" s="156"/>
    </row>
    <row r="204" spans="4:39" x14ac:dyDescent="0.25">
      <c r="D204" s="188"/>
      <c r="H204" s="182"/>
      <c r="I204" s="182"/>
      <c r="J204" s="183"/>
      <c r="K204" s="183"/>
      <c r="L204" s="183"/>
      <c r="M204" s="183"/>
      <c r="N204" s="183"/>
      <c r="P204" s="183"/>
      <c r="Q204" s="183"/>
      <c r="R204" s="183"/>
      <c r="U204" s="183" t="s">
        <v>423</v>
      </c>
      <c r="AJ204" s="156"/>
      <c r="AK204" s="156"/>
      <c r="AL204" s="156"/>
      <c r="AM204" s="156"/>
    </row>
    <row r="205" spans="4:39" x14ac:dyDescent="0.25">
      <c r="D205" s="188"/>
      <c r="H205" s="182"/>
      <c r="I205" s="182"/>
      <c r="J205" s="183"/>
      <c r="K205" s="183"/>
      <c r="L205" s="183"/>
      <c r="M205" s="183"/>
      <c r="N205" s="183"/>
      <c r="P205" s="183"/>
      <c r="Q205" s="183"/>
      <c r="R205" s="183"/>
      <c r="U205" s="183" t="s">
        <v>423</v>
      </c>
      <c r="AJ205" s="156"/>
      <c r="AK205" s="156"/>
      <c r="AL205" s="156"/>
      <c r="AM205" s="156"/>
    </row>
    <row r="206" spans="4:39" x14ac:dyDescent="0.25">
      <c r="D206" s="188"/>
      <c r="H206" s="182"/>
      <c r="I206" s="182"/>
      <c r="J206" s="183"/>
      <c r="K206" s="183"/>
      <c r="L206" s="183"/>
      <c r="M206" s="183"/>
      <c r="N206" s="183"/>
      <c r="P206" s="183"/>
      <c r="Q206" s="183"/>
      <c r="R206" s="183"/>
      <c r="U206" s="183" t="s">
        <v>423</v>
      </c>
      <c r="AJ206" s="156"/>
      <c r="AK206" s="156"/>
      <c r="AL206" s="156"/>
      <c r="AM206" s="156"/>
    </row>
    <row r="207" spans="4:39" x14ac:dyDescent="0.25">
      <c r="D207" s="188"/>
      <c r="H207" s="182"/>
      <c r="I207" s="182"/>
      <c r="J207" s="183"/>
      <c r="K207" s="183"/>
      <c r="L207" s="183"/>
      <c r="M207" s="183"/>
      <c r="N207" s="183"/>
      <c r="P207" s="183"/>
      <c r="Q207" s="183"/>
      <c r="R207" s="183"/>
      <c r="U207" s="183" t="s">
        <v>423</v>
      </c>
      <c r="AJ207" s="156"/>
      <c r="AK207" s="156"/>
      <c r="AL207" s="156"/>
      <c r="AM207" s="156"/>
    </row>
    <row r="208" spans="4:39" x14ac:dyDescent="0.25">
      <c r="D208" s="188"/>
      <c r="H208" s="182"/>
      <c r="I208" s="182"/>
      <c r="J208" s="183"/>
      <c r="K208" s="183"/>
      <c r="L208" s="183"/>
      <c r="M208" s="183"/>
      <c r="N208" s="183"/>
      <c r="P208" s="183"/>
      <c r="Q208" s="183"/>
      <c r="R208" s="183"/>
      <c r="U208" s="183" t="s">
        <v>423</v>
      </c>
      <c r="AJ208" s="156"/>
      <c r="AK208" s="156"/>
      <c r="AL208" s="156"/>
      <c r="AM208" s="156"/>
    </row>
    <row r="209" spans="1:39" x14ac:dyDescent="0.25">
      <c r="D209" s="188"/>
      <c r="H209" s="182"/>
      <c r="I209" s="182"/>
      <c r="J209" s="183"/>
      <c r="K209" s="183"/>
      <c r="L209" s="183"/>
      <c r="M209" s="183"/>
      <c r="N209" s="183"/>
      <c r="P209" s="183"/>
      <c r="Q209" s="183"/>
      <c r="R209" s="183"/>
      <c r="U209" s="183" t="s">
        <v>423</v>
      </c>
      <c r="AJ209" s="156"/>
      <c r="AK209" s="156"/>
      <c r="AL209" s="156"/>
      <c r="AM209" s="156"/>
    </row>
    <row r="210" spans="1:39" x14ac:dyDescent="0.25">
      <c r="D210" s="188"/>
      <c r="H210" s="182"/>
      <c r="I210" s="182"/>
      <c r="J210" s="183"/>
      <c r="K210" s="183"/>
      <c r="L210" s="183"/>
      <c r="M210" s="183"/>
      <c r="N210" s="183"/>
      <c r="P210" s="183"/>
      <c r="Q210" s="183"/>
      <c r="R210" s="183"/>
      <c r="U210" s="183" t="s">
        <v>423</v>
      </c>
      <c r="AJ210" s="156"/>
      <c r="AK210" s="156"/>
      <c r="AL210" s="156"/>
      <c r="AM210" s="156"/>
    </row>
    <row r="211" spans="1:39" x14ac:dyDescent="0.25">
      <c r="A211" s="156"/>
      <c r="H211" s="185"/>
      <c r="I211" s="185"/>
      <c r="J211" s="187"/>
      <c r="K211" s="187"/>
      <c r="L211" s="185"/>
      <c r="M211" s="185"/>
      <c r="N211" s="185"/>
      <c r="O211" s="183"/>
      <c r="P211" s="185"/>
      <c r="Q211" s="185"/>
      <c r="R211" s="183"/>
      <c r="S211" s="156"/>
      <c r="U211" s="183" t="s">
        <v>423</v>
      </c>
      <c r="AJ211" s="156"/>
      <c r="AK211" s="156"/>
      <c r="AL211" s="156"/>
      <c r="AM211" s="156"/>
    </row>
    <row r="212" spans="1:39" x14ac:dyDescent="0.25">
      <c r="A212" s="156"/>
      <c r="H212" s="185"/>
      <c r="I212" s="185"/>
      <c r="J212" s="187"/>
      <c r="K212" s="187"/>
      <c r="L212" s="185"/>
      <c r="M212" s="185"/>
      <c r="N212" s="185"/>
      <c r="O212" s="183"/>
      <c r="P212" s="185"/>
      <c r="Q212" s="185"/>
      <c r="R212" s="183"/>
      <c r="S212" s="156"/>
      <c r="AJ212" s="156"/>
      <c r="AK212" s="156"/>
      <c r="AL212" s="156"/>
      <c r="AM212" s="156"/>
    </row>
    <row r="213" spans="1:39" x14ac:dyDescent="0.25">
      <c r="A213" s="156"/>
      <c r="B213" s="156"/>
      <c r="C213" s="156"/>
      <c r="D213" s="156"/>
      <c r="E213" s="156"/>
      <c r="F213" s="156"/>
      <c r="G213" s="126"/>
      <c r="H213" s="127"/>
      <c r="I213" s="127"/>
      <c r="J213" s="127"/>
      <c r="K213" s="127"/>
      <c r="L213" s="129"/>
      <c r="M213" s="156"/>
      <c r="N213" s="156"/>
      <c r="R213" s="156"/>
      <c r="S213" s="156"/>
      <c r="AJ213" s="156"/>
      <c r="AK213" s="156"/>
      <c r="AL213" s="156"/>
      <c r="AM213" s="156"/>
    </row>
    <row r="214" spans="1:39" x14ac:dyDescent="0.25">
      <c r="B214" s="213"/>
      <c r="C214" s="213"/>
      <c r="D214" s="214"/>
      <c r="E214" s="213"/>
      <c r="F214" s="213"/>
      <c r="G214" s="213"/>
      <c r="H214" s="134"/>
      <c r="I214" s="134"/>
      <c r="J214" s="134"/>
      <c r="K214" s="134"/>
      <c r="L214" s="134"/>
      <c r="M214" s="134"/>
      <c r="N214" s="134"/>
      <c r="P214" s="134"/>
      <c r="Q214" s="134"/>
      <c r="R214" s="134"/>
      <c r="AJ214" s="156"/>
      <c r="AK214" s="156"/>
      <c r="AL214" s="156"/>
      <c r="AM214" s="156"/>
    </row>
    <row r="215" spans="1:39" x14ac:dyDescent="0.25">
      <c r="B215" s="215"/>
      <c r="C215" s="138"/>
      <c r="D215" s="138"/>
      <c r="E215" s="138"/>
      <c r="F215" s="138"/>
      <c r="G215" s="138"/>
      <c r="H215" s="138"/>
      <c r="I215" s="138"/>
      <c r="J215" s="138"/>
      <c r="K215" s="138"/>
      <c r="L215" s="138"/>
      <c r="M215" s="138"/>
      <c r="N215" s="138"/>
      <c r="P215" s="138"/>
      <c r="Q215" s="138"/>
      <c r="R215" s="138"/>
      <c r="AJ215" s="156"/>
      <c r="AK215" s="156"/>
      <c r="AL215" s="156"/>
      <c r="AM215" s="156"/>
    </row>
    <row r="216" spans="1:39" x14ac:dyDescent="0.25">
      <c r="B216" s="215"/>
      <c r="C216" s="215"/>
      <c r="D216" s="138"/>
      <c r="E216" s="138"/>
      <c r="F216" s="138"/>
      <c r="G216" s="138"/>
      <c r="H216" s="138"/>
      <c r="I216" s="138"/>
      <c r="J216" s="138"/>
      <c r="K216" s="138"/>
      <c r="L216" s="138"/>
      <c r="M216" s="138"/>
      <c r="N216" s="138"/>
      <c r="P216" s="138"/>
      <c r="Q216" s="138"/>
      <c r="R216" s="138"/>
      <c r="T216" s="134"/>
      <c r="U216" s="134"/>
      <c r="V216" s="170"/>
      <c r="AJ216" s="156"/>
      <c r="AK216" s="156"/>
      <c r="AL216" s="156"/>
      <c r="AM216" s="156"/>
    </row>
    <row r="217" spans="1:39" x14ac:dyDescent="0.25">
      <c r="H217" s="182"/>
      <c r="I217" s="182"/>
      <c r="J217" s="187"/>
      <c r="K217" s="185"/>
      <c r="L217" s="185"/>
      <c r="M217" s="185"/>
      <c r="N217" s="183"/>
      <c r="P217" s="185"/>
      <c r="Q217" s="185"/>
      <c r="R217" s="187"/>
      <c r="T217" s="138"/>
      <c r="U217" s="138"/>
      <c r="V217" s="138"/>
      <c r="AJ217" s="156"/>
      <c r="AK217" s="156"/>
      <c r="AL217" s="156"/>
      <c r="AM217" s="156"/>
    </row>
    <row r="218" spans="1:39" x14ac:dyDescent="0.25">
      <c r="H218" s="182"/>
      <c r="I218" s="182"/>
      <c r="J218" s="187"/>
      <c r="K218" s="185"/>
      <c r="L218" s="185"/>
      <c r="M218" s="185"/>
      <c r="N218" s="183"/>
      <c r="P218" s="185"/>
      <c r="Q218" s="185"/>
      <c r="R218" s="187"/>
      <c r="T218" s="138"/>
      <c r="U218" s="138"/>
      <c r="V218" s="138"/>
      <c r="AJ218" s="156"/>
      <c r="AK218" s="156"/>
      <c r="AL218" s="156"/>
      <c r="AM218" s="156"/>
    </row>
    <row r="219" spans="1:39" x14ac:dyDescent="0.25">
      <c r="D219" s="188"/>
      <c r="H219" s="182"/>
      <c r="I219" s="182"/>
      <c r="J219" s="187"/>
      <c r="K219" s="185"/>
      <c r="L219" s="185"/>
      <c r="M219" s="185"/>
      <c r="N219" s="183"/>
      <c r="P219" s="185"/>
      <c r="Q219" s="185"/>
      <c r="R219" s="187"/>
      <c r="T219" s="185"/>
      <c r="U219" s="185"/>
      <c r="AJ219" s="156"/>
      <c r="AK219" s="156"/>
      <c r="AL219" s="156"/>
      <c r="AM219" s="156"/>
    </row>
    <row r="220" spans="1:39" x14ac:dyDescent="0.25">
      <c r="D220" s="188"/>
      <c r="H220" s="182"/>
      <c r="I220" s="182"/>
      <c r="J220" s="187"/>
      <c r="K220" s="185"/>
      <c r="L220" s="185"/>
      <c r="M220" s="185"/>
      <c r="N220" s="183"/>
      <c r="P220" s="185"/>
      <c r="Q220" s="185"/>
      <c r="R220" s="187"/>
      <c r="T220" s="185"/>
      <c r="U220" s="185"/>
      <c r="AJ220" s="156"/>
      <c r="AK220" s="156"/>
      <c r="AL220" s="156"/>
      <c r="AM220" s="156"/>
    </row>
    <row r="221" spans="1:39" x14ac:dyDescent="0.25">
      <c r="D221" s="188"/>
      <c r="H221" s="182"/>
      <c r="I221" s="182"/>
      <c r="J221" s="187"/>
      <c r="K221" s="185"/>
      <c r="L221" s="185"/>
      <c r="M221" s="185"/>
      <c r="N221" s="183"/>
      <c r="P221" s="185"/>
      <c r="Q221" s="185"/>
      <c r="R221" s="187"/>
      <c r="T221" s="185"/>
      <c r="U221" s="185"/>
      <c r="AJ221" s="156"/>
      <c r="AK221" s="156"/>
      <c r="AL221" s="156"/>
      <c r="AM221" s="156"/>
    </row>
    <row r="222" spans="1:39" x14ac:dyDescent="0.25">
      <c r="D222" s="188"/>
      <c r="H222" s="182"/>
      <c r="I222" s="182"/>
      <c r="J222" s="187"/>
      <c r="K222" s="185"/>
      <c r="L222" s="185"/>
      <c r="M222" s="185"/>
      <c r="N222" s="183"/>
      <c r="P222" s="185"/>
      <c r="Q222" s="185"/>
      <c r="R222" s="187"/>
      <c r="T222" s="185"/>
      <c r="U222" s="185"/>
      <c r="AJ222" s="156"/>
      <c r="AK222" s="156"/>
      <c r="AL222" s="156"/>
      <c r="AM222" s="156"/>
    </row>
    <row r="223" spans="1:39" x14ac:dyDescent="0.25">
      <c r="D223" s="188"/>
      <c r="H223" s="182"/>
      <c r="I223" s="182"/>
      <c r="J223" s="187"/>
      <c r="K223" s="185"/>
      <c r="L223" s="185"/>
      <c r="M223" s="185"/>
      <c r="N223" s="183"/>
      <c r="P223" s="185"/>
      <c r="Q223" s="185"/>
      <c r="R223" s="187"/>
      <c r="T223" s="185"/>
      <c r="U223" s="185"/>
      <c r="AJ223" s="156"/>
      <c r="AK223" s="156"/>
      <c r="AL223" s="156"/>
      <c r="AM223" s="156"/>
    </row>
    <row r="224" spans="1:39" x14ac:dyDescent="0.25">
      <c r="D224" s="188"/>
      <c r="H224" s="182"/>
      <c r="I224" s="182"/>
      <c r="J224" s="187"/>
      <c r="K224" s="185"/>
      <c r="L224" s="185"/>
      <c r="M224" s="185"/>
      <c r="N224" s="183"/>
      <c r="P224" s="185"/>
      <c r="Q224" s="185"/>
      <c r="R224" s="187"/>
      <c r="T224" s="185"/>
      <c r="U224" s="185"/>
      <c r="AJ224" s="156"/>
      <c r="AK224" s="156"/>
      <c r="AL224" s="156"/>
      <c r="AM224" s="156"/>
    </row>
    <row r="225" spans="4:39" x14ac:dyDescent="0.25">
      <c r="D225" s="188"/>
      <c r="H225" s="182"/>
      <c r="I225" s="182"/>
      <c r="J225" s="187"/>
      <c r="K225" s="185"/>
      <c r="L225" s="185"/>
      <c r="M225" s="185"/>
      <c r="N225" s="183"/>
      <c r="P225" s="185"/>
      <c r="Q225" s="185"/>
      <c r="R225" s="187"/>
      <c r="T225" s="185"/>
      <c r="U225" s="185"/>
      <c r="AJ225" s="156"/>
      <c r="AK225" s="156"/>
      <c r="AL225" s="156"/>
      <c r="AM225" s="156"/>
    </row>
    <row r="226" spans="4:39" x14ac:dyDescent="0.25">
      <c r="D226" s="188"/>
      <c r="H226" s="182"/>
      <c r="I226" s="182"/>
      <c r="J226" s="187"/>
      <c r="K226" s="185"/>
      <c r="L226" s="185"/>
      <c r="M226" s="185"/>
      <c r="N226" s="183"/>
      <c r="P226" s="185"/>
      <c r="Q226" s="185"/>
      <c r="R226" s="187"/>
      <c r="T226" s="185"/>
      <c r="U226" s="185"/>
      <c r="AJ226" s="156"/>
      <c r="AK226" s="156"/>
      <c r="AL226" s="156"/>
      <c r="AM226" s="156"/>
    </row>
    <row r="227" spans="4:39" x14ac:dyDescent="0.25">
      <c r="D227" s="188"/>
      <c r="H227" s="182"/>
      <c r="I227" s="182"/>
      <c r="J227" s="187"/>
      <c r="K227" s="185"/>
      <c r="L227" s="185"/>
      <c r="M227" s="185"/>
      <c r="N227" s="183"/>
      <c r="P227" s="185"/>
      <c r="Q227" s="185"/>
      <c r="R227" s="187"/>
      <c r="T227" s="185"/>
      <c r="U227" s="185"/>
      <c r="AJ227" s="156"/>
      <c r="AK227" s="156"/>
      <c r="AL227" s="156"/>
      <c r="AM227" s="156"/>
    </row>
    <row r="228" spans="4:39" x14ac:dyDescent="0.25">
      <c r="D228" s="188"/>
      <c r="H228" s="182"/>
      <c r="I228" s="182"/>
      <c r="J228" s="187"/>
      <c r="K228" s="185"/>
      <c r="L228" s="185"/>
      <c r="M228" s="185"/>
      <c r="N228" s="183"/>
      <c r="P228" s="185"/>
      <c r="Q228" s="185"/>
      <c r="R228" s="187"/>
      <c r="T228" s="185"/>
      <c r="U228" s="185"/>
      <c r="AJ228" s="156"/>
      <c r="AK228" s="156"/>
      <c r="AL228" s="156"/>
      <c r="AM228" s="156"/>
    </row>
    <row r="229" spans="4:39" x14ac:dyDescent="0.25">
      <c r="D229" s="188"/>
      <c r="H229" s="182"/>
      <c r="I229" s="182"/>
      <c r="J229" s="187"/>
      <c r="K229" s="185"/>
      <c r="L229" s="185"/>
      <c r="M229" s="185"/>
      <c r="N229" s="183"/>
      <c r="P229" s="185"/>
      <c r="Q229" s="185"/>
      <c r="R229" s="187"/>
      <c r="T229" s="185"/>
      <c r="U229" s="185"/>
      <c r="AJ229" s="156"/>
      <c r="AK229" s="156"/>
      <c r="AL229" s="156"/>
      <c r="AM229" s="156"/>
    </row>
    <row r="230" spans="4:39" x14ac:dyDescent="0.25">
      <c r="D230" s="188"/>
      <c r="H230" s="182"/>
      <c r="I230" s="182"/>
      <c r="J230" s="187"/>
      <c r="K230" s="185"/>
      <c r="L230" s="185"/>
      <c r="M230" s="185"/>
      <c r="N230" s="185"/>
      <c r="P230" s="185"/>
      <c r="Q230" s="185"/>
      <c r="R230" s="185"/>
      <c r="T230" s="185"/>
      <c r="U230" s="185"/>
      <c r="AJ230" s="156"/>
      <c r="AK230" s="156"/>
      <c r="AL230" s="156"/>
      <c r="AM230" s="156"/>
    </row>
    <row r="231" spans="4:39" x14ac:dyDescent="0.25">
      <c r="H231" s="182"/>
      <c r="I231" s="182"/>
      <c r="J231" s="187"/>
      <c r="K231" s="185"/>
      <c r="L231" s="185"/>
      <c r="M231" s="185"/>
      <c r="N231" s="183"/>
      <c r="P231" s="185"/>
      <c r="Q231" s="185"/>
      <c r="R231" s="187"/>
      <c r="T231" s="185"/>
      <c r="U231" s="185"/>
      <c r="AJ231" s="156"/>
      <c r="AK231" s="156"/>
      <c r="AL231" s="156"/>
      <c r="AM231" s="156"/>
    </row>
    <row r="232" spans="4:39" x14ac:dyDescent="0.25">
      <c r="H232" s="182"/>
      <c r="I232" s="182"/>
      <c r="J232" s="187"/>
      <c r="K232" s="185"/>
      <c r="L232" s="185"/>
      <c r="M232" s="185"/>
      <c r="N232" s="183"/>
      <c r="P232" s="185"/>
      <c r="Q232" s="185"/>
      <c r="R232" s="187"/>
      <c r="T232" s="185"/>
      <c r="U232" s="185"/>
      <c r="AJ232" s="156"/>
      <c r="AK232" s="156"/>
      <c r="AL232" s="156"/>
      <c r="AM232" s="156"/>
    </row>
    <row r="233" spans="4:39" x14ac:dyDescent="0.25">
      <c r="D233" s="188"/>
      <c r="H233" s="182"/>
      <c r="I233" s="182"/>
      <c r="J233" s="187"/>
      <c r="K233" s="185"/>
      <c r="L233" s="185"/>
      <c r="M233" s="185"/>
      <c r="N233" s="183"/>
      <c r="P233" s="185"/>
      <c r="Q233" s="185"/>
      <c r="R233" s="187"/>
      <c r="T233" s="185"/>
      <c r="U233" s="185"/>
      <c r="AJ233" s="156"/>
      <c r="AK233" s="156"/>
      <c r="AL233" s="156"/>
      <c r="AM233" s="156"/>
    </row>
    <row r="234" spans="4:39" x14ac:dyDescent="0.25">
      <c r="D234" s="188"/>
      <c r="H234" s="182"/>
      <c r="I234" s="182"/>
      <c r="J234" s="187"/>
      <c r="K234" s="185"/>
      <c r="L234" s="185"/>
      <c r="M234" s="185"/>
      <c r="N234" s="183"/>
      <c r="P234" s="185"/>
      <c r="Q234" s="185"/>
      <c r="R234" s="187"/>
      <c r="T234" s="185"/>
      <c r="U234" s="185"/>
      <c r="AJ234" s="156"/>
      <c r="AK234" s="156"/>
      <c r="AL234" s="156"/>
      <c r="AM234" s="156"/>
    </row>
    <row r="235" spans="4:39" x14ac:dyDescent="0.25">
      <c r="D235" s="188"/>
      <c r="H235" s="182"/>
      <c r="I235" s="182"/>
      <c r="J235" s="187"/>
      <c r="K235" s="185"/>
      <c r="L235" s="185"/>
      <c r="M235" s="185"/>
      <c r="N235" s="183"/>
      <c r="P235" s="185"/>
      <c r="Q235" s="185"/>
      <c r="R235" s="187"/>
      <c r="T235" s="185"/>
      <c r="U235" s="185"/>
      <c r="AJ235" s="156"/>
      <c r="AK235" s="156"/>
      <c r="AL235" s="156"/>
      <c r="AM235" s="156"/>
    </row>
    <row r="236" spans="4:39" x14ac:dyDescent="0.25">
      <c r="D236" s="188"/>
      <c r="H236" s="182"/>
      <c r="I236" s="182"/>
      <c r="J236" s="187"/>
      <c r="K236" s="185"/>
      <c r="L236" s="185"/>
      <c r="M236" s="185"/>
      <c r="N236" s="183"/>
      <c r="P236" s="185"/>
      <c r="Q236" s="185"/>
      <c r="R236" s="187"/>
      <c r="T236" s="185"/>
      <c r="U236" s="185"/>
      <c r="AJ236" s="156"/>
      <c r="AK236" s="156"/>
      <c r="AL236" s="156"/>
      <c r="AM236" s="156"/>
    </row>
    <row r="237" spans="4:39" x14ac:dyDescent="0.25">
      <c r="D237" s="188"/>
      <c r="H237" s="182"/>
      <c r="I237" s="182"/>
      <c r="J237" s="187"/>
      <c r="K237" s="185"/>
      <c r="L237" s="185"/>
      <c r="M237" s="185"/>
      <c r="N237" s="183"/>
      <c r="P237" s="185"/>
      <c r="Q237" s="185"/>
      <c r="R237" s="187"/>
      <c r="T237" s="185"/>
      <c r="U237" s="185"/>
      <c r="AJ237" s="156"/>
      <c r="AK237" s="156"/>
      <c r="AL237" s="156"/>
      <c r="AM237" s="156"/>
    </row>
    <row r="238" spans="4:39" x14ac:dyDescent="0.25">
      <c r="D238" s="188"/>
      <c r="H238" s="182"/>
      <c r="I238" s="182"/>
      <c r="J238" s="187"/>
      <c r="K238" s="185"/>
      <c r="L238" s="185"/>
      <c r="M238" s="185"/>
      <c r="N238" s="183"/>
      <c r="P238" s="185"/>
      <c r="Q238" s="185"/>
      <c r="R238" s="187"/>
      <c r="T238" s="185"/>
      <c r="U238" s="185"/>
      <c r="AJ238" s="156"/>
      <c r="AK238" s="156"/>
      <c r="AL238" s="156"/>
      <c r="AM238" s="156"/>
    </row>
    <row r="239" spans="4:39" x14ac:dyDescent="0.25">
      <c r="D239" s="188"/>
      <c r="H239" s="182"/>
      <c r="I239" s="182"/>
      <c r="J239" s="187"/>
      <c r="K239" s="185"/>
      <c r="L239" s="185"/>
      <c r="M239" s="185"/>
      <c r="N239" s="183"/>
      <c r="P239" s="185"/>
      <c r="Q239" s="185"/>
      <c r="R239" s="187"/>
      <c r="T239" s="185"/>
      <c r="U239" s="185"/>
      <c r="AJ239" s="156"/>
      <c r="AK239" s="156"/>
      <c r="AL239" s="156"/>
      <c r="AM239" s="156"/>
    </row>
    <row r="240" spans="4:39" x14ac:dyDescent="0.25">
      <c r="D240" s="188"/>
      <c r="H240" s="182"/>
      <c r="I240" s="182"/>
      <c r="J240" s="187"/>
      <c r="K240" s="185"/>
      <c r="L240" s="185"/>
      <c r="M240" s="185"/>
      <c r="N240" s="183"/>
      <c r="P240" s="185"/>
      <c r="Q240" s="185"/>
      <c r="R240" s="187"/>
      <c r="T240" s="185"/>
      <c r="U240" s="185"/>
      <c r="AJ240" s="156"/>
      <c r="AK240" s="156"/>
      <c r="AL240" s="156"/>
      <c r="AM240" s="156"/>
    </row>
    <row r="241" spans="4:39" x14ac:dyDescent="0.25">
      <c r="D241" s="188"/>
      <c r="H241" s="182"/>
      <c r="I241" s="182"/>
      <c r="J241" s="187"/>
      <c r="K241" s="185"/>
      <c r="L241" s="185"/>
      <c r="M241" s="185"/>
      <c r="N241" s="183"/>
      <c r="P241" s="185"/>
      <c r="Q241" s="185"/>
      <c r="R241" s="187"/>
      <c r="T241" s="185"/>
      <c r="U241" s="185"/>
      <c r="AJ241" s="156"/>
      <c r="AK241" s="156"/>
      <c r="AL241" s="156"/>
      <c r="AM241" s="156"/>
    </row>
    <row r="242" spans="4:39" x14ac:dyDescent="0.25">
      <c r="D242" s="188"/>
      <c r="H242" s="182"/>
      <c r="I242" s="182"/>
      <c r="J242" s="187"/>
      <c r="K242" s="185"/>
      <c r="L242" s="185"/>
      <c r="M242" s="185"/>
      <c r="N242" s="183"/>
      <c r="P242" s="185"/>
      <c r="Q242" s="185"/>
      <c r="R242" s="187"/>
      <c r="T242" s="185"/>
      <c r="U242" s="185"/>
      <c r="AJ242" s="156"/>
      <c r="AK242" s="156"/>
      <c r="AL242" s="156"/>
      <c r="AM242" s="156"/>
    </row>
    <row r="243" spans="4:39" x14ac:dyDescent="0.25">
      <c r="D243" s="188"/>
      <c r="H243" s="182"/>
      <c r="I243" s="182"/>
      <c r="J243" s="187"/>
      <c r="K243" s="185"/>
      <c r="L243" s="185"/>
      <c r="M243" s="185"/>
      <c r="N243" s="183"/>
      <c r="P243" s="185"/>
      <c r="Q243" s="185"/>
      <c r="R243" s="187"/>
      <c r="T243" s="185"/>
      <c r="U243" s="185"/>
      <c r="AJ243" s="156"/>
      <c r="AK243" s="156"/>
      <c r="AL243" s="156"/>
      <c r="AM243" s="156"/>
    </row>
    <row r="244" spans="4:39" x14ac:dyDescent="0.25">
      <c r="D244" s="188"/>
      <c r="H244" s="182"/>
      <c r="I244" s="182"/>
      <c r="J244" s="187"/>
      <c r="K244" s="185"/>
      <c r="L244" s="185"/>
      <c r="M244" s="185"/>
      <c r="N244" s="185"/>
      <c r="P244" s="185"/>
      <c r="Q244" s="185"/>
      <c r="R244" s="185"/>
      <c r="T244" s="185"/>
      <c r="U244" s="185"/>
      <c r="AJ244" s="156"/>
      <c r="AK244" s="156"/>
      <c r="AL244" s="156"/>
      <c r="AM244" s="156"/>
    </row>
    <row r="245" spans="4:39" x14ac:dyDescent="0.25">
      <c r="H245" s="182"/>
      <c r="I245" s="182"/>
      <c r="J245" s="187"/>
      <c r="K245" s="185"/>
      <c r="L245" s="185"/>
      <c r="M245" s="185"/>
      <c r="N245" s="183"/>
      <c r="P245" s="185"/>
      <c r="Q245" s="185"/>
      <c r="R245" s="187"/>
      <c r="T245" s="185"/>
      <c r="U245" s="185"/>
      <c r="AJ245" s="156"/>
      <c r="AK245" s="156"/>
      <c r="AL245" s="156"/>
      <c r="AM245" s="156"/>
    </row>
    <row r="246" spans="4:39" x14ac:dyDescent="0.25">
      <c r="H246" s="182"/>
      <c r="I246" s="182"/>
      <c r="J246" s="187"/>
      <c r="K246" s="185"/>
      <c r="L246" s="185"/>
      <c r="M246" s="185"/>
      <c r="N246" s="183"/>
      <c r="P246" s="185"/>
      <c r="Q246" s="185"/>
      <c r="R246" s="187"/>
      <c r="T246" s="185"/>
      <c r="U246" s="185"/>
      <c r="AJ246" s="156"/>
      <c r="AK246" s="156"/>
      <c r="AL246" s="156"/>
      <c r="AM246" s="156"/>
    </row>
    <row r="247" spans="4:39" x14ac:dyDescent="0.25">
      <c r="D247" s="188"/>
      <c r="H247" s="182"/>
      <c r="I247" s="182"/>
      <c r="J247" s="187"/>
      <c r="K247" s="185"/>
      <c r="L247" s="185"/>
      <c r="M247" s="185"/>
      <c r="N247" s="183"/>
      <c r="P247" s="185"/>
      <c r="Q247" s="185"/>
      <c r="R247" s="187"/>
      <c r="T247" s="185"/>
      <c r="U247" s="185"/>
      <c r="AJ247" s="156"/>
      <c r="AK247" s="156"/>
      <c r="AL247" s="156"/>
      <c r="AM247" s="156"/>
    </row>
    <row r="248" spans="4:39" x14ac:dyDescent="0.25">
      <c r="D248" s="188"/>
      <c r="H248" s="182"/>
      <c r="I248" s="182"/>
      <c r="J248" s="187"/>
      <c r="K248" s="185"/>
      <c r="L248" s="185"/>
      <c r="M248" s="185"/>
      <c r="N248" s="183"/>
      <c r="P248" s="185"/>
      <c r="Q248" s="185"/>
      <c r="R248" s="187"/>
      <c r="T248" s="185"/>
      <c r="U248" s="185"/>
      <c r="AJ248" s="156"/>
      <c r="AK248" s="156"/>
      <c r="AL248" s="156"/>
      <c r="AM248" s="156"/>
    </row>
    <row r="249" spans="4:39" x14ac:dyDescent="0.25">
      <c r="D249" s="188"/>
      <c r="H249" s="182"/>
      <c r="I249" s="182"/>
      <c r="J249" s="187"/>
      <c r="K249" s="185"/>
      <c r="L249" s="185"/>
      <c r="M249" s="185"/>
      <c r="N249" s="183"/>
      <c r="P249" s="185"/>
      <c r="Q249" s="185"/>
      <c r="R249" s="187"/>
      <c r="T249" s="185"/>
      <c r="U249" s="185"/>
      <c r="AJ249" s="156"/>
      <c r="AK249" s="156"/>
      <c r="AL249" s="156"/>
      <c r="AM249" s="156"/>
    </row>
    <row r="250" spans="4:39" x14ac:dyDescent="0.25">
      <c r="D250" s="188"/>
      <c r="H250" s="182"/>
      <c r="I250" s="182"/>
      <c r="J250" s="187"/>
      <c r="K250" s="185"/>
      <c r="L250" s="185"/>
      <c r="M250" s="185"/>
      <c r="N250" s="183"/>
      <c r="P250" s="185"/>
      <c r="Q250" s="185"/>
      <c r="R250" s="187"/>
      <c r="T250" s="185"/>
      <c r="U250" s="185"/>
      <c r="AJ250" s="156"/>
      <c r="AK250" s="156"/>
      <c r="AL250" s="156"/>
      <c r="AM250" s="156"/>
    </row>
    <row r="251" spans="4:39" x14ac:dyDescent="0.25">
      <c r="D251" s="188"/>
      <c r="H251" s="182"/>
      <c r="I251" s="182"/>
      <c r="J251" s="187"/>
      <c r="K251" s="185"/>
      <c r="L251" s="185"/>
      <c r="M251" s="185"/>
      <c r="N251" s="183"/>
      <c r="P251" s="185"/>
      <c r="Q251" s="185"/>
      <c r="R251" s="187"/>
      <c r="T251" s="185"/>
      <c r="U251" s="185"/>
      <c r="AJ251" s="156"/>
      <c r="AK251" s="156"/>
      <c r="AL251" s="156"/>
      <c r="AM251" s="156"/>
    </row>
    <row r="252" spans="4:39" x14ac:dyDescent="0.25">
      <c r="D252" s="188"/>
      <c r="H252" s="182"/>
      <c r="I252" s="182"/>
      <c r="J252" s="187"/>
      <c r="K252" s="185"/>
      <c r="L252" s="185"/>
      <c r="M252" s="185"/>
      <c r="N252" s="183"/>
      <c r="P252" s="185"/>
      <c r="Q252" s="185"/>
      <c r="R252" s="187"/>
      <c r="T252" s="185"/>
      <c r="U252" s="185"/>
      <c r="AJ252" s="156"/>
      <c r="AK252" s="156"/>
      <c r="AL252" s="156"/>
      <c r="AM252" s="156"/>
    </row>
    <row r="253" spans="4:39" x14ac:dyDescent="0.25">
      <c r="D253" s="188"/>
      <c r="H253" s="182"/>
      <c r="I253" s="182"/>
      <c r="J253" s="187"/>
      <c r="K253" s="185"/>
      <c r="L253" s="185"/>
      <c r="M253" s="185"/>
      <c r="N253" s="183"/>
      <c r="P253" s="185"/>
      <c r="Q253" s="185"/>
      <c r="R253" s="187"/>
      <c r="T253" s="185"/>
      <c r="U253" s="185"/>
      <c r="AJ253" s="156"/>
      <c r="AK253" s="156"/>
      <c r="AL253" s="156"/>
      <c r="AM253" s="156"/>
    </row>
    <row r="254" spans="4:39" x14ac:dyDescent="0.25">
      <c r="D254" s="188"/>
      <c r="H254" s="182"/>
      <c r="I254" s="182"/>
      <c r="J254" s="187"/>
      <c r="K254" s="185"/>
      <c r="L254" s="185"/>
      <c r="M254" s="185"/>
      <c r="N254" s="183"/>
      <c r="P254" s="185"/>
      <c r="Q254" s="185"/>
      <c r="R254" s="187"/>
      <c r="T254" s="185"/>
      <c r="U254" s="185"/>
      <c r="AJ254" s="156"/>
      <c r="AK254" s="156"/>
      <c r="AL254" s="156"/>
      <c r="AM254" s="156"/>
    </row>
    <row r="255" spans="4:39" x14ac:dyDescent="0.25">
      <c r="D255" s="188"/>
      <c r="H255" s="182"/>
      <c r="I255" s="182"/>
      <c r="J255" s="187"/>
      <c r="K255" s="185"/>
      <c r="L255" s="185"/>
      <c r="M255" s="185"/>
      <c r="N255" s="183"/>
      <c r="P255" s="185"/>
      <c r="Q255" s="185"/>
      <c r="R255" s="187"/>
      <c r="T255" s="185"/>
      <c r="U255" s="185"/>
      <c r="AJ255" s="156"/>
      <c r="AK255" s="156"/>
      <c r="AL255" s="156"/>
      <c r="AM255" s="156"/>
    </row>
    <row r="256" spans="4:39" x14ac:dyDescent="0.25">
      <c r="D256" s="188"/>
      <c r="H256" s="182"/>
      <c r="I256" s="182"/>
      <c r="J256" s="187"/>
      <c r="K256" s="185"/>
      <c r="L256" s="185"/>
      <c r="M256" s="185"/>
      <c r="N256" s="183"/>
      <c r="P256" s="185"/>
      <c r="Q256" s="185"/>
      <c r="R256" s="187"/>
      <c r="T256" s="185"/>
      <c r="U256" s="185"/>
      <c r="AJ256" s="156"/>
      <c r="AK256" s="156"/>
      <c r="AL256" s="156"/>
      <c r="AM256" s="156"/>
    </row>
    <row r="257" spans="4:39" x14ac:dyDescent="0.25">
      <c r="D257" s="188"/>
      <c r="H257" s="182"/>
      <c r="I257" s="182"/>
      <c r="J257" s="187"/>
      <c r="K257" s="185"/>
      <c r="L257" s="185"/>
      <c r="M257" s="185"/>
      <c r="N257" s="183"/>
      <c r="P257" s="185"/>
      <c r="Q257" s="185"/>
      <c r="R257" s="187"/>
      <c r="T257" s="185"/>
      <c r="U257" s="185"/>
      <c r="AJ257" s="156"/>
      <c r="AK257" s="156"/>
      <c r="AL257" s="156"/>
      <c r="AM257" s="156"/>
    </row>
    <row r="258" spans="4:39" x14ac:dyDescent="0.25">
      <c r="D258" s="188"/>
      <c r="H258" s="182"/>
      <c r="I258" s="182"/>
      <c r="J258" s="187"/>
      <c r="K258" s="185"/>
      <c r="L258" s="185"/>
      <c r="M258" s="185"/>
      <c r="N258" s="185"/>
      <c r="P258" s="185"/>
      <c r="Q258" s="185"/>
      <c r="R258" s="185"/>
      <c r="T258" s="185"/>
      <c r="U258" s="185"/>
      <c r="AJ258" s="156"/>
      <c r="AK258" s="156"/>
      <c r="AL258" s="156"/>
      <c r="AM258" s="156"/>
    </row>
    <row r="259" spans="4:39" x14ac:dyDescent="0.25">
      <c r="H259" s="182"/>
      <c r="I259" s="182"/>
      <c r="J259" s="187"/>
      <c r="K259" s="185"/>
      <c r="L259" s="185"/>
      <c r="M259" s="185"/>
      <c r="N259" s="183"/>
      <c r="P259" s="185"/>
      <c r="Q259" s="185"/>
      <c r="R259" s="187"/>
      <c r="T259" s="185"/>
      <c r="U259" s="185"/>
      <c r="AJ259" s="156"/>
      <c r="AK259" s="156"/>
      <c r="AL259" s="156"/>
      <c r="AM259" s="156"/>
    </row>
    <row r="260" spans="4:39" x14ac:dyDescent="0.25">
      <c r="H260" s="182"/>
      <c r="I260" s="182"/>
      <c r="J260" s="187"/>
      <c r="K260" s="185"/>
      <c r="L260" s="185"/>
      <c r="M260" s="185"/>
      <c r="N260" s="183"/>
      <c r="P260" s="185"/>
      <c r="Q260" s="185"/>
      <c r="R260" s="187"/>
      <c r="T260" s="185"/>
      <c r="U260" s="185"/>
      <c r="AJ260" s="156"/>
      <c r="AK260" s="156"/>
      <c r="AL260" s="156"/>
      <c r="AM260" s="156"/>
    </row>
    <row r="261" spans="4:39" x14ac:dyDescent="0.25">
      <c r="D261" s="188"/>
      <c r="H261" s="182"/>
      <c r="I261" s="182"/>
      <c r="J261" s="187"/>
      <c r="K261" s="185"/>
      <c r="L261" s="185"/>
      <c r="M261" s="185"/>
      <c r="N261" s="183"/>
      <c r="P261" s="185"/>
      <c r="Q261" s="185"/>
      <c r="R261" s="187"/>
      <c r="T261" s="185"/>
      <c r="U261" s="185"/>
      <c r="AJ261" s="156"/>
      <c r="AK261" s="156"/>
      <c r="AL261" s="156"/>
      <c r="AM261" s="156"/>
    </row>
    <row r="262" spans="4:39" x14ac:dyDescent="0.25">
      <c r="D262" s="188"/>
      <c r="H262" s="182"/>
      <c r="I262" s="182"/>
      <c r="J262" s="187"/>
      <c r="K262" s="185"/>
      <c r="L262" s="185"/>
      <c r="M262" s="185"/>
      <c r="N262" s="183"/>
      <c r="P262" s="185"/>
      <c r="Q262" s="185"/>
      <c r="R262" s="187"/>
      <c r="T262" s="185"/>
      <c r="U262" s="185"/>
      <c r="AJ262" s="156"/>
      <c r="AK262" s="156"/>
      <c r="AL262" s="156"/>
      <c r="AM262" s="156"/>
    </row>
    <row r="263" spans="4:39" x14ac:dyDescent="0.25">
      <c r="D263" s="188"/>
      <c r="H263" s="182"/>
      <c r="I263" s="182"/>
      <c r="J263" s="187"/>
      <c r="K263" s="185"/>
      <c r="L263" s="185"/>
      <c r="M263" s="185"/>
      <c r="N263" s="183"/>
      <c r="P263" s="185"/>
      <c r="Q263" s="185"/>
      <c r="R263" s="187"/>
      <c r="T263" s="185"/>
      <c r="U263" s="185"/>
      <c r="AJ263" s="156"/>
      <c r="AK263" s="156"/>
      <c r="AL263" s="156"/>
      <c r="AM263" s="156"/>
    </row>
    <row r="264" spans="4:39" x14ac:dyDescent="0.25">
      <c r="D264" s="188"/>
      <c r="H264" s="182"/>
      <c r="I264" s="182"/>
      <c r="J264" s="187"/>
      <c r="K264" s="185"/>
      <c r="L264" s="185"/>
      <c r="M264" s="185"/>
      <c r="N264" s="183"/>
      <c r="P264" s="185"/>
      <c r="Q264" s="185"/>
      <c r="R264" s="187"/>
      <c r="T264" s="185"/>
      <c r="U264" s="185"/>
      <c r="AJ264" s="156"/>
      <c r="AK264" s="156"/>
      <c r="AL264" s="156"/>
      <c r="AM264" s="156"/>
    </row>
    <row r="265" spans="4:39" x14ac:dyDescent="0.25">
      <c r="D265" s="188"/>
      <c r="H265" s="182"/>
      <c r="I265" s="182"/>
      <c r="J265" s="187"/>
      <c r="K265" s="185"/>
      <c r="L265" s="185"/>
      <c r="M265" s="185"/>
      <c r="N265" s="183"/>
      <c r="P265" s="185"/>
      <c r="Q265" s="185"/>
      <c r="R265" s="187"/>
      <c r="T265" s="185"/>
      <c r="U265" s="185"/>
      <c r="AJ265" s="156"/>
      <c r="AK265" s="156"/>
      <c r="AL265" s="156"/>
      <c r="AM265" s="156"/>
    </row>
    <row r="266" spans="4:39" x14ac:dyDescent="0.25">
      <c r="D266" s="188"/>
      <c r="H266" s="182"/>
      <c r="I266" s="182"/>
      <c r="J266" s="187"/>
      <c r="K266" s="185"/>
      <c r="L266" s="185"/>
      <c r="M266" s="185"/>
      <c r="N266" s="183"/>
      <c r="P266" s="185"/>
      <c r="Q266" s="185"/>
      <c r="R266" s="187"/>
      <c r="T266" s="185"/>
      <c r="U266" s="185"/>
      <c r="AJ266" s="156"/>
      <c r="AK266" s="156"/>
      <c r="AL266" s="156"/>
      <c r="AM266" s="156"/>
    </row>
    <row r="267" spans="4:39" x14ac:dyDescent="0.25">
      <c r="D267" s="188"/>
      <c r="H267" s="182"/>
      <c r="I267" s="182"/>
      <c r="J267" s="187"/>
      <c r="K267" s="185"/>
      <c r="L267" s="185"/>
      <c r="M267" s="185"/>
      <c r="N267" s="183"/>
      <c r="P267" s="185"/>
      <c r="Q267" s="185"/>
      <c r="R267" s="187"/>
      <c r="T267" s="185"/>
      <c r="U267" s="185"/>
      <c r="AJ267" s="156"/>
      <c r="AK267" s="156"/>
      <c r="AL267" s="156"/>
      <c r="AM267" s="156"/>
    </row>
    <row r="268" spans="4:39" x14ac:dyDescent="0.25">
      <c r="D268" s="188"/>
      <c r="H268" s="182"/>
      <c r="I268" s="182"/>
      <c r="J268" s="187"/>
      <c r="K268" s="185"/>
      <c r="L268" s="185"/>
      <c r="M268" s="185"/>
      <c r="N268" s="183"/>
      <c r="P268" s="185"/>
      <c r="Q268" s="185"/>
      <c r="R268" s="187"/>
      <c r="T268" s="185"/>
      <c r="U268" s="185"/>
      <c r="AJ268" s="156"/>
      <c r="AK268" s="156"/>
      <c r="AL268" s="156"/>
      <c r="AM268" s="156"/>
    </row>
    <row r="269" spans="4:39" x14ac:dyDescent="0.25">
      <c r="D269" s="188"/>
      <c r="H269" s="182"/>
      <c r="I269" s="182"/>
      <c r="J269" s="187"/>
      <c r="K269" s="185"/>
      <c r="L269" s="185"/>
      <c r="M269" s="185"/>
      <c r="N269" s="183"/>
      <c r="P269" s="185"/>
      <c r="Q269" s="185"/>
      <c r="R269" s="187"/>
      <c r="T269" s="185"/>
      <c r="U269" s="185"/>
      <c r="AJ269" s="156"/>
      <c r="AK269" s="156"/>
      <c r="AL269" s="156"/>
      <c r="AM269" s="156"/>
    </row>
    <row r="270" spans="4:39" x14ac:dyDescent="0.25">
      <c r="D270" s="188"/>
      <c r="H270" s="182"/>
      <c r="I270" s="182"/>
      <c r="J270" s="187"/>
      <c r="K270" s="185"/>
      <c r="L270" s="185"/>
      <c r="M270" s="185"/>
      <c r="N270" s="183"/>
      <c r="P270" s="185"/>
      <c r="Q270" s="185"/>
      <c r="R270" s="187"/>
      <c r="T270" s="185"/>
      <c r="U270" s="185"/>
      <c r="AJ270" s="156"/>
      <c r="AK270" s="156"/>
      <c r="AL270" s="156"/>
      <c r="AM270" s="156"/>
    </row>
    <row r="271" spans="4:39" x14ac:dyDescent="0.25">
      <c r="D271" s="188"/>
      <c r="H271" s="182"/>
      <c r="I271" s="182"/>
      <c r="J271" s="187"/>
      <c r="K271" s="185"/>
      <c r="L271" s="185"/>
      <c r="M271" s="185"/>
      <c r="N271" s="183"/>
      <c r="P271" s="185"/>
      <c r="Q271" s="185"/>
      <c r="R271" s="187"/>
      <c r="T271" s="185"/>
      <c r="U271" s="185"/>
      <c r="AJ271" s="156"/>
      <c r="AK271" s="156"/>
      <c r="AL271" s="156"/>
      <c r="AM271" s="156"/>
    </row>
    <row r="272" spans="4:39" x14ac:dyDescent="0.25">
      <c r="D272" s="188"/>
      <c r="H272" s="182"/>
      <c r="I272" s="182"/>
      <c r="J272" s="187"/>
      <c r="K272" s="185"/>
      <c r="L272" s="185"/>
      <c r="M272" s="185"/>
      <c r="N272" s="185"/>
      <c r="P272" s="185"/>
      <c r="Q272" s="185"/>
      <c r="R272" s="185"/>
      <c r="T272" s="185"/>
      <c r="U272" s="185"/>
      <c r="AJ272" s="156"/>
      <c r="AK272" s="156"/>
      <c r="AL272" s="156"/>
      <c r="AM272" s="156"/>
    </row>
    <row r="273" spans="8:40" x14ac:dyDescent="0.25">
      <c r="H273" s="182"/>
      <c r="I273" s="182"/>
      <c r="J273" s="187"/>
      <c r="K273" s="187"/>
      <c r="L273" s="185"/>
      <c r="M273" s="185"/>
      <c r="N273" s="185"/>
      <c r="O273" s="183"/>
      <c r="P273" s="185"/>
      <c r="Q273" s="185"/>
      <c r="R273" s="185"/>
      <c r="T273" s="185"/>
      <c r="U273" s="185"/>
      <c r="AJ273" s="156"/>
      <c r="AK273" s="156"/>
      <c r="AL273" s="156"/>
      <c r="AM273" s="156"/>
    </row>
    <row r="274" spans="8:40" x14ac:dyDescent="0.25">
      <c r="H274" s="185"/>
      <c r="I274" s="185"/>
      <c r="J274" s="187"/>
      <c r="K274" s="187"/>
      <c r="L274" s="185"/>
      <c r="M274" s="185"/>
      <c r="N274" s="185"/>
      <c r="O274" s="183"/>
      <c r="P274" s="185"/>
      <c r="Q274" s="185"/>
      <c r="R274" s="185"/>
      <c r="T274" s="185"/>
      <c r="U274" s="185"/>
      <c r="V274" s="183"/>
      <c r="AJ274" s="156"/>
      <c r="AK274" s="156"/>
      <c r="AL274" s="156"/>
      <c r="AM274" s="156"/>
    </row>
    <row r="277" spans="8:40" x14ac:dyDescent="0.25">
      <c r="AN277" s="157"/>
    </row>
    <row r="278" spans="8:40" x14ac:dyDescent="0.25">
      <c r="T278" s="170"/>
      <c r="U278" s="170"/>
      <c r="V278" s="170"/>
      <c r="W278" s="170"/>
      <c r="X278" s="170"/>
      <c r="AN278" s="157"/>
    </row>
    <row r="279" spans="8:40" x14ac:dyDescent="0.25">
      <c r="T279" s="138"/>
      <c r="U279" s="138"/>
      <c r="V279" s="138"/>
      <c r="W279" s="138"/>
      <c r="X279" s="138"/>
      <c r="AN279" s="157"/>
    </row>
    <row r="280" spans="8:40" s="157" customFormat="1" x14ac:dyDescent="0.25">
      <c r="T280" s="138"/>
      <c r="U280" s="138"/>
      <c r="V280" s="138"/>
      <c r="W280" s="138"/>
      <c r="X280" s="138"/>
    </row>
    <row r="281" spans="8:40" s="157" customFormat="1" x14ac:dyDescent="0.25">
      <c r="T281" s="183"/>
      <c r="U281" s="183"/>
      <c r="V281" s="183"/>
      <c r="W281" s="185"/>
      <c r="X281" s="185"/>
    </row>
    <row r="282" spans="8:40" s="157" customFormat="1" x14ac:dyDescent="0.25">
      <c r="T282" s="183"/>
      <c r="U282" s="183"/>
      <c r="V282" s="183"/>
      <c r="W282" s="185"/>
      <c r="X282" s="185"/>
    </row>
    <row r="283" spans="8:40" s="157" customFormat="1" x14ac:dyDescent="0.25">
      <c r="T283" s="183"/>
      <c r="U283" s="183"/>
      <c r="V283" s="183"/>
      <c r="W283" s="185"/>
      <c r="X283" s="185"/>
    </row>
    <row r="284" spans="8:40" s="157" customFormat="1" x14ac:dyDescent="0.25">
      <c r="T284" s="183"/>
      <c r="U284" s="183"/>
      <c r="V284" s="183"/>
      <c r="W284" s="185"/>
      <c r="X284" s="185"/>
    </row>
    <row r="285" spans="8:40" s="157" customFormat="1" x14ac:dyDescent="0.25">
      <c r="T285" s="183"/>
      <c r="U285" s="183"/>
      <c r="V285" s="183"/>
      <c r="W285" s="185"/>
      <c r="X285" s="185"/>
    </row>
    <row r="286" spans="8:40" s="157" customFormat="1" x14ac:dyDescent="0.25">
      <c r="T286" s="183"/>
      <c r="U286" s="183"/>
      <c r="V286" s="183"/>
      <c r="W286" s="185"/>
      <c r="X286" s="185"/>
    </row>
    <row r="287" spans="8:40" s="157" customFormat="1" x14ac:dyDescent="0.25">
      <c r="T287" s="183"/>
      <c r="U287" s="183"/>
      <c r="V287" s="183"/>
      <c r="W287" s="185"/>
      <c r="X287" s="185"/>
    </row>
    <row r="288" spans="8:40" s="157" customFormat="1" x14ac:dyDescent="0.25">
      <c r="T288" s="183"/>
      <c r="U288" s="183"/>
      <c r="V288" s="183"/>
      <c r="W288" s="185"/>
      <c r="X288" s="185"/>
    </row>
    <row r="289" spans="20:24" s="157" customFormat="1" x14ac:dyDescent="0.25">
      <c r="T289" s="183"/>
      <c r="U289" s="183"/>
      <c r="V289" s="183"/>
      <c r="W289" s="185"/>
      <c r="X289" s="185"/>
    </row>
    <row r="290" spans="20:24" s="157" customFormat="1" x14ac:dyDescent="0.25">
      <c r="T290" s="183"/>
      <c r="U290" s="183"/>
      <c r="V290" s="183"/>
      <c r="W290" s="185"/>
      <c r="X290" s="185"/>
    </row>
    <row r="291" spans="20:24" s="157" customFormat="1" x14ac:dyDescent="0.25">
      <c r="T291" s="183"/>
      <c r="U291" s="183"/>
      <c r="V291" s="183"/>
      <c r="W291" s="185"/>
      <c r="X291" s="185"/>
    </row>
    <row r="292" spans="20:24" s="157" customFormat="1" x14ac:dyDescent="0.25">
      <c r="T292" s="183"/>
      <c r="U292" s="183"/>
      <c r="V292" s="183"/>
      <c r="W292" s="185"/>
      <c r="X292" s="185"/>
    </row>
    <row r="293" spans="20:24" s="157" customFormat="1" x14ac:dyDescent="0.25">
      <c r="T293" s="183"/>
      <c r="U293" s="183"/>
      <c r="V293" s="183"/>
      <c r="W293" s="185"/>
      <c r="X293" s="185"/>
    </row>
    <row r="294" spans="20:24" s="157" customFormat="1" x14ac:dyDescent="0.25">
      <c r="T294" s="183"/>
      <c r="U294" s="183"/>
      <c r="V294" s="183"/>
      <c r="W294" s="185"/>
      <c r="X294" s="185"/>
    </row>
    <row r="295" spans="20:24" s="157" customFormat="1" x14ac:dyDescent="0.25">
      <c r="T295" s="183"/>
      <c r="U295" s="183"/>
      <c r="V295" s="183"/>
      <c r="W295" s="185"/>
      <c r="X295" s="185"/>
    </row>
    <row r="296" spans="20:24" s="157" customFormat="1" x14ac:dyDescent="0.25">
      <c r="T296" s="183"/>
      <c r="U296" s="183"/>
      <c r="V296" s="183"/>
      <c r="W296" s="185"/>
      <c r="X296" s="185"/>
    </row>
    <row r="297" spans="20:24" s="157" customFormat="1" x14ac:dyDescent="0.25">
      <c r="T297" s="183"/>
      <c r="U297" s="183"/>
      <c r="V297" s="183"/>
      <c r="W297" s="185"/>
      <c r="X297" s="185"/>
    </row>
    <row r="298" spans="20:24" s="157" customFormat="1" x14ac:dyDescent="0.25">
      <c r="T298" s="183"/>
      <c r="U298" s="183"/>
      <c r="V298" s="183"/>
      <c r="W298" s="185"/>
      <c r="X298" s="185"/>
    </row>
    <row r="299" spans="20:24" s="157" customFormat="1" x14ac:dyDescent="0.25">
      <c r="T299" s="183"/>
      <c r="U299" s="183"/>
      <c r="V299" s="183"/>
      <c r="W299" s="185"/>
      <c r="X299" s="185"/>
    </row>
    <row r="300" spans="20:24" s="157" customFormat="1" x14ac:dyDescent="0.25">
      <c r="T300" s="183"/>
      <c r="U300" s="183"/>
      <c r="V300" s="183"/>
      <c r="W300" s="185"/>
      <c r="X300" s="185"/>
    </row>
    <row r="301" spans="20:24" s="157" customFormat="1" x14ac:dyDescent="0.25">
      <c r="T301" s="183"/>
      <c r="U301" s="183"/>
      <c r="V301" s="183"/>
      <c r="W301" s="185"/>
      <c r="X301" s="185"/>
    </row>
    <row r="302" spans="20:24" s="157" customFormat="1" x14ac:dyDescent="0.25">
      <c r="T302" s="183"/>
      <c r="U302" s="183"/>
      <c r="V302" s="183"/>
      <c r="W302" s="185"/>
      <c r="X302" s="185"/>
    </row>
    <row r="303" spans="20:24" s="157" customFormat="1" x14ac:dyDescent="0.25">
      <c r="T303" s="183"/>
      <c r="U303" s="183"/>
      <c r="V303" s="183"/>
      <c r="W303" s="185"/>
      <c r="X303" s="185"/>
    </row>
    <row r="304" spans="20:24" s="157" customFormat="1" x14ac:dyDescent="0.25">
      <c r="T304" s="183"/>
      <c r="U304" s="183"/>
      <c r="V304" s="183"/>
      <c r="W304" s="185"/>
      <c r="X304" s="185"/>
    </row>
    <row r="305" spans="20:40" s="157" customFormat="1" x14ac:dyDescent="0.25">
      <c r="T305" s="183"/>
      <c r="U305" s="183"/>
      <c r="V305" s="183"/>
      <c r="W305" s="185"/>
      <c r="X305" s="185"/>
    </row>
    <row r="306" spans="20:40" s="157" customFormat="1" x14ac:dyDescent="0.25">
      <c r="T306" s="183"/>
      <c r="U306" s="183"/>
      <c r="V306" s="183"/>
      <c r="W306" s="185"/>
      <c r="X306" s="185"/>
    </row>
    <row r="307" spans="20:40" s="157" customFormat="1" x14ac:dyDescent="0.25">
      <c r="T307" s="183"/>
      <c r="U307" s="183"/>
      <c r="V307" s="183"/>
      <c r="W307" s="185"/>
      <c r="X307" s="185"/>
    </row>
    <row r="308" spans="20:40" s="157" customFormat="1" x14ac:dyDescent="0.25">
      <c r="T308" s="183"/>
      <c r="U308" s="183"/>
      <c r="V308" s="183"/>
      <c r="W308" s="185"/>
      <c r="X308" s="185"/>
    </row>
    <row r="309" spans="20:40" s="157" customFormat="1" x14ac:dyDescent="0.25">
      <c r="T309" s="183"/>
      <c r="U309" s="183"/>
      <c r="V309" s="183"/>
      <c r="W309" s="185"/>
      <c r="X309" s="185"/>
    </row>
    <row r="310" spans="20:40" s="157" customFormat="1" x14ac:dyDescent="0.25">
      <c r="T310" s="183"/>
      <c r="U310" s="183"/>
      <c r="V310" s="183"/>
      <c r="W310" s="185"/>
      <c r="X310" s="185"/>
    </row>
    <row r="311" spans="20:40" s="157" customFormat="1" x14ac:dyDescent="0.25">
      <c r="T311" s="183"/>
      <c r="U311" s="183"/>
      <c r="V311" s="183"/>
      <c r="W311" s="185"/>
      <c r="X311" s="185"/>
    </row>
    <row r="312" spans="20:40" s="157" customFormat="1" x14ac:dyDescent="0.25">
      <c r="T312" s="183"/>
      <c r="U312" s="183"/>
      <c r="V312" s="183"/>
      <c r="W312" s="185"/>
      <c r="X312" s="185"/>
    </row>
    <row r="313" spans="20:40" s="157" customFormat="1" x14ac:dyDescent="0.25">
      <c r="T313" s="183"/>
      <c r="U313" s="183"/>
      <c r="V313" s="183"/>
      <c r="W313" s="185"/>
      <c r="X313" s="185"/>
    </row>
    <row r="314" spans="20:40" s="157" customFormat="1" x14ac:dyDescent="0.25">
      <c r="T314" s="183"/>
      <c r="U314" s="183"/>
      <c r="V314" s="183"/>
      <c r="W314" s="185"/>
      <c r="X314" s="185"/>
    </row>
    <row r="315" spans="20:40" s="157" customFormat="1" x14ac:dyDescent="0.25">
      <c r="T315" s="183"/>
      <c r="U315" s="183"/>
      <c r="V315" s="183"/>
      <c r="W315" s="185"/>
      <c r="X315" s="185"/>
    </row>
    <row r="316" spans="20:40" s="157" customFormat="1" x14ac:dyDescent="0.25">
      <c r="T316" s="183"/>
      <c r="U316" s="183"/>
      <c r="V316" s="183"/>
      <c r="W316" s="185"/>
      <c r="X316" s="185"/>
    </row>
    <row r="317" spans="20:40" x14ac:dyDescent="0.25">
      <c r="AN317" s="157"/>
    </row>
    <row r="318" spans="20:40" x14ac:dyDescent="0.25">
      <c r="AN318" s="157"/>
    </row>
    <row r="319" spans="20:40" x14ac:dyDescent="0.25">
      <c r="AN319" s="157"/>
    </row>
  </sheetData>
  <pageMargins left="0.7" right="0.7" top="0.75" bottom="0.75" header="0.3" footer="0.3"/>
  <pageSetup orientation="portrait" horizontalDpi="4294967292" r:id="rId1"/>
  <headerFooter alignWithMargins="0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V42"/>
  <sheetViews>
    <sheetView zoomScale="70" zoomScaleNormal="70" workbookViewId="0">
      <selection sqref="A1:XFD1048576"/>
    </sheetView>
  </sheetViews>
  <sheetFormatPr defaultColWidth="9.109375" defaultRowHeight="13.8" x14ac:dyDescent="0.25"/>
  <cols>
    <col min="1" max="1" width="9.109375" style="99"/>
    <col min="2" max="2" width="15.6640625" style="99" customWidth="1"/>
    <col min="3" max="3" width="23.6640625" style="99" customWidth="1"/>
    <col min="4" max="4" width="50.109375" style="99" customWidth="1"/>
    <col min="5" max="5" width="20" style="99" customWidth="1"/>
    <col min="6" max="6" width="29.44140625" style="99" customWidth="1"/>
    <col min="7" max="7" width="18.88671875" style="99" customWidth="1"/>
    <col min="8" max="10" width="15.6640625" style="99" customWidth="1"/>
    <col min="11" max="11" width="17.88671875" style="99" bestFit="1" customWidth="1"/>
    <col min="12" max="12" width="19" style="99" customWidth="1"/>
    <col min="13" max="13" width="9.109375" style="99"/>
    <col min="14" max="14" width="22.5546875" style="99" customWidth="1"/>
    <col min="15" max="15" width="14.33203125" style="99" bestFit="1" customWidth="1"/>
    <col min="16" max="16" width="23.109375" style="99" customWidth="1"/>
    <col min="17" max="17" width="43.33203125" style="99" customWidth="1"/>
    <col min="18" max="22" width="16.88671875" style="99" customWidth="1"/>
    <col min="23" max="23" width="5.109375" style="99" customWidth="1"/>
    <col min="24" max="24" width="58.5546875" style="99" bestFit="1" customWidth="1"/>
    <col min="25" max="16384" width="9.109375" style="99"/>
  </cols>
  <sheetData>
    <row r="2" spans="1:22" ht="17.399999999999999" x14ac:dyDescent="0.3">
      <c r="A2" s="121"/>
      <c r="B2" s="121" t="s">
        <v>290</v>
      </c>
      <c r="C2" s="121"/>
      <c r="D2" s="121"/>
      <c r="E2" s="121"/>
      <c r="F2" s="121"/>
      <c r="G2" s="121"/>
      <c r="H2" s="121"/>
    </row>
    <row r="3" spans="1:22" x14ac:dyDescent="0.25">
      <c r="B3" s="108"/>
      <c r="N3" s="109" t="s">
        <v>149</v>
      </c>
      <c r="O3" s="109"/>
    </row>
    <row r="5" spans="1:22" x14ac:dyDescent="0.25">
      <c r="B5" s="122"/>
      <c r="C5" s="123"/>
      <c r="E5" s="122"/>
      <c r="F5" s="122"/>
      <c r="G5" s="122"/>
      <c r="I5" s="124"/>
      <c r="J5" s="125"/>
      <c r="N5" s="111" t="s">
        <v>38</v>
      </c>
      <c r="O5" s="111"/>
      <c r="P5" s="111"/>
      <c r="Q5" s="111"/>
      <c r="R5" s="111"/>
      <c r="S5" s="111"/>
      <c r="T5" s="111"/>
      <c r="U5" s="111"/>
      <c r="V5" s="111"/>
    </row>
    <row r="6" spans="1:22" x14ac:dyDescent="0.25">
      <c r="F6" s="126" t="s">
        <v>15</v>
      </c>
      <c r="G6" s="126"/>
      <c r="H6" s="127"/>
      <c r="I6" s="128"/>
      <c r="J6" s="129"/>
      <c r="N6" s="110" t="s">
        <v>18</v>
      </c>
      <c r="O6" s="110"/>
      <c r="P6" s="111"/>
      <c r="Q6" s="111"/>
      <c r="R6" s="111"/>
      <c r="S6" s="111"/>
      <c r="T6" s="111"/>
      <c r="U6" s="111"/>
      <c r="V6" s="111"/>
    </row>
    <row r="7" spans="1:22" ht="20.25" customHeight="1" x14ac:dyDescent="0.25">
      <c r="B7" s="130" t="s">
        <v>33</v>
      </c>
      <c r="C7" s="130" t="s">
        <v>1</v>
      </c>
      <c r="D7" s="131" t="s">
        <v>41</v>
      </c>
      <c r="E7" s="130" t="s">
        <v>7</v>
      </c>
      <c r="F7" s="132" t="s">
        <v>8</v>
      </c>
      <c r="G7" s="133" t="s">
        <v>401</v>
      </c>
      <c r="H7" s="133" t="s">
        <v>17</v>
      </c>
      <c r="I7" s="134"/>
      <c r="J7" s="134"/>
      <c r="N7" s="113" t="s">
        <v>13</v>
      </c>
      <c r="O7" s="113" t="s">
        <v>33</v>
      </c>
      <c r="P7" s="113" t="s">
        <v>1</v>
      </c>
      <c r="Q7" s="113" t="s">
        <v>2</v>
      </c>
      <c r="R7" s="113" t="s">
        <v>19</v>
      </c>
      <c r="S7" s="113" t="s">
        <v>20</v>
      </c>
      <c r="T7" s="113" t="s">
        <v>21</v>
      </c>
      <c r="U7" s="113" t="s">
        <v>22</v>
      </c>
      <c r="V7" s="113" t="s">
        <v>23</v>
      </c>
    </row>
    <row r="8" spans="1:22" ht="26.25" customHeight="1" thickBot="1" x14ac:dyDescent="0.3">
      <c r="B8" s="135" t="s">
        <v>150</v>
      </c>
      <c r="C8" s="136" t="s">
        <v>24</v>
      </c>
      <c r="D8" s="136" t="s">
        <v>25</v>
      </c>
      <c r="E8" s="136" t="s">
        <v>35</v>
      </c>
      <c r="F8" s="137" t="s">
        <v>36</v>
      </c>
      <c r="G8" s="136" t="s">
        <v>448</v>
      </c>
      <c r="H8" s="136" t="s">
        <v>37</v>
      </c>
      <c r="I8" s="138"/>
      <c r="J8" s="138"/>
      <c r="N8" s="139" t="s">
        <v>43</v>
      </c>
      <c r="O8" s="139" t="s">
        <v>34</v>
      </c>
      <c r="P8" s="139" t="s">
        <v>24</v>
      </c>
      <c r="Q8" s="139" t="s">
        <v>25</v>
      </c>
      <c r="R8" s="139" t="s">
        <v>26</v>
      </c>
      <c r="S8" s="139" t="s">
        <v>27</v>
      </c>
      <c r="T8" s="139" t="s">
        <v>47</v>
      </c>
      <c r="U8" s="139" t="s">
        <v>46</v>
      </c>
      <c r="V8" s="139" t="s">
        <v>28</v>
      </c>
    </row>
    <row r="9" spans="1:22" x14ac:dyDescent="0.25">
      <c r="B9" s="140" t="s">
        <v>152</v>
      </c>
      <c r="C9" s="140"/>
      <c r="D9" s="141"/>
      <c r="E9" s="141"/>
      <c r="F9" s="142" t="s">
        <v>288</v>
      </c>
      <c r="G9" s="141" t="s">
        <v>303</v>
      </c>
      <c r="H9" s="141" t="s">
        <v>303</v>
      </c>
      <c r="I9" s="138"/>
      <c r="J9" s="138"/>
      <c r="N9" s="99" t="s">
        <v>289</v>
      </c>
      <c r="P9" s="99" t="str">
        <f>"FT-"&amp;Commodities!D46&amp;"00"</f>
        <v>FT-INDCOABIC00</v>
      </c>
      <c r="Q9" s="99" t="s">
        <v>503</v>
      </c>
      <c r="R9" s="118" t="str">
        <f>General!$B$2</f>
        <v>PJ</v>
      </c>
      <c r="S9" s="118" t="str">
        <f>General!$B$2&amp;"a"</f>
        <v>PJa</v>
      </c>
      <c r="T9" s="118"/>
    </row>
    <row r="10" spans="1:22" x14ac:dyDescent="0.25">
      <c r="B10" s="143"/>
      <c r="C10" s="143" t="str">
        <f>P9</f>
        <v>FT-INDCOABIC00</v>
      </c>
      <c r="D10" s="143" t="str">
        <f>Q9</f>
        <v>Fuel Tech -Other bituminous coal (IND)</v>
      </c>
      <c r="E10" s="143" t="str">
        <f>MID(C10,7,6)</f>
        <v>COABIC</v>
      </c>
      <c r="F10" s="144" t="str">
        <f>"IND"&amp;E10</f>
        <v>INDCOABIC</v>
      </c>
      <c r="G10" s="145"/>
      <c r="H10" s="145">
        <v>1</v>
      </c>
      <c r="I10" s="146"/>
      <c r="J10" s="146"/>
      <c r="P10" s="99" t="str">
        <f>"FT-"&amp;Commodities!D47&amp;"00"</f>
        <v>FT-INDCOASUB00</v>
      </c>
      <c r="Q10" s="99" t="s">
        <v>735</v>
      </c>
      <c r="R10" s="118" t="str">
        <f>General!$B$2</f>
        <v>PJ</v>
      </c>
      <c r="S10" s="118" t="str">
        <f>General!$B$2&amp;"a"</f>
        <v>PJa</v>
      </c>
      <c r="T10" s="118"/>
    </row>
    <row r="11" spans="1:22" x14ac:dyDescent="0.25">
      <c r="B11" s="143"/>
      <c r="C11" s="143" t="str">
        <f t="shared" ref="C11:D18" si="0">P10</f>
        <v>FT-INDCOASUB00</v>
      </c>
      <c r="D11" s="143" t="str">
        <f t="shared" si="0"/>
        <v>Fuel Tech -Sub-bituminous coal (IND)</v>
      </c>
      <c r="E11" s="143" t="str">
        <f t="shared" ref="E11:E22" si="1">MID(C11,7,6)</f>
        <v>COASUB</v>
      </c>
      <c r="F11" s="144" t="str">
        <f t="shared" ref="F11:F22" si="2">"IND"&amp;E11</f>
        <v>INDCOASUB</v>
      </c>
      <c r="G11" s="145"/>
      <c r="H11" s="145">
        <v>1</v>
      </c>
      <c r="I11" s="146"/>
      <c r="J11" s="146"/>
      <c r="P11" s="99" t="str">
        <f>"FT-"&amp;Commodities!D48&amp;"00"</f>
        <v>FT-INDCOABCO00</v>
      </c>
      <c r="Q11" s="99" t="s">
        <v>736</v>
      </c>
      <c r="R11" s="118" t="str">
        <f>General!$B$2</f>
        <v>PJ</v>
      </c>
      <c r="S11" s="118" t="str">
        <f>General!$B$2&amp;"a"</f>
        <v>PJa</v>
      </c>
      <c r="T11" s="118"/>
    </row>
    <row r="12" spans="1:22" x14ac:dyDescent="0.25">
      <c r="B12" s="143"/>
      <c r="C12" s="143" t="str">
        <f t="shared" si="0"/>
        <v>FT-INDCOABCO00</v>
      </c>
      <c r="D12" s="143" t="str">
        <f t="shared" si="0"/>
        <v>Fuel Tech -Brown Coal/Lignite  (IND)</v>
      </c>
      <c r="E12" s="143" t="str">
        <f t="shared" si="1"/>
        <v>COABCO</v>
      </c>
      <c r="F12" s="144" t="str">
        <f t="shared" si="2"/>
        <v>INDCOABCO</v>
      </c>
      <c r="G12" s="145"/>
      <c r="H12" s="145">
        <v>1</v>
      </c>
      <c r="I12" s="146"/>
      <c r="J12" s="146"/>
      <c r="P12" s="99" t="str">
        <f>"FT-"&amp;Commodities!D49&amp;"00"</f>
        <v>FT-INDCOACOC00</v>
      </c>
      <c r="Q12" s="99" t="s">
        <v>504</v>
      </c>
      <c r="R12" s="118" t="str">
        <f>General!$B$2</f>
        <v>PJ</v>
      </c>
      <c r="S12" s="118" t="str">
        <f>General!$B$2&amp;"a"</f>
        <v>PJa</v>
      </c>
      <c r="T12" s="118"/>
    </row>
    <row r="13" spans="1:22" x14ac:dyDescent="0.25">
      <c r="B13" s="143"/>
      <c r="C13" s="143" t="str">
        <f t="shared" si="0"/>
        <v>FT-INDCOACOC00</v>
      </c>
      <c r="D13" s="143" t="str">
        <f t="shared" si="0"/>
        <v>Fuel Tech -Coke oven coke (IND)</v>
      </c>
      <c r="E13" s="143" t="str">
        <f t="shared" si="1"/>
        <v>COACOC</v>
      </c>
      <c r="F13" s="144" t="str">
        <f t="shared" si="2"/>
        <v>INDCOACOC</v>
      </c>
      <c r="G13" s="145"/>
      <c r="H13" s="145">
        <v>1</v>
      </c>
      <c r="I13" s="146"/>
      <c r="J13" s="146"/>
      <c r="P13" s="99" t="str">
        <f>"FT-"&amp;Commodities!D51&amp;"00"</f>
        <v>FT-INDCOABKB00</v>
      </c>
      <c r="Q13" s="99" t="s">
        <v>505</v>
      </c>
      <c r="R13" s="118" t="str">
        <f>General!$B$2</f>
        <v>PJ</v>
      </c>
      <c r="S13" s="118" t="str">
        <f>General!$B$2&amp;"a"</f>
        <v>PJa</v>
      </c>
      <c r="T13" s="118"/>
    </row>
    <row r="14" spans="1:22" x14ac:dyDescent="0.25">
      <c r="B14" s="143"/>
      <c r="C14" s="143" t="str">
        <f t="shared" si="0"/>
        <v>FT-INDCOABKB00</v>
      </c>
      <c r="D14" s="143" t="str">
        <f t="shared" si="0"/>
        <v>Fuel Tech -BKB (brown coal briquettes) (IND)</v>
      </c>
      <c r="E14" s="143" t="str">
        <f t="shared" si="1"/>
        <v>COABKB</v>
      </c>
      <c r="F14" s="144" t="str">
        <f t="shared" si="2"/>
        <v>INDCOABKB</v>
      </c>
      <c r="G14" s="145"/>
      <c r="H14" s="145">
        <v>1</v>
      </c>
      <c r="I14" s="146"/>
      <c r="J14" s="146"/>
      <c r="P14" s="99" t="str">
        <f>"FT-"&amp;Commodities!D52&amp;"00"</f>
        <v>FT-INDOILDSL00</v>
      </c>
      <c r="Q14" s="99" t="s">
        <v>506</v>
      </c>
      <c r="R14" s="118" t="str">
        <f>General!$B$2</f>
        <v>PJ</v>
      </c>
      <c r="S14" s="118" t="str">
        <f>General!$B$2&amp;"a"</f>
        <v>PJa</v>
      </c>
      <c r="T14" s="118"/>
    </row>
    <row r="15" spans="1:22" x14ac:dyDescent="0.25">
      <c r="B15" s="143"/>
      <c r="C15" s="143" t="str">
        <f t="shared" si="0"/>
        <v>FT-INDOILDSL00</v>
      </c>
      <c r="D15" s="143" t="str">
        <f t="shared" si="0"/>
        <v>Fuel Tech -Diesel (IND)</v>
      </c>
      <c r="E15" s="143" t="str">
        <f t="shared" si="1"/>
        <v>OILDSL</v>
      </c>
      <c r="F15" s="144" t="str">
        <f t="shared" si="2"/>
        <v>INDOILDSL</v>
      </c>
      <c r="G15" s="145"/>
      <c r="H15" s="145">
        <v>1</v>
      </c>
      <c r="I15" s="146"/>
      <c r="J15" s="146"/>
      <c r="P15" s="99" t="str">
        <f>"FT-"&amp;Commodities!D53&amp;"00"</f>
        <v>FT-INDOILGSL00</v>
      </c>
      <c r="Q15" s="99" t="s">
        <v>507</v>
      </c>
      <c r="R15" s="118" t="str">
        <f>General!$B$2</f>
        <v>PJ</v>
      </c>
      <c r="S15" s="118" t="str">
        <f>General!$B$2&amp;"a"</f>
        <v>PJa</v>
      </c>
      <c r="T15" s="118"/>
    </row>
    <row r="16" spans="1:22" x14ac:dyDescent="0.25">
      <c r="B16" s="143"/>
      <c r="C16" s="143" t="str">
        <f t="shared" si="0"/>
        <v>FT-INDOILGSL00</v>
      </c>
      <c r="D16" s="143" t="str">
        <f t="shared" si="0"/>
        <v>Fuel Tech -Gasoline (IND)</v>
      </c>
      <c r="E16" s="143" t="str">
        <f t="shared" si="1"/>
        <v>OILGSL</v>
      </c>
      <c r="F16" s="144" t="str">
        <f t="shared" si="2"/>
        <v>INDOILGSL</v>
      </c>
      <c r="G16" s="145"/>
      <c r="H16" s="145">
        <v>1</v>
      </c>
      <c r="I16" s="146"/>
      <c r="J16" s="146"/>
      <c r="P16" s="99" t="str">
        <f>"FT-"&amp;Commodities!D54&amp;"00"</f>
        <v>FT-INDOILLPG00</v>
      </c>
      <c r="Q16" s="99" t="s">
        <v>508</v>
      </c>
      <c r="R16" s="118" t="str">
        <f>General!$B$2</f>
        <v>PJ</v>
      </c>
      <c r="S16" s="118" t="str">
        <f>General!$B$2&amp;"a"</f>
        <v>PJa</v>
      </c>
      <c r="T16" s="118"/>
    </row>
    <row r="17" spans="2:20" x14ac:dyDescent="0.25">
      <c r="B17" s="143"/>
      <c r="C17" s="143" t="str">
        <f t="shared" si="0"/>
        <v>FT-INDOILLPG00</v>
      </c>
      <c r="D17" s="143" t="str">
        <f t="shared" si="0"/>
        <v>Fuel Tech -Liquified petroleum gas (IND)</v>
      </c>
      <c r="E17" s="143" t="str">
        <f t="shared" si="1"/>
        <v>OILLPG</v>
      </c>
      <c r="F17" s="144" t="str">
        <f t="shared" si="2"/>
        <v>INDOILLPG</v>
      </c>
      <c r="G17" s="145"/>
      <c r="H17" s="145">
        <v>1</v>
      </c>
      <c r="I17" s="146"/>
      <c r="J17" s="146"/>
      <c r="P17" s="99" t="str">
        <f>"FT-"&amp;Commodities!D84&amp;"00"</f>
        <v>FT-INDOILHFO00</v>
      </c>
      <c r="Q17" s="99" t="s">
        <v>509</v>
      </c>
      <c r="R17" s="118" t="str">
        <f>General!$B$2</f>
        <v>PJ</v>
      </c>
      <c r="S17" s="118" t="str">
        <f>General!$B$2&amp;"a"</f>
        <v>PJa</v>
      </c>
      <c r="T17" s="118"/>
    </row>
    <row r="18" spans="2:20" x14ac:dyDescent="0.25">
      <c r="B18" s="104"/>
      <c r="C18" s="104" t="str">
        <f t="shared" si="0"/>
        <v>FT-INDOILHFO00</v>
      </c>
      <c r="D18" s="104" t="str">
        <f t="shared" si="0"/>
        <v>Fuel Tech -Heavy Fuel Oil</v>
      </c>
      <c r="E18" s="104" t="s">
        <v>770</v>
      </c>
      <c r="F18" s="147"/>
      <c r="G18" s="148"/>
      <c r="H18" s="146">
        <v>1</v>
      </c>
      <c r="I18" s="146"/>
      <c r="J18" s="146"/>
      <c r="P18" s="99" t="str">
        <f>"FT-"&amp;Commodities!D57&amp;"00"</f>
        <v>FT-INDOILKER00</v>
      </c>
      <c r="Q18" s="99" t="s">
        <v>510</v>
      </c>
      <c r="R18" s="118" t="str">
        <f>General!$B$2</f>
        <v>PJ</v>
      </c>
      <c r="S18" s="118" t="str">
        <f>General!$B$2&amp;"a"</f>
        <v>PJa</v>
      </c>
      <c r="T18" s="118"/>
    </row>
    <row r="19" spans="2:20" x14ac:dyDescent="0.25">
      <c r="B19" s="149"/>
      <c r="C19" s="149"/>
      <c r="D19" s="149"/>
      <c r="E19" s="149"/>
      <c r="F19" s="150" t="str">
        <f>Commodities!D84</f>
        <v>INDOILHFO</v>
      </c>
      <c r="G19" s="151"/>
      <c r="H19" s="152"/>
      <c r="I19" s="146"/>
      <c r="J19" s="146"/>
      <c r="P19" s="99" t="str">
        <f>"FT-"&amp;Commodities!D59&amp;"00"</f>
        <v>FT-INDOILPCK00</v>
      </c>
      <c r="Q19" s="99" t="s">
        <v>511</v>
      </c>
      <c r="R19" s="118" t="str">
        <f>General!$B$2</f>
        <v>PJ</v>
      </c>
      <c r="S19" s="118" t="str">
        <f>General!$B$2&amp;"a"</f>
        <v>PJa</v>
      </c>
      <c r="T19" s="118"/>
    </row>
    <row r="20" spans="2:20" x14ac:dyDescent="0.25">
      <c r="B20" s="149"/>
      <c r="C20" s="149" t="str">
        <f t="shared" ref="C20:D22" si="3">P18</f>
        <v>FT-INDOILKER00</v>
      </c>
      <c r="D20" s="149" t="str">
        <f t="shared" si="3"/>
        <v>Fuel Tech -Kerosene (IND)</v>
      </c>
      <c r="E20" s="149" t="str">
        <f t="shared" si="1"/>
        <v>OILKER</v>
      </c>
      <c r="F20" s="150" t="str">
        <f t="shared" si="2"/>
        <v>INDOILKER</v>
      </c>
      <c r="G20" s="152"/>
      <c r="H20" s="152">
        <v>1</v>
      </c>
      <c r="I20" s="146"/>
      <c r="J20" s="146"/>
      <c r="P20" s="99" t="str">
        <f>"FT-"&amp;Commodities!D60&amp;"00"</f>
        <v>FT-INDOILOTH00</v>
      </c>
      <c r="Q20" s="99" t="s">
        <v>512</v>
      </c>
      <c r="R20" s="118" t="str">
        <f>General!$B$2</f>
        <v>PJ</v>
      </c>
      <c r="S20" s="118" t="str">
        <f>General!$B$2&amp;"a"</f>
        <v>PJa</v>
      </c>
      <c r="T20" s="118"/>
    </row>
    <row r="21" spans="2:20" x14ac:dyDescent="0.25">
      <c r="B21" s="143"/>
      <c r="C21" s="143" t="str">
        <f t="shared" si="3"/>
        <v>FT-INDOILPCK00</v>
      </c>
      <c r="D21" s="143" t="str">
        <f t="shared" si="3"/>
        <v>Fuel Tech -Petroleum Coke (IND)</v>
      </c>
      <c r="E21" s="143" t="str">
        <f t="shared" si="1"/>
        <v>OILPCK</v>
      </c>
      <c r="F21" s="144" t="str">
        <f t="shared" si="2"/>
        <v>INDOILPCK</v>
      </c>
      <c r="G21" s="145"/>
      <c r="H21" s="145">
        <v>1</v>
      </c>
      <c r="I21" s="146"/>
      <c r="J21" s="146"/>
      <c r="P21" s="99" t="str">
        <f>"FT-INDOILRFG00"</f>
        <v>FT-INDOILRFG00</v>
      </c>
      <c r="Q21" s="99" t="s">
        <v>772</v>
      </c>
      <c r="R21" s="118" t="str">
        <f>General!$B$2</f>
        <v>PJ</v>
      </c>
      <c r="S21" s="118" t="str">
        <f>General!$B$2&amp;"a"</f>
        <v>PJa</v>
      </c>
      <c r="T21" s="118"/>
    </row>
    <row r="22" spans="2:20" x14ac:dyDescent="0.25">
      <c r="B22" s="143"/>
      <c r="C22" s="143" t="str">
        <f t="shared" si="3"/>
        <v>FT-INDOILOTH00</v>
      </c>
      <c r="D22" s="143" t="str">
        <f t="shared" si="3"/>
        <v>Fuel Tech -Other petroleum products (IND)</v>
      </c>
      <c r="E22" s="143" t="str">
        <f t="shared" si="1"/>
        <v>OILOTH</v>
      </c>
      <c r="F22" s="144" t="str">
        <f t="shared" si="2"/>
        <v>INDOILOTH</v>
      </c>
      <c r="G22" s="145"/>
      <c r="H22" s="145">
        <v>1</v>
      </c>
      <c r="I22" s="146"/>
      <c r="J22" s="146"/>
      <c r="P22" s="99" t="str">
        <f>"FT-"&amp;Commodities!D61&amp;"00"</f>
        <v>FT-INDGASNAT00</v>
      </c>
      <c r="Q22" s="99" t="s">
        <v>513</v>
      </c>
      <c r="R22" s="118" t="str">
        <f>General!$B$2</f>
        <v>PJ</v>
      </c>
      <c r="S22" s="118" t="str">
        <f>General!$B$2&amp;"a"</f>
        <v>PJa</v>
      </c>
      <c r="T22" s="118" t="s">
        <v>479</v>
      </c>
    </row>
    <row r="23" spans="2:20" x14ac:dyDescent="0.25">
      <c r="B23" s="143"/>
      <c r="C23" s="143" t="str">
        <f>P21</f>
        <v>FT-INDOILRFG00</v>
      </c>
      <c r="D23" s="143" t="str">
        <f>Q21</f>
        <v>Fuel Tech - refinery gas (IND)</v>
      </c>
      <c r="E23" s="143" t="str">
        <f t="shared" ref="E23" si="4">MID(C23,7,6)</f>
        <v>OILRFG</v>
      </c>
      <c r="F23" s="144" t="str">
        <f t="shared" ref="F23" si="5">"IND"&amp;E23</f>
        <v>INDOILRFG</v>
      </c>
      <c r="G23" s="145"/>
      <c r="H23" s="145">
        <v>1</v>
      </c>
      <c r="P23" s="99" t="str">
        <f>"FT-"&amp;Commodities!D62&amp;"00"</f>
        <v>FT-INDGASBFG00</v>
      </c>
      <c r="Q23" s="99" t="s">
        <v>514</v>
      </c>
      <c r="R23" s="118" t="str">
        <f>General!$B$2</f>
        <v>PJ</v>
      </c>
      <c r="S23" s="118" t="str">
        <f>General!$B$2&amp;"a"</f>
        <v>PJa</v>
      </c>
      <c r="T23" s="118"/>
    </row>
    <row r="24" spans="2:20" x14ac:dyDescent="0.25">
      <c r="B24" s="104"/>
      <c r="C24" s="104" t="str">
        <f>P22</f>
        <v>FT-INDGASNAT00</v>
      </c>
      <c r="D24" s="104" t="str">
        <f>Q22</f>
        <v>Fuel Tech -Natural Gas (IND)</v>
      </c>
      <c r="E24" s="104" t="str">
        <f>Commodities!D80</f>
        <v>GASNAT_HP</v>
      </c>
      <c r="F24" s="147"/>
      <c r="G24" s="153">
        <v>0.2</v>
      </c>
      <c r="H24" s="146">
        <v>1</v>
      </c>
      <c r="I24" s="146"/>
      <c r="J24" s="146"/>
      <c r="P24" s="99" t="str">
        <f>"FT-"&amp;Commodities!D63&amp;"00"</f>
        <v>FT-INDBIOLOG00</v>
      </c>
      <c r="Q24" s="99" t="s">
        <v>515</v>
      </c>
      <c r="R24" s="118" t="str">
        <f>General!$B$2</f>
        <v>PJ</v>
      </c>
      <c r="S24" s="118" t="str">
        <f>General!$B$2&amp;"a"</f>
        <v>PJa</v>
      </c>
      <c r="T24" s="118"/>
    </row>
    <row r="25" spans="2:20" x14ac:dyDescent="0.25">
      <c r="B25" s="104"/>
      <c r="C25" s="104"/>
      <c r="D25" s="104"/>
      <c r="E25" s="104" t="str">
        <f>Commodities!D81</f>
        <v>GASNAT_MP</v>
      </c>
      <c r="F25" s="154"/>
      <c r="G25" s="153">
        <v>0.4</v>
      </c>
      <c r="H25" s="146"/>
      <c r="I25" s="146"/>
      <c r="J25" s="146"/>
      <c r="P25" s="99" t="str">
        <f>"FT-"&amp;Commodities!D69&amp;"00"</f>
        <v>FT-INDBIOBGS00</v>
      </c>
      <c r="Q25" s="99" t="s">
        <v>516</v>
      </c>
      <c r="R25" s="118" t="str">
        <f>General!$B$2</f>
        <v>PJ</v>
      </c>
      <c r="S25" s="118" t="str">
        <f>General!$B$2&amp;"a"</f>
        <v>PJa</v>
      </c>
      <c r="T25" s="118"/>
    </row>
    <row r="26" spans="2:20" x14ac:dyDescent="0.25">
      <c r="B26" s="104"/>
      <c r="C26" s="104"/>
      <c r="D26" s="104"/>
      <c r="E26" s="104" t="str">
        <f>Commodities!D82</f>
        <v>GASNAT_LP</v>
      </c>
      <c r="F26" s="154"/>
      <c r="G26" s="153">
        <v>0.7</v>
      </c>
      <c r="H26" s="146"/>
      <c r="I26" s="146"/>
      <c r="J26" s="146"/>
      <c r="P26" s="99" t="str">
        <f>"FT-"&amp;Commodities!D71&amp;"00"</f>
        <v>FT-INDBIOCHR00</v>
      </c>
      <c r="Q26" s="99" t="s">
        <v>517</v>
      </c>
      <c r="R26" s="118" t="str">
        <f>General!$B$2</f>
        <v>PJ</v>
      </c>
      <c r="S26" s="118" t="str">
        <f>General!$B$2&amp;"a"</f>
        <v>PJa</v>
      </c>
      <c r="T26" s="118"/>
    </row>
    <row r="27" spans="2:20" x14ac:dyDescent="0.25">
      <c r="B27" s="149"/>
      <c r="C27" s="149"/>
      <c r="D27" s="149"/>
      <c r="E27" s="149" t="str">
        <f>Commodities!D83</f>
        <v>GASNAT_CNG</v>
      </c>
      <c r="F27" s="150" t="str">
        <f>Commodities!D61</f>
        <v>INDGASNAT</v>
      </c>
      <c r="G27" s="155">
        <v>0.2</v>
      </c>
      <c r="H27" s="152"/>
      <c r="I27" s="146"/>
      <c r="J27" s="146"/>
      <c r="P27" s="99" t="str">
        <f>"FT-"&amp;Commodities!D65&amp;"00"</f>
        <v>FT-INDBIOWID00</v>
      </c>
      <c r="Q27" s="99" t="s">
        <v>518</v>
      </c>
      <c r="R27" s="118" t="str">
        <f>General!$B$2</f>
        <v>PJ</v>
      </c>
      <c r="S27" s="118" t="str">
        <f>General!$B$2&amp;"a"</f>
        <v>PJa</v>
      </c>
      <c r="T27" s="118"/>
    </row>
    <row r="28" spans="2:20" x14ac:dyDescent="0.25">
      <c r="B28" s="149"/>
      <c r="C28" s="149" t="str">
        <f t="shared" ref="C28:D32" si="6">P23</f>
        <v>FT-INDGASBFG00</v>
      </c>
      <c r="D28" s="149" t="str">
        <f t="shared" si="6"/>
        <v>Fuel Tech -Blast Furnace Gas (IND)</v>
      </c>
      <c r="E28" s="149" t="str">
        <f>MID(C28,7,6)</f>
        <v>GASBFG</v>
      </c>
      <c r="F28" s="150" t="str">
        <f>"IND"&amp;E28</f>
        <v>INDGASBFG</v>
      </c>
      <c r="G28" s="152"/>
      <c r="H28" s="152">
        <v>1</v>
      </c>
      <c r="I28" s="146"/>
      <c r="J28" s="146"/>
      <c r="N28" s="99" t="s">
        <v>292</v>
      </c>
      <c r="P28" s="99" t="str">
        <f>"FT-"&amp;Commodities!D77&amp;"00"</f>
        <v>FT-INDELC00</v>
      </c>
      <c r="Q28" s="99" t="s">
        <v>519</v>
      </c>
      <c r="R28" s="118" t="str">
        <f>General!$B$2</f>
        <v>PJ</v>
      </c>
      <c r="S28" s="118" t="str">
        <f>General!$B$5</f>
        <v>GW</v>
      </c>
      <c r="T28" s="118" t="s">
        <v>126</v>
      </c>
    </row>
    <row r="29" spans="2:20" x14ac:dyDescent="0.25">
      <c r="B29" s="143"/>
      <c r="C29" s="143" t="str">
        <f t="shared" si="6"/>
        <v>FT-INDBIOLOG00</v>
      </c>
      <c r="D29" s="143" t="str">
        <f t="shared" si="6"/>
        <v>Fuel Tech -Wood (IND)</v>
      </c>
      <c r="E29" s="143" t="str">
        <f>MID(C29,7,6)</f>
        <v>BIOLOG</v>
      </c>
      <c r="F29" s="144" t="str">
        <f>"IND"&amp;E29</f>
        <v>INDBIOLOG</v>
      </c>
      <c r="G29" s="145"/>
      <c r="H29" s="145">
        <v>1</v>
      </c>
      <c r="I29" s="146"/>
      <c r="J29" s="146"/>
    </row>
    <row r="30" spans="2:20" x14ac:dyDescent="0.25">
      <c r="B30" s="143"/>
      <c r="C30" s="143" t="str">
        <f t="shared" si="6"/>
        <v>FT-INDBIOBGS00</v>
      </c>
      <c r="D30" s="143" t="str">
        <f t="shared" si="6"/>
        <v>Fuel Tech -Biogas (IND)</v>
      </c>
      <c r="E30" s="143" t="str">
        <f>MID(C30,7,6)</f>
        <v>BIOBGS</v>
      </c>
      <c r="F30" s="144" t="str">
        <f>"IND"&amp;E30</f>
        <v>INDBIOBGS</v>
      </c>
      <c r="G30" s="145"/>
      <c r="H30" s="145">
        <v>1</v>
      </c>
      <c r="I30" s="146"/>
      <c r="J30" s="146"/>
    </row>
    <row r="31" spans="2:20" x14ac:dyDescent="0.25">
      <c r="B31" s="149"/>
      <c r="C31" s="149" t="str">
        <f t="shared" si="6"/>
        <v>FT-INDBIOCHR00</v>
      </c>
      <c r="D31" s="149" t="str">
        <f t="shared" si="6"/>
        <v>Fuel Tech -Charcoal (IND)</v>
      </c>
      <c r="E31" s="149" t="str">
        <f>MID(C31,7,6)</f>
        <v>BIOCHR</v>
      </c>
      <c r="F31" s="150" t="str">
        <f>"IND"&amp;E31</f>
        <v>INDBIOCHR</v>
      </c>
      <c r="G31" s="152"/>
      <c r="H31" s="152">
        <v>1</v>
      </c>
      <c r="I31" s="146"/>
      <c r="J31" s="146"/>
    </row>
    <row r="32" spans="2:20" x14ac:dyDescent="0.25">
      <c r="B32" s="149"/>
      <c r="C32" s="149" t="str">
        <f t="shared" si="6"/>
        <v>FT-INDBIOWID00</v>
      </c>
      <c r="D32" s="149" t="str">
        <f t="shared" si="6"/>
        <v>Fuel Tech -Industrial Waste (IND)</v>
      </c>
      <c r="E32" s="149" t="str">
        <f>Commodities!D34</f>
        <v>BIOWID</v>
      </c>
      <c r="F32" s="150" t="str">
        <f>Commodities!D65</f>
        <v>INDBIOWID</v>
      </c>
      <c r="G32" s="152"/>
      <c r="H32" s="152">
        <v>1</v>
      </c>
    </row>
    <row r="35" spans="2:11" ht="26.25" customHeight="1" x14ac:dyDescent="0.25"/>
    <row r="36" spans="2:11" ht="16.5" customHeight="1" x14ac:dyDescent="0.25">
      <c r="F36" s="126" t="s">
        <v>15</v>
      </c>
      <c r="G36" s="126"/>
      <c r="H36" s="127"/>
      <c r="I36" s="127"/>
      <c r="J36" s="129"/>
    </row>
    <row r="37" spans="2:11" x14ac:dyDescent="0.25">
      <c r="B37" s="130" t="s">
        <v>33</v>
      </c>
      <c r="C37" s="130" t="s">
        <v>1</v>
      </c>
      <c r="D37" s="131" t="s">
        <v>41</v>
      </c>
      <c r="E37" s="130" t="s">
        <v>7</v>
      </c>
      <c r="F37" s="132" t="s">
        <v>8</v>
      </c>
      <c r="G37" s="133" t="s">
        <v>426</v>
      </c>
      <c r="H37" s="133" t="s">
        <v>17</v>
      </c>
      <c r="I37" s="133" t="s">
        <v>3</v>
      </c>
      <c r="J37" s="133" t="s">
        <v>6</v>
      </c>
      <c r="K37" s="133" t="s">
        <v>302</v>
      </c>
    </row>
    <row r="38" spans="2:11" ht="28.2" thickBot="1" x14ac:dyDescent="0.3">
      <c r="B38" s="135" t="s">
        <v>150</v>
      </c>
      <c r="C38" s="136" t="s">
        <v>24</v>
      </c>
      <c r="D38" s="136" t="s">
        <v>25</v>
      </c>
      <c r="E38" s="136" t="s">
        <v>35</v>
      </c>
      <c r="F38" s="137" t="s">
        <v>36</v>
      </c>
      <c r="G38" s="136"/>
      <c r="H38" s="136" t="s">
        <v>37</v>
      </c>
      <c r="I38" s="136" t="s">
        <v>40</v>
      </c>
      <c r="J38" s="136" t="s">
        <v>39</v>
      </c>
      <c r="K38" s="136" t="s">
        <v>291</v>
      </c>
    </row>
    <row r="39" spans="2:11" x14ac:dyDescent="0.25">
      <c r="B39" s="140" t="s">
        <v>152</v>
      </c>
      <c r="C39" s="140"/>
      <c r="D39" s="141"/>
      <c r="E39" s="141"/>
      <c r="F39" s="142" t="s">
        <v>288</v>
      </c>
      <c r="G39" s="141"/>
      <c r="H39" s="141" t="s">
        <v>303</v>
      </c>
      <c r="I39" s="141" t="str">
        <f>General!$D$14</f>
        <v>$/GJ/a</v>
      </c>
      <c r="J39" s="141" t="str">
        <f>General!$D$15</f>
        <v>$/GJ</v>
      </c>
      <c r="K39" s="141" t="str">
        <f>General!$D$16</f>
        <v>GJ/kW</v>
      </c>
    </row>
    <row r="40" spans="2:11" x14ac:dyDescent="0.25">
      <c r="C40" s="99" t="str">
        <f>P28</f>
        <v>FT-INDELC00</v>
      </c>
      <c r="D40" s="99" t="str">
        <f>Q28</f>
        <v>Fuel Tech -Electricity (IND)</v>
      </c>
      <c r="E40" s="99" t="s">
        <v>824</v>
      </c>
      <c r="F40" s="154"/>
      <c r="G40" s="118">
        <v>0.5</v>
      </c>
      <c r="H40" s="118">
        <v>1</v>
      </c>
      <c r="I40" s="118"/>
      <c r="J40" s="118"/>
      <c r="K40" s="118">
        <v>31.536000000000001</v>
      </c>
    </row>
    <row r="41" spans="2:11" x14ac:dyDescent="0.25">
      <c r="E41" s="99" t="str">
        <f>Commodities!$D$79</f>
        <v>ELCMLO</v>
      </c>
      <c r="F41" s="154"/>
      <c r="G41" s="118">
        <v>1</v>
      </c>
      <c r="H41" s="118"/>
      <c r="I41" s="118"/>
      <c r="J41" s="118"/>
      <c r="K41" s="118"/>
    </row>
    <row r="42" spans="2:11" x14ac:dyDescent="0.25">
      <c r="B42" s="149"/>
      <c r="C42" s="149"/>
      <c r="D42" s="149"/>
      <c r="E42" s="149"/>
      <c r="F42" s="150" t="str">
        <f>Commodities!D77</f>
        <v>INDELC</v>
      </c>
      <c r="G42" s="149"/>
      <c r="H42" s="149"/>
      <c r="I42" s="149"/>
      <c r="J42" s="149"/>
      <c r="K42" s="149"/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AQ112"/>
  <sheetViews>
    <sheetView topLeftCell="A65" zoomScale="70" zoomScaleNormal="70" workbookViewId="0">
      <selection activeCell="A65" sqref="A1:XFD1048576"/>
    </sheetView>
  </sheetViews>
  <sheetFormatPr defaultColWidth="9.109375" defaultRowHeight="13.8" x14ac:dyDescent="0.25"/>
  <cols>
    <col min="1" max="1" width="9.109375" style="99"/>
    <col min="2" max="2" width="15.6640625" style="99" customWidth="1"/>
    <col min="3" max="3" width="15.109375" style="99" customWidth="1"/>
    <col min="4" max="4" width="22" style="99" customWidth="1"/>
    <col min="5" max="5" width="55.5546875" style="99" customWidth="1"/>
    <col min="6" max="6" width="8.88671875" style="99" customWidth="1"/>
    <col min="7" max="7" width="24.33203125" style="99" bestFit="1" customWidth="1"/>
    <col min="8" max="8" width="13.6640625" style="99" bestFit="1" customWidth="1"/>
    <col min="9" max="9" width="14.5546875" style="99" bestFit="1" customWidth="1"/>
    <col min="10" max="10" width="14.88671875" style="99" customWidth="1"/>
    <col min="11" max="11" width="3.6640625" style="99" customWidth="1"/>
    <col min="12" max="12" width="9.109375" style="99"/>
    <col min="13" max="13" width="8.6640625" style="99" customWidth="1"/>
    <col min="14" max="14" width="13.44140625" style="99" bestFit="1" customWidth="1"/>
    <col min="15" max="15" width="17.33203125" style="99" bestFit="1" customWidth="1"/>
    <col min="16" max="16" width="24.109375" style="99" bestFit="1" customWidth="1"/>
    <col min="17" max="17" width="7.6640625" style="99" bestFit="1" customWidth="1"/>
    <col min="18" max="21" width="12.33203125" style="99" customWidth="1"/>
    <col min="22" max="22" width="9.109375" style="99"/>
    <col min="23" max="23" width="16.109375" style="99" customWidth="1"/>
    <col min="24" max="24" width="13.44140625" style="99" bestFit="1" customWidth="1"/>
    <col min="25" max="25" width="17.33203125" style="99" bestFit="1" customWidth="1"/>
    <col min="26" max="26" width="25.88671875" style="99" bestFit="1" customWidth="1"/>
    <col min="27" max="27" width="7.6640625" style="99" bestFit="1" customWidth="1"/>
    <col min="28" max="28" width="15.5546875" style="99" customWidth="1"/>
    <col min="29" max="30" width="12.5546875" style="99" customWidth="1"/>
    <col min="31" max="31" width="9" style="99" customWidth="1"/>
    <col min="32" max="34" width="9.109375" style="99"/>
    <col min="35" max="35" width="13.109375" style="99" bestFit="1" customWidth="1"/>
    <col min="36" max="36" width="39" style="99" bestFit="1" customWidth="1"/>
    <col min="37" max="42" width="9.109375" style="99"/>
    <col min="43" max="43" width="39.6640625" style="99" bestFit="1" customWidth="1"/>
    <col min="44" max="16384" width="9.109375" style="99"/>
  </cols>
  <sheetData>
    <row r="1" spans="2:43" x14ac:dyDescent="0.25">
      <c r="B1" s="108" t="s">
        <v>50</v>
      </c>
    </row>
    <row r="2" spans="2:43" x14ac:dyDescent="0.25">
      <c r="B2" s="109"/>
    </row>
    <row r="3" spans="2:43" x14ac:dyDescent="0.25">
      <c r="B3" s="109"/>
    </row>
    <row r="4" spans="2:43" x14ac:dyDescent="0.25">
      <c r="B4" s="110" t="s">
        <v>16</v>
      </c>
      <c r="C4" s="110"/>
      <c r="D4" s="111"/>
      <c r="E4" s="111"/>
      <c r="F4" s="111"/>
      <c r="G4" s="111"/>
      <c r="H4" s="111"/>
      <c r="I4" s="111"/>
      <c r="J4" s="111"/>
      <c r="M4" s="110" t="s">
        <v>16</v>
      </c>
      <c r="N4" s="110"/>
      <c r="O4" s="111"/>
      <c r="P4" s="111"/>
      <c r="Q4" s="111"/>
      <c r="R4" s="111"/>
      <c r="S4" s="111"/>
      <c r="T4" s="111"/>
      <c r="U4" s="111"/>
      <c r="W4" s="110" t="s">
        <v>16</v>
      </c>
      <c r="X4" s="110"/>
      <c r="Y4" s="111"/>
      <c r="Z4" s="111"/>
      <c r="AA4" s="111"/>
      <c r="AB4" s="111"/>
      <c r="AC4" s="111"/>
      <c r="AD4" s="111"/>
      <c r="AE4" s="111"/>
      <c r="AG4" s="110" t="s">
        <v>16</v>
      </c>
      <c r="AH4" s="110"/>
      <c r="AI4" s="111"/>
      <c r="AJ4" s="111"/>
      <c r="AK4" s="111"/>
      <c r="AL4" s="111"/>
      <c r="AM4" s="111"/>
      <c r="AN4" s="111"/>
      <c r="AO4" s="111"/>
    </row>
    <row r="5" spans="2:43" x14ac:dyDescent="0.25">
      <c r="B5" s="112" t="s">
        <v>9</v>
      </c>
      <c r="C5" s="113" t="s">
        <v>33</v>
      </c>
      <c r="D5" s="112" t="s">
        <v>0</v>
      </c>
      <c r="E5" s="112" t="s">
        <v>4</v>
      </c>
      <c r="F5" s="114" t="s">
        <v>5</v>
      </c>
      <c r="G5" s="114" t="s">
        <v>10</v>
      </c>
      <c r="H5" s="114" t="s">
        <v>11</v>
      </c>
      <c r="I5" s="114" t="s">
        <v>12</v>
      </c>
      <c r="J5" s="114" t="s">
        <v>14</v>
      </c>
      <c r="M5" s="112" t="s">
        <v>9</v>
      </c>
      <c r="N5" s="113" t="s">
        <v>33</v>
      </c>
      <c r="O5" s="112" t="s">
        <v>0</v>
      </c>
      <c r="P5" s="112" t="s">
        <v>4</v>
      </c>
      <c r="Q5" s="114" t="s">
        <v>5</v>
      </c>
      <c r="R5" s="114" t="s">
        <v>10</v>
      </c>
      <c r="S5" s="114" t="s">
        <v>11</v>
      </c>
      <c r="T5" s="114" t="s">
        <v>12</v>
      </c>
      <c r="U5" s="114" t="s">
        <v>14</v>
      </c>
      <c r="W5" s="112" t="s">
        <v>9</v>
      </c>
      <c r="X5" s="113" t="s">
        <v>33</v>
      </c>
      <c r="Y5" s="112" t="s">
        <v>0</v>
      </c>
      <c r="Z5" s="112" t="s">
        <v>4</v>
      </c>
      <c r="AA5" s="114" t="s">
        <v>5</v>
      </c>
      <c r="AB5" s="114" t="s">
        <v>10</v>
      </c>
      <c r="AC5" s="114" t="s">
        <v>11</v>
      </c>
      <c r="AD5" s="114" t="s">
        <v>12</v>
      </c>
      <c r="AE5" s="114" t="s">
        <v>14</v>
      </c>
      <c r="AG5" s="112" t="s">
        <v>9</v>
      </c>
      <c r="AH5" s="113" t="s">
        <v>33</v>
      </c>
      <c r="AI5" s="112" t="s">
        <v>0</v>
      </c>
      <c r="AJ5" s="112" t="s">
        <v>4</v>
      </c>
      <c r="AK5" s="114" t="s">
        <v>5</v>
      </c>
      <c r="AL5" s="114" t="s">
        <v>10</v>
      </c>
      <c r="AM5" s="114" t="s">
        <v>11</v>
      </c>
      <c r="AN5" s="114" t="s">
        <v>12</v>
      </c>
      <c r="AO5" s="114" t="s">
        <v>14</v>
      </c>
    </row>
    <row r="6" spans="2:43" s="117" customFormat="1" ht="28.5" customHeight="1" thickBot="1" x14ac:dyDescent="0.3">
      <c r="B6" s="115" t="s">
        <v>42</v>
      </c>
      <c r="C6" s="116" t="s">
        <v>34</v>
      </c>
      <c r="D6" s="115" t="s">
        <v>29</v>
      </c>
      <c r="E6" s="115" t="s">
        <v>30</v>
      </c>
      <c r="F6" s="115" t="s">
        <v>5</v>
      </c>
      <c r="G6" s="115" t="s">
        <v>44</v>
      </c>
      <c r="H6" s="115" t="s">
        <v>45</v>
      </c>
      <c r="I6" s="115" t="s">
        <v>31</v>
      </c>
      <c r="J6" s="115" t="s">
        <v>32</v>
      </c>
      <c r="M6" s="115" t="s">
        <v>42</v>
      </c>
      <c r="N6" s="116" t="s">
        <v>34</v>
      </c>
      <c r="O6" s="115" t="s">
        <v>29</v>
      </c>
      <c r="P6" s="115" t="s">
        <v>30</v>
      </c>
      <c r="Q6" s="115" t="s">
        <v>5</v>
      </c>
      <c r="R6" s="115" t="s">
        <v>44</v>
      </c>
      <c r="S6" s="115" t="s">
        <v>45</v>
      </c>
      <c r="T6" s="115" t="s">
        <v>31</v>
      </c>
      <c r="U6" s="115" t="s">
        <v>32</v>
      </c>
      <c r="W6" s="115" t="s">
        <v>42</v>
      </c>
      <c r="X6" s="116" t="s">
        <v>34</v>
      </c>
      <c r="Y6" s="115" t="s">
        <v>29</v>
      </c>
      <c r="Z6" s="115" t="s">
        <v>30</v>
      </c>
      <c r="AA6" s="115" t="s">
        <v>5</v>
      </c>
      <c r="AB6" s="115" t="s">
        <v>44</v>
      </c>
      <c r="AC6" s="115" t="s">
        <v>45</v>
      </c>
      <c r="AD6" s="115" t="s">
        <v>31</v>
      </c>
      <c r="AE6" s="115" t="s">
        <v>32</v>
      </c>
      <c r="AG6" s="115" t="s">
        <v>42</v>
      </c>
      <c r="AH6" s="116" t="s">
        <v>34</v>
      </c>
      <c r="AI6" s="115" t="s">
        <v>29</v>
      </c>
      <c r="AJ6" s="115" t="s">
        <v>30</v>
      </c>
      <c r="AK6" s="115" t="s">
        <v>5</v>
      </c>
      <c r="AL6" s="115" t="s">
        <v>44</v>
      </c>
      <c r="AM6" s="115" t="s">
        <v>45</v>
      </c>
      <c r="AN6" s="115" t="s">
        <v>31</v>
      </c>
      <c r="AO6" s="115" t="s">
        <v>32</v>
      </c>
      <c r="AQ6" s="99"/>
    </row>
    <row r="7" spans="2:43" x14ac:dyDescent="0.25">
      <c r="B7" s="99" t="s">
        <v>52</v>
      </c>
      <c r="D7" s="99" t="s">
        <v>732</v>
      </c>
      <c r="E7" s="99" t="s">
        <v>733</v>
      </c>
      <c r="F7" s="118" t="str">
        <f>General!$B$2</f>
        <v>PJ</v>
      </c>
      <c r="M7" s="99" t="s">
        <v>130</v>
      </c>
      <c r="O7" s="99" t="s">
        <v>131</v>
      </c>
      <c r="P7" s="99" t="s">
        <v>133</v>
      </c>
      <c r="Q7" s="118" t="str">
        <f>General!$B$4</f>
        <v>Gg</v>
      </c>
      <c r="W7" s="99" t="s">
        <v>293</v>
      </c>
      <c r="Y7" s="99" t="s">
        <v>348</v>
      </c>
      <c r="Z7" s="99" t="s">
        <v>349</v>
      </c>
      <c r="AA7" s="118" t="s">
        <v>666</v>
      </c>
      <c r="AG7" s="99" t="s">
        <v>343</v>
      </c>
      <c r="AI7" s="99" t="s">
        <v>352</v>
      </c>
      <c r="AJ7" s="99" t="s">
        <v>344</v>
      </c>
      <c r="AK7" s="118" t="s">
        <v>666</v>
      </c>
    </row>
    <row r="8" spans="2:43" x14ac:dyDescent="0.25">
      <c r="D8" s="99" t="s">
        <v>734</v>
      </c>
      <c r="E8" s="99" t="s">
        <v>520</v>
      </c>
      <c r="F8" s="118" t="str">
        <f>General!$B$2</f>
        <v>PJ</v>
      </c>
      <c r="O8" s="99" t="s">
        <v>134</v>
      </c>
      <c r="P8" s="99" t="s">
        <v>135</v>
      </c>
      <c r="Q8" s="118" t="str">
        <f>General!$B$4</f>
        <v>Gg</v>
      </c>
      <c r="Y8" s="119" t="s">
        <v>624</v>
      </c>
      <c r="Z8" s="120" t="s">
        <v>618</v>
      </c>
      <c r="AA8" s="118" t="s">
        <v>844</v>
      </c>
      <c r="AB8" s="120"/>
      <c r="AC8" s="120"/>
      <c r="AD8" s="120"/>
      <c r="AE8" s="120"/>
      <c r="AI8" s="99" t="s">
        <v>353</v>
      </c>
      <c r="AJ8" s="99" t="s">
        <v>345</v>
      </c>
      <c r="AK8" s="118" t="s">
        <v>666</v>
      </c>
    </row>
    <row r="9" spans="2:43" x14ac:dyDescent="0.25">
      <c r="D9" s="99" t="s">
        <v>54</v>
      </c>
      <c r="E9" s="99" t="s">
        <v>521</v>
      </c>
      <c r="F9" s="118" t="str">
        <f>General!$B$2</f>
        <v>PJ</v>
      </c>
      <c r="O9" s="99" t="s">
        <v>136</v>
      </c>
      <c r="P9" s="99" t="s">
        <v>137</v>
      </c>
      <c r="Q9" s="118" t="str">
        <f>General!$B$4</f>
        <v>Gg</v>
      </c>
      <c r="Y9" s="99" t="s">
        <v>366</v>
      </c>
      <c r="Z9" s="99" t="s">
        <v>370</v>
      </c>
      <c r="AA9" s="118" t="s">
        <v>844</v>
      </c>
      <c r="AI9" s="99" t="s">
        <v>354</v>
      </c>
      <c r="AJ9" s="99" t="s">
        <v>346</v>
      </c>
      <c r="AK9" s="118" t="s">
        <v>666</v>
      </c>
    </row>
    <row r="10" spans="2:43" x14ac:dyDescent="0.25">
      <c r="D10" s="99" t="s">
        <v>730</v>
      </c>
      <c r="E10" s="99" t="s">
        <v>731</v>
      </c>
      <c r="F10" s="118" t="str">
        <f>General!$B$2</f>
        <v>PJ</v>
      </c>
      <c r="O10" s="99" t="s">
        <v>138</v>
      </c>
      <c r="P10" s="99" t="s">
        <v>139</v>
      </c>
      <c r="Q10" s="118" t="str">
        <f>General!$B$4</f>
        <v>Gg</v>
      </c>
      <c r="Y10" s="99" t="s">
        <v>367</v>
      </c>
      <c r="Z10" s="99" t="s">
        <v>371</v>
      </c>
      <c r="AA10" s="118" t="s">
        <v>844</v>
      </c>
      <c r="AI10" s="99" t="s">
        <v>355</v>
      </c>
      <c r="AJ10" s="99" t="s">
        <v>347</v>
      </c>
      <c r="AK10" s="118" t="s">
        <v>666</v>
      </c>
    </row>
    <row r="11" spans="2:43" x14ac:dyDescent="0.25">
      <c r="D11" s="99" t="s">
        <v>56</v>
      </c>
      <c r="E11" s="99" t="s">
        <v>522</v>
      </c>
      <c r="F11" s="118" t="str">
        <f>General!$B$2</f>
        <v>PJ</v>
      </c>
      <c r="O11" s="99" t="s">
        <v>140</v>
      </c>
      <c r="P11" s="99" t="s">
        <v>141</v>
      </c>
      <c r="Q11" s="118" t="str">
        <f>General!$B$4</f>
        <v>Gg</v>
      </c>
      <c r="Y11" s="99" t="s">
        <v>368</v>
      </c>
      <c r="Z11" s="99" t="s">
        <v>372</v>
      </c>
      <c r="AA11" s="118" t="s">
        <v>844</v>
      </c>
      <c r="AI11" s="99" t="s">
        <v>356</v>
      </c>
      <c r="AJ11" s="99" t="s">
        <v>357</v>
      </c>
      <c r="AK11" s="118" t="s">
        <v>666</v>
      </c>
    </row>
    <row r="12" spans="2:43" x14ac:dyDescent="0.25">
      <c r="D12" s="99" t="s">
        <v>58</v>
      </c>
      <c r="E12" s="99" t="s">
        <v>523</v>
      </c>
      <c r="F12" s="118" t="str">
        <f>General!$B$2</f>
        <v>PJ</v>
      </c>
      <c r="O12" s="99" t="s">
        <v>142</v>
      </c>
      <c r="P12" s="99" t="s">
        <v>143</v>
      </c>
      <c r="Q12" s="118" t="str">
        <f>General!$B$4</f>
        <v>Gg</v>
      </c>
      <c r="Y12" s="99" t="s">
        <v>369</v>
      </c>
      <c r="Z12" s="99" t="s">
        <v>373</v>
      </c>
      <c r="AA12" s="118" t="s">
        <v>844</v>
      </c>
      <c r="AI12" s="99" t="s">
        <v>374</v>
      </c>
      <c r="AJ12" s="99" t="s">
        <v>375</v>
      </c>
      <c r="AK12" s="118" t="s">
        <v>844</v>
      </c>
    </row>
    <row r="13" spans="2:43" x14ac:dyDescent="0.25">
      <c r="D13" s="99" t="s">
        <v>60</v>
      </c>
      <c r="E13" s="99" t="s">
        <v>524</v>
      </c>
      <c r="F13" s="118" t="str">
        <f>General!$B$2</f>
        <v>PJ</v>
      </c>
      <c r="Y13" s="99" t="s">
        <v>395</v>
      </c>
      <c r="Z13" s="99" t="s">
        <v>228</v>
      </c>
      <c r="AA13" s="118" t="s">
        <v>327</v>
      </c>
      <c r="AI13" s="99" t="s">
        <v>376</v>
      </c>
      <c r="AJ13" s="99" t="s">
        <v>377</v>
      </c>
      <c r="AK13" s="118" t="s">
        <v>844</v>
      </c>
    </row>
    <row r="14" spans="2:43" x14ac:dyDescent="0.25">
      <c r="D14" s="99" t="s">
        <v>61</v>
      </c>
      <c r="E14" s="99" t="s">
        <v>525</v>
      </c>
      <c r="F14" s="118" t="str">
        <f>General!$B$2</f>
        <v>PJ</v>
      </c>
      <c r="Y14" s="99" t="s">
        <v>403</v>
      </c>
      <c r="Z14" s="99" t="s">
        <v>238</v>
      </c>
      <c r="AA14" s="118" t="s">
        <v>327</v>
      </c>
      <c r="AI14" s="99" t="s">
        <v>379</v>
      </c>
      <c r="AJ14" s="99" t="s">
        <v>378</v>
      </c>
      <c r="AK14" s="118" t="s">
        <v>844</v>
      </c>
    </row>
    <row r="15" spans="2:43" x14ac:dyDescent="0.25">
      <c r="D15" s="99" t="s">
        <v>62</v>
      </c>
      <c r="E15" s="99" t="s">
        <v>526</v>
      </c>
      <c r="F15" s="118" t="str">
        <f>General!$B$2</f>
        <v>PJ</v>
      </c>
      <c r="Y15" s="99" t="s">
        <v>405</v>
      </c>
      <c r="Z15" s="99" t="s">
        <v>404</v>
      </c>
      <c r="AA15" s="118" t="s">
        <v>666</v>
      </c>
      <c r="AI15" s="99" t="s">
        <v>380</v>
      </c>
      <c r="AJ15" s="99" t="s">
        <v>382</v>
      </c>
      <c r="AK15" s="118" t="s">
        <v>844</v>
      </c>
    </row>
    <row r="16" spans="2:43" x14ac:dyDescent="0.25">
      <c r="D16" s="99" t="s">
        <v>63</v>
      </c>
      <c r="E16" s="99" t="s">
        <v>527</v>
      </c>
      <c r="F16" s="118" t="str">
        <f>General!$B$2</f>
        <v>PJ</v>
      </c>
      <c r="Y16" s="99" t="s">
        <v>406</v>
      </c>
      <c r="Z16" s="99" t="s">
        <v>407</v>
      </c>
      <c r="AA16" s="118" t="s">
        <v>327</v>
      </c>
      <c r="AI16" s="99" t="s">
        <v>381</v>
      </c>
      <c r="AJ16" s="99" t="s">
        <v>383</v>
      </c>
      <c r="AK16" s="118" t="s">
        <v>844</v>
      </c>
    </row>
    <row r="17" spans="4:37" x14ac:dyDescent="0.25">
      <c r="D17" s="99" t="s">
        <v>64</v>
      </c>
      <c r="E17" s="99" t="s">
        <v>528</v>
      </c>
      <c r="F17" s="118" t="str">
        <f>General!$B$2</f>
        <v>PJ</v>
      </c>
      <c r="Y17" s="99" t="s">
        <v>416</v>
      </c>
      <c r="Z17" s="99" t="s">
        <v>412</v>
      </c>
      <c r="AA17" s="118" t="s">
        <v>327</v>
      </c>
      <c r="AI17" s="99" t="s">
        <v>392</v>
      </c>
      <c r="AJ17" s="99" t="s">
        <v>393</v>
      </c>
      <c r="AK17" s="118" t="s">
        <v>844</v>
      </c>
    </row>
    <row r="18" spans="4:37" x14ac:dyDescent="0.25">
      <c r="D18" s="99" t="s">
        <v>66</v>
      </c>
      <c r="E18" s="99" t="s">
        <v>529</v>
      </c>
      <c r="F18" s="118" t="str">
        <f>General!$B$2</f>
        <v>PJ</v>
      </c>
      <c r="Y18" s="99" t="s">
        <v>417</v>
      </c>
      <c r="Z18" s="99" t="s">
        <v>413</v>
      </c>
      <c r="AA18" s="118" t="s">
        <v>327</v>
      </c>
      <c r="AI18" s="99" t="s">
        <v>394</v>
      </c>
      <c r="AJ18" s="99" t="s">
        <v>373</v>
      </c>
      <c r="AK18" s="118" t="s">
        <v>844</v>
      </c>
    </row>
    <row r="19" spans="4:37" x14ac:dyDescent="0.25">
      <c r="D19" s="99" t="s">
        <v>67</v>
      </c>
      <c r="E19" s="99" t="s">
        <v>530</v>
      </c>
      <c r="F19" s="118" t="str">
        <f>General!$B$2</f>
        <v>PJ</v>
      </c>
      <c r="Y19" s="99" t="s">
        <v>418</v>
      </c>
      <c r="Z19" s="99" t="s">
        <v>414</v>
      </c>
      <c r="AA19" s="118" t="s">
        <v>327</v>
      </c>
      <c r="AI19" s="99" t="s">
        <v>408</v>
      </c>
      <c r="AJ19" s="99" t="s">
        <v>409</v>
      </c>
      <c r="AK19" s="118" t="s">
        <v>666</v>
      </c>
    </row>
    <row r="20" spans="4:37" x14ac:dyDescent="0.25">
      <c r="D20" s="99" t="s">
        <v>68</v>
      </c>
      <c r="E20" s="99" t="s">
        <v>531</v>
      </c>
      <c r="F20" s="118" t="str">
        <f>General!$B$2</f>
        <v>PJ</v>
      </c>
      <c r="Y20" s="99" t="s">
        <v>419</v>
      </c>
      <c r="Z20" s="99" t="s">
        <v>415</v>
      </c>
      <c r="AA20" s="118" t="s">
        <v>327</v>
      </c>
      <c r="AI20" s="99" t="s">
        <v>410</v>
      </c>
      <c r="AJ20" s="99" t="s">
        <v>411</v>
      </c>
      <c r="AK20" s="118" t="s">
        <v>666</v>
      </c>
    </row>
    <row r="21" spans="4:37" x14ac:dyDescent="0.25">
      <c r="D21" s="99" t="s">
        <v>70</v>
      </c>
      <c r="E21" s="99" t="s">
        <v>532</v>
      </c>
      <c r="F21" s="118" t="str">
        <f>General!$B$2</f>
        <v>PJ</v>
      </c>
      <c r="Y21" s="99" t="s">
        <v>424</v>
      </c>
      <c r="Z21" s="99" t="s">
        <v>425</v>
      </c>
      <c r="AA21" s="118" t="s">
        <v>327</v>
      </c>
      <c r="AI21" s="99" t="s">
        <v>627</v>
      </c>
      <c r="AJ21" s="99" t="s">
        <v>628</v>
      </c>
      <c r="AK21" s="118" t="s">
        <v>844</v>
      </c>
    </row>
    <row r="22" spans="4:37" x14ac:dyDescent="0.25">
      <c r="D22" s="99" t="s">
        <v>71</v>
      </c>
      <c r="E22" s="99" t="s">
        <v>533</v>
      </c>
      <c r="F22" s="118" t="str">
        <f>General!$B$2</f>
        <v>PJ</v>
      </c>
      <c r="Y22" s="119" t="s">
        <v>469</v>
      </c>
      <c r="Z22" s="120" t="s">
        <v>470</v>
      </c>
      <c r="AA22" s="118" t="s">
        <v>327</v>
      </c>
      <c r="AB22" s="120"/>
      <c r="AC22" s="120"/>
      <c r="AD22" s="120"/>
      <c r="AE22" s="120"/>
      <c r="AI22" s="99" t="s">
        <v>630</v>
      </c>
      <c r="AJ22" s="99" t="s">
        <v>629</v>
      </c>
      <c r="AK22" s="118" t="s">
        <v>844</v>
      </c>
    </row>
    <row r="23" spans="4:37" x14ac:dyDescent="0.25">
      <c r="D23" s="99" t="s">
        <v>72</v>
      </c>
      <c r="E23" s="99" t="s">
        <v>534</v>
      </c>
      <c r="F23" s="118" t="str">
        <f>General!$B$2</f>
        <v>PJ</v>
      </c>
      <c r="Y23" s="119" t="s">
        <v>712</v>
      </c>
      <c r="Z23" s="120" t="s">
        <v>234</v>
      </c>
      <c r="AA23" s="118" t="s">
        <v>327</v>
      </c>
      <c r="AB23" s="120"/>
      <c r="AC23" s="120"/>
      <c r="AD23" s="120"/>
      <c r="AE23" s="120"/>
      <c r="AI23" s="99" t="s">
        <v>631</v>
      </c>
      <c r="AJ23" s="99" t="s">
        <v>632</v>
      </c>
      <c r="AK23" s="118" t="s">
        <v>844</v>
      </c>
    </row>
    <row r="24" spans="4:37" x14ac:dyDescent="0.25">
      <c r="D24" s="99" t="s">
        <v>73</v>
      </c>
      <c r="E24" s="99" t="s">
        <v>535</v>
      </c>
      <c r="F24" s="118" t="str">
        <f>General!$B$2</f>
        <v>PJ</v>
      </c>
      <c r="AI24" s="99" t="s">
        <v>764</v>
      </c>
      <c r="AJ24" s="99" t="s">
        <v>765</v>
      </c>
      <c r="AK24" s="118" t="s">
        <v>666</v>
      </c>
    </row>
    <row r="25" spans="4:37" x14ac:dyDescent="0.25">
      <c r="D25" s="99" t="s">
        <v>74</v>
      </c>
      <c r="E25" s="99" t="s">
        <v>536</v>
      </c>
      <c r="F25" s="118" t="str">
        <f>General!$B$2</f>
        <v>PJ</v>
      </c>
      <c r="AI25" s="99" t="s">
        <v>766</v>
      </c>
      <c r="AJ25" s="99" t="s">
        <v>767</v>
      </c>
      <c r="AK25" s="118" t="s">
        <v>666</v>
      </c>
    </row>
    <row r="26" spans="4:37" x14ac:dyDescent="0.25">
      <c r="D26" s="99" t="s">
        <v>76</v>
      </c>
      <c r="E26" s="99" t="s">
        <v>537</v>
      </c>
      <c r="F26" s="118" t="str">
        <f>General!$B$2</f>
        <v>PJ</v>
      </c>
    </row>
    <row r="27" spans="4:37" x14ac:dyDescent="0.25">
      <c r="D27" s="99" t="s">
        <v>78</v>
      </c>
      <c r="E27" s="99" t="s">
        <v>538</v>
      </c>
      <c r="F27" s="118" t="str">
        <f>General!$B$2</f>
        <v>PJ</v>
      </c>
    </row>
    <row r="28" spans="4:37" x14ac:dyDescent="0.25">
      <c r="D28" s="99" t="s">
        <v>80</v>
      </c>
      <c r="E28" s="99" t="s">
        <v>539</v>
      </c>
      <c r="F28" s="118" t="str">
        <f>General!$B$2</f>
        <v>PJ</v>
      </c>
    </row>
    <row r="29" spans="4:37" x14ac:dyDescent="0.25">
      <c r="D29" s="99" t="s">
        <v>82</v>
      </c>
      <c r="E29" s="99" t="s">
        <v>540</v>
      </c>
      <c r="F29" s="118" t="str">
        <f>General!$B$2</f>
        <v>PJ</v>
      </c>
    </row>
    <row r="30" spans="4:37" x14ac:dyDescent="0.25">
      <c r="D30" s="99" t="s">
        <v>83</v>
      </c>
      <c r="E30" s="99" t="s">
        <v>541</v>
      </c>
      <c r="F30" s="118" t="str">
        <f>General!$B$2</f>
        <v>PJ</v>
      </c>
      <c r="H30" s="99" t="s">
        <v>479</v>
      </c>
    </row>
    <row r="31" spans="4:37" x14ac:dyDescent="0.25">
      <c r="D31" s="99" t="s">
        <v>84</v>
      </c>
      <c r="E31" s="99" t="s">
        <v>542</v>
      </c>
      <c r="F31" s="118" t="str">
        <f>General!$B$2</f>
        <v>PJ</v>
      </c>
    </row>
    <row r="32" spans="4:37" x14ac:dyDescent="0.25">
      <c r="D32" s="99" t="s">
        <v>85</v>
      </c>
      <c r="E32" s="99" t="s">
        <v>543</v>
      </c>
      <c r="F32" s="118" t="str">
        <f>General!$B$2</f>
        <v>PJ</v>
      </c>
    </row>
    <row r="33" spans="4:6" x14ac:dyDescent="0.25">
      <c r="D33" s="99" t="s">
        <v>86</v>
      </c>
      <c r="E33" s="99" t="s">
        <v>544</v>
      </c>
      <c r="F33" s="118" t="str">
        <f>General!$B$2</f>
        <v>PJ</v>
      </c>
    </row>
    <row r="34" spans="4:6" x14ac:dyDescent="0.25">
      <c r="D34" s="99" t="s">
        <v>87</v>
      </c>
      <c r="E34" s="99" t="s">
        <v>545</v>
      </c>
      <c r="F34" s="118" t="str">
        <f>General!$B$2</f>
        <v>PJ</v>
      </c>
    </row>
    <row r="35" spans="4:6" x14ac:dyDescent="0.25">
      <c r="D35" s="99" t="s">
        <v>88</v>
      </c>
      <c r="E35" s="99" t="s">
        <v>546</v>
      </c>
      <c r="F35" s="118" t="str">
        <f>General!$B$2</f>
        <v>PJ</v>
      </c>
    </row>
    <row r="36" spans="4:6" x14ac:dyDescent="0.25">
      <c r="D36" s="99" t="s">
        <v>90</v>
      </c>
      <c r="E36" s="99" t="s">
        <v>547</v>
      </c>
      <c r="F36" s="118" t="str">
        <f>General!$B$2</f>
        <v>PJ</v>
      </c>
    </row>
    <row r="37" spans="4:6" x14ac:dyDescent="0.25">
      <c r="D37" s="99" t="s">
        <v>89</v>
      </c>
      <c r="E37" s="99" t="s">
        <v>548</v>
      </c>
      <c r="F37" s="118" t="str">
        <f>General!$B$2</f>
        <v>PJ</v>
      </c>
    </row>
    <row r="38" spans="4:6" x14ac:dyDescent="0.25">
      <c r="D38" s="99" t="s">
        <v>91</v>
      </c>
      <c r="E38" s="99" t="s">
        <v>549</v>
      </c>
      <c r="F38" s="118" t="str">
        <f>General!$B$2</f>
        <v>PJ</v>
      </c>
    </row>
    <row r="39" spans="4:6" x14ac:dyDescent="0.25">
      <c r="D39" s="99" t="s">
        <v>92</v>
      </c>
      <c r="E39" s="99" t="s">
        <v>550</v>
      </c>
      <c r="F39" s="118" t="str">
        <f>General!$B$2</f>
        <v>PJ</v>
      </c>
    </row>
    <row r="40" spans="4:6" x14ac:dyDescent="0.25">
      <c r="D40" s="99" t="s">
        <v>93</v>
      </c>
      <c r="E40" s="99" t="s">
        <v>551</v>
      </c>
      <c r="F40" s="118" t="str">
        <f>General!$B$2</f>
        <v>PJ</v>
      </c>
    </row>
    <row r="41" spans="4:6" x14ac:dyDescent="0.25">
      <c r="D41" s="99" t="s">
        <v>95</v>
      </c>
      <c r="E41" s="99" t="s">
        <v>552</v>
      </c>
      <c r="F41" s="118" t="str">
        <f>General!$B$2</f>
        <v>PJ</v>
      </c>
    </row>
    <row r="42" spans="4:6" x14ac:dyDescent="0.25">
      <c r="D42" s="99" t="s">
        <v>96</v>
      </c>
      <c r="E42" s="99" t="s">
        <v>553</v>
      </c>
      <c r="F42" s="118" t="str">
        <f>General!$B$2</f>
        <v>PJ</v>
      </c>
    </row>
    <row r="43" spans="4:6" x14ac:dyDescent="0.25">
      <c r="D43" s="99" t="s">
        <v>97</v>
      </c>
      <c r="E43" s="99" t="s">
        <v>554</v>
      </c>
      <c r="F43" s="118" t="str">
        <f>General!$B$2</f>
        <v>PJ</v>
      </c>
    </row>
    <row r="44" spans="4:6" x14ac:dyDescent="0.25">
      <c r="D44" s="99" t="s">
        <v>98</v>
      </c>
      <c r="E44" s="99" t="s">
        <v>555</v>
      </c>
      <c r="F44" s="118" t="str">
        <f>General!$B$2</f>
        <v>PJ</v>
      </c>
    </row>
    <row r="45" spans="4:6" x14ac:dyDescent="0.25">
      <c r="D45" s="99" t="s">
        <v>99</v>
      </c>
      <c r="E45" s="99" t="s">
        <v>556</v>
      </c>
      <c r="F45" s="118" t="str">
        <f>General!$B$2</f>
        <v>PJ</v>
      </c>
    </row>
    <row r="46" spans="4:6" x14ac:dyDescent="0.25">
      <c r="D46" s="99" t="s">
        <v>100</v>
      </c>
      <c r="E46" s="99" t="s">
        <v>614</v>
      </c>
      <c r="F46" s="118" t="s">
        <v>327</v>
      </c>
    </row>
    <row r="47" spans="4:6" x14ac:dyDescent="0.25">
      <c r="D47" s="99" t="s">
        <v>616</v>
      </c>
      <c r="E47" s="99" t="s">
        <v>615</v>
      </c>
      <c r="F47" s="118" t="s">
        <v>327</v>
      </c>
    </row>
    <row r="48" spans="4:6" x14ac:dyDescent="0.25">
      <c r="D48" s="99" t="s">
        <v>612</v>
      </c>
      <c r="E48" s="99" t="s">
        <v>613</v>
      </c>
      <c r="F48" s="118" t="str">
        <f>General!$B$2</f>
        <v>PJ</v>
      </c>
    </row>
    <row r="49" spans="4:8" x14ac:dyDescent="0.25">
      <c r="D49" s="99" t="s">
        <v>101</v>
      </c>
      <c r="E49" s="99" t="s">
        <v>557</v>
      </c>
      <c r="F49" s="118" t="str">
        <f>General!$B$2</f>
        <v>PJ</v>
      </c>
    </row>
    <row r="50" spans="4:8" x14ac:dyDescent="0.25">
      <c r="D50" s="99" t="s">
        <v>102</v>
      </c>
      <c r="E50" s="99" t="s">
        <v>558</v>
      </c>
      <c r="F50" s="118" t="str">
        <f>General!$B$2</f>
        <v>PJ</v>
      </c>
    </row>
    <row r="51" spans="4:8" x14ac:dyDescent="0.25">
      <c r="D51" s="99" t="s">
        <v>103</v>
      </c>
      <c r="E51" s="99" t="s">
        <v>559</v>
      </c>
      <c r="F51" s="118" t="str">
        <f>General!$B$2</f>
        <v>PJ</v>
      </c>
    </row>
    <row r="52" spans="4:8" x14ac:dyDescent="0.25">
      <c r="D52" s="99" t="s">
        <v>104</v>
      </c>
      <c r="E52" s="99" t="s">
        <v>560</v>
      </c>
      <c r="F52" s="118" t="str">
        <f>General!$B$2</f>
        <v>PJ</v>
      </c>
    </row>
    <row r="53" spans="4:8" x14ac:dyDescent="0.25">
      <c r="D53" s="99" t="s">
        <v>105</v>
      </c>
      <c r="E53" s="99" t="s">
        <v>561</v>
      </c>
      <c r="F53" s="118" t="str">
        <f>General!$B$2</f>
        <v>PJ</v>
      </c>
    </row>
    <row r="54" spans="4:8" x14ac:dyDescent="0.25">
      <c r="D54" s="99" t="s">
        <v>106</v>
      </c>
      <c r="E54" s="99" t="s">
        <v>562</v>
      </c>
      <c r="F54" s="118" t="str">
        <f>General!$B$2</f>
        <v>PJ</v>
      </c>
    </row>
    <row r="55" spans="4:8" x14ac:dyDescent="0.25">
      <c r="D55" s="99" t="s">
        <v>107</v>
      </c>
      <c r="E55" s="99" t="s">
        <v>563</v>
      </c>
      <c r="F55" s="118" t="str">
        <f>General!$B$2</f>
        <v>PJ</v>
      </c>
    </row>
    <row r="56" spans="4:8" x14ac:dyDescent="0.25">
      <c r="D56" s="99" t="s">
        <v>449</v>
      </c>
      <c r="E56" s="99" t="s">
        <v>564</v>
      </c>
      <c r="F56" s="118" t="str">
        <f>General!$B$2</f>
        <v>PJ</v>
      </c>
    </row>
    <row r="57" spans="4:8" x14ac:dyDescent="0.25">
      <c r="D57" s="99" t="s">
        <v>108</v>
      </c>
      <c r="E57" s="99" t="s">
        <v>565</v>
      </c>
      <c r="F57" s="118" t="str">
        <f>General!$B$2</f>
        <v>PJ</v>
      </c>
    </row>
    <row r="58" spans="4:8" x14ac:dyDescent="0.25">
      <c r="D58" s="99" t="s">
        <v>109</v>
      </c>
      <c r="E58" s="99" t="s">
        <v>566</v>
      </c>
      <c r="F58" s="118" t="str">
        <f>General!$B$2</f>
        <v>PJ</v>
      </c>
    </row>
    <row r="59" spans="4:8" x14ac:dyDescent="0.25">
      <c r="D59" s="99" t="s">
        <v>110</v>
      </c>
      <c r="E59" s="99" t="s">
        <v>567</v>
      </c>
      <c r="F59" s="118" t="str">
        <f>General!$B$2</f>
        <v>PJ</v>
      </c>
    </row>
    <row r="60" spans="4:8" x14ac:dyDescent="0.25">
      <c r="D60" s="99" t="s">
        <v>111</v>
      </c>
      <c r="E60" s="99" t="s">
        <v>568</v>
      </c>
      <c r="F60" s="118" t="str">
        <f>General!$B$2</f>
        <v>PJ</v>
      </c>
    </row>
    <row r="61" spans="4:8" x14ac:dyDescent="0.25">
      <c r="D61" s="99" t="s">
        <v>112</v>
      </c>
      <c r="E61" s="99" t="s">
        <v>569</v>
      </c>
      <c r="F61" s="118" t="str">
        <f>General!$B$2</f>
        <v>PJ</v>
      </c>
      <c r="H61" s="99" t="s">
        <v>479</v>
      </c>
    </row>
    <row r="62" spans="4:8" x14ac:dyDescent="0.25">
      <c r="D62" s="99" t="s">
        <v>113</v>
      </c>
      <c r="E62" s="99" t="s">
        <v>570</v>
      </c>
      <c r="F62" s="118" t="str">
        <f>General!$B$2</f>
        <v>PJ</v>
      </c>
    </row>
    <row r="63" spans="4:8" x14ac:dyDescent="0.25">
      <c r="D63" s="99" t="s">
        <v>114</v>
      </c>
      <c r="E63" s="99" t="s">
        <v>571</v>
      </c>
      <c r="F63" s="118" t="str">
        <f>General!$B$2</f>
        <v>PJ</v>
      </c>
    </row>
    <row r="64" spans="4:8" x14ac:dyDescent="0.25">
      <c r="D64" s="99" t="s">
        <v>115</v>
      </c>
      <c r="E64" s="99" t="s">
        <v>572</v>
      </c>
      <c r="F64" s="118" t="str">
        <f>General!$B$2</f>
        <v>PJ</v>
      </c>
    </row>
    <row r="65" spans="4:10" x14ac:dyDescent="0.25">
      <c r="D65" s="99" t="s">
        <v>116</v>
      </c>
      <c r="E65" s="99" t="s">
        <v>573</v>
      </c>
      <c r="F65" s="118" t="str">
        <f>General!$B$2</f>
        <v>PJ</v>
      </c>
    </row>
    <row r="66" spans="4:10" x14ac:dyDescent="0.25">
      <c r="D66" s="99" t="s">
        <v>117</v>
      </c>
      <c r="E66" s="99" t="s">
        <v>574</v>
      </c>
      <c r="F66" s="118" t="str">
        <f>General!$B$2</f>
        <v>PJ</v>
      </c>
    </row>
    <row r="67" spans="4:10" x14ac:dyDescent="0.25">
      <c r="D67" s="99" t="s">
        <v>118</v>
      </c>
      <c r="E67" s="99" t="s">
        <v>575</v>
      </c>
      <c r="F67" s="118" t="str">
        <f>General!$B$2</f>
        <v>PJ</v>
      </c>
    </row>
    <row r="68" spans="4:10" x14ac:dyDescent="0.25">
      <c r="D68" s="99" t="s">
        <v>117</v>
      </c>
      <c r="E68" s="99" t="s">
        <v>576</v>
      </c>
      <c r="F68" s="118" t="str">
        <f>General!$B$2</f>
        <v>PJ</v>
      </c>
    </row>
    <row r="69" spans="4:10" x14ac:dyDescent="0.25">
      <c r="D69" s="99" t="s">
        <v>119</v>
      </c>
      <c r="E69" s="99" t="s">
        <v>577</v>
      </c>
      <c r="F69" s="118" t="str">
        <f>General!$B$2</f>
        <v>PJ</v>
      </c>
    </row>
    <row r="70" spans="4:10" x14ac:dyDescent="0.25">
      <c r="D70" s="99" t="s">
        <v>120</v>
      </c>
      <c r="E70" s="99" t="s">
        <v>578</v>
      </c>
      <c r="F70" s="118" t="str">
        <f>General!$B$2</f>
        <v>PJ</v>
      </c>
    </row>
    <row r="71" spans="4:10" x14ac:dyDescent="0.25">
      <c r="D71" s="99" t="s">
        <v>121</v>
      </c>
      <c r="E71" s="99" t="s">
        <v>579</v>
      </c>
      <c r="F71" s="118" t="str">
        <f>General!$B$2</f>
        <v>PJ</v>
      </c>
    </row>
    <row r="72" spans="4:10" x14ac:dyDescent="0.25">
      <c r="D72" s="99" t="s">
        <v>122</v>
      </c>
      <c r="E72" s="99" t="s">
        <v>580</v>
      </c>
      <c r="F72" s="118" t="str">
        <f>General!$B$2</f>
        <v>PJ</v>
      </c>
    </row>
    <row r="73" spans="4:10" x14ac:dyDescent="0.25">
      <c r="D73" s="99" t="s">
        <v>123</v>
      </c>
      <c r="E73" s="99" t="s">
        <v>581</v>
      </c>
      <c r="F73" s="118" t="str">
        <f>General!$B$2</f>
        <v>PJ</v>
      </c>
    </row>
    <row r="74" spans="4:10" x14ac:dyDescent="0.25">
      <c r="D74" s="99" t="s">
        <v>124</v>
      </c>
      <c r="E74" s="99" t="s">
        <v>582</v>
      </c>
      <c r="F74" s="118" t="str">
        <f>General!$B$2</f>
        <v>PJ</v>
      </c>
    </row>
    <row r="75" spans="4:10" x14ac:dyDescent="0.25">
      <c r="D75" s="99" t="s">
        <v>125</v>
      </c>
      <c r="E75" s="99" t="s">
        <v>583</v>
      </c>
      <c r="F75" s="118" t="str">
        <f>General!$B$2</f>
        <v>PJ</v>
      </c>
    </row>
    <row r="76" spans="4:10" x14ac:dyDescent="0.25">
      <c r="D76" s="99" t="s">
        <v>128</v>
      </c>
      <c r="E76" s="99" t="s">
        <v>584</v>
      </c>
      <c r="F76" s="118" t="str">
        <f>General!$B$2</f>
        <v>PJ</v>
      </c>
      <c r="H76" s="99" t="s">
        <v>126</v>
      </c>
      <c r="J76" s="99" t="s">
        <v>127</v>
      </c>
    </row>
    <row r="77" spans="4:10" x14ac:dyDescent="0.25">
      <c r="D77" s="99" t="s">
        <v>129</v>
      </c>
      <c r="E77" s="99" t="s">
        <v>585</v>
      </c>
      <c r="F77" s="118" t="str">
        <f>General!$B$2</f>
        <v>PJ</v>
      </c>
      <c r="H77" s="99" t="s">
        <v>126</v>
      </c>
      <c r="J77" s="99" t="s">
        <v>127</v>
      </c>
    </row>
    <row r="78" spans="4:10" x14ac:dyDescent="0.25">
      <c r="D78" s="99" t="s">
        <v>340</v>
      </c>
      <c r="E78" s="99" t="s">
        <v>586</v>
      </c>
      <c r="F78" s="118" t="str">
        <f>General!$B$2</f>
        <v>PJ</v>
      </c>
      <c r="H78" s="99" t="s">
        <v>126</v>
      </c>
    </row>
    <row r="79" spans="4:10" x14ac:dyDescent="0.25">
      <c r="D79" s="99" t="s">
        <v>304</v>
      </c>
      <c r="E79" s="99" t="s">
        <v>587</v>
      </c>
      <c r="F79" s="118" t="str">
        <f>General!$B$2</f>
        <v>PJ</v>
      </c>
      <c r="H79" s="99" t="s">
        <v>126</v>
      </c>
      <c r="J79" s="99" t="s">
        <v>127</v>
      </c>
    </row>
    <row r="80" spans="4:10" x14ac:dyDescent="0.25">
      <c r="D80" s="99" t="s">
        <v>337</v>
      </c>
      <c r="E80" s="99" t="s">
        <v>588</v>
      </c>
      <c r="F80" s="118" t="s">
        <v>327</v>
      </c>
      <c r="H80" s="99" t="s">
        <v>479</v>
      </c>
    </row>
    <row r="81" spans="4:8" x14ac:dyDescent="0.25">
      <c r="D81" s="99" t="s">
        <v>338</v>
      </c>
      <c r="E81" s="99" t="s">
        <v>589</v>
      </c>
      <c r="F81" s="118" t="s">
        <v>327</v>
      </c>
      <c r="H81" s="99" t="s">
        <v>479</v>
      </c>
    </row>
    <row r="82" spans="4:8" x14ac:dyDescent="0.25">
      <c r="D82" s="99" t="s">
        <v>339</v>
      </c>
      <c r="E82" s="99" t="s">
        <v>590</v>
      </c>
      <c r="F82" s="118" t="s">
        <v>327</v>
      </c>
      <c r="H82" s="99" t="s">
        <v>479</v>
      </c>
    </row>
    <row r="83" spans="4:8" x14ac:dyDescent="0.25">
      <c r="D83" s="99" t="s">
        <v>466</v>
      </c>
      <c r="E83" s="99" t="s">
        <v>591</v>
      </c>
      <c r="F83" s="118" t="s">
        <v>327</v>
      </c>
      <c r="H83" s="99" t="s">
        <v>479</v>
      </c>
    </row>
    <row r="84" spans="4:8" x14ac:dyDescent="0.25">
      <c r="D84" s="99" t="s">
        <v>449</v>
      </c>
      <c r="E84" s="99" t="s">
        <v>592</v>
      </c>
      <c r="F84" s="118" t="s">
        <v>327</v>
      </c>
    </row>
    <row r="85" spans="4:8" x14ac:dyDescent="0.25">
      <c r="D85" s="99" t="s">
        <v>397</v>
      </c>
      <c r="E85" s="99" t="s">
        <v>593</v>
      </c>
      <c r="F85" s="118" t="s">
        <v>327</v>
      </c>
    </row>
    <row r="86" spans="4:8" x14ac:dyDescent="0.25">
      <c r="D86" s="99" t="s">
        <v>398</v>
      </c>
      <c r="E86" s="99" t="s">
        <v>594</v>
      </c>
      <c r="F86" s="118" t="s">
        <v>327</v>
      </c>
    </row>
    <row r="87" spans="4:8" x14ac:dyDescent="0.25">
      <c r="D87" s="99" t="s">
        <v>399</v>
      </c>
      <c r="E87" s="99" t="s">
        <v>595</v>
      </c>
      <c r="F87" s="118" t="s">
        <v>327</v>
      </c>
    </row>
    <row r="88" spans="4:8" x14ac:dyDescent="0.25">
      <c r="D88" s="99" t="s">
        <v>433</v>
      </c>
      <c r="E88" s="99" t="s">
        <v>596</v>
      </c>
      <c r="F88" s="118" t="s">
        <v>327</v>
      </c>
      <c r="G88" s="99" t="s">
        <v>826</v>
      </c>
    </row>
    <row r="89" spans="4:8" x14ac:dyDescent="0.25">
      <c r="D89" s="99" t="s">
        <v>434</v>
      </c>
      <c r="E89" s="99" t="s">
        <v>597</v>
      </c>
      <c r="F89" s="118" t="s">
        <v>327</v>
      </c>
      <c r="G89" s="99" t="s">
        <v>826</v>
      </c>
    </row>
    <row r="90" spans="4:8" x14ac:dyDescent="0.25">
      <c r="D90" s="99" t="s">
        <v>435</v>
      </c>
      <c r="E90" s="99" t="s">
        <v>598</v>
      </c>
      <c r="F90" s="118" t="s">
        <v>327</v>
      </c>
      <c r="G90" s="99" t="s">
        <v>826</v>
      </c>
    </row>
    <row r="91" spans="4:8" x14ac:dyDescent="0.25">
      <c r="D91" s="99" t="s">
        <v>437</v>
      </c>
      <c r="E91" s="99" t="s">
        <v>599</v>
      </c>
      <c r="F91" s="118" t="s">
        <v>327</v>
      </c>
      <c r="G91" s="99" t="s">
        <v>826</v>
      </c>
    </row>
    <row r="92" spans="4:8" x14ac:dyDescent="0.25">
      <c r="D92" s="99" t="s">
        <v>438</v>
      </c>
      <c r="E92" s="99" t="s">
        <v>600</v>
      </c>
      <c r="F92" s="118" t="s">
        <v>327</v>
      </c>
      <c r="G92" s="99" t="s">
        <v>826</v>
      </c>
    </row>
    <row r="93" spans="4:8" x14ac:dyDescent="0.25">
      <c r="D93" s="99" t="s">
        <v>441</v>
      </c>
      <c r="E93" s="99" t="s">
        <v>601</v>
      </c>
      <c r="F93" s="118" t="s">
        <v>327</v>
      </c>
      <c r="G93" s="99" t="s">
        <v>826</v>
      </c>
    </row>
    <row r="94" spans="4:8" x14ac:dyDescent="0.25">
      <c r="D94" s="99" t="s">
        <v>775</v>
      </c>
      <c r="E94" s="99" t="s">
        <v>776</v>
      </c>
      <c r="F94" s="118" t="s">
        <v>327</v>
      </c>
      <c r="G94" s="99" t="s">
        <v>826</v>
      </c>
    </row>
    <row r="95" spans="4:8" x14ac:dyDescent="0.25">
      <c r="D95" s="99" t="s">
        <v>777</v>
      </c>
      <c r="E95" s="99" t="s">
        <v>778</v>
      </c>
      <c r="F95" s="118" t="s">
        <v>327</v>
      </c>
      <c r="G95" s="99" t="s">
        <v>826</v>
      </c>
    </row>
    <row r="96" spans="4:8" x14ac:dyDescent="0.25">
      <c r="D96" s="99" t="s">
        <v>472</v>
      </c>
      <c r="E96" s="99" t="s">
        <v>602</v>
      </c>
      <c r="F96" s="118" t="s">
        <v>327</v>
      </c>
    </row>
    <row r="97" spans="4:6" x14ac:dyDescent="0.25">
      <c r="D97" s="99" t="s">
        <v>473</v>
      </c>
      <c r="E97" s="99" t="s">
        <v>603</v>
      </c>
      <c r="F97" s="118" t="s">
        <v>327</v>
      </c>
    </row>
    <row r="98" spans="4:6" x14ac:dyDescent="0.25">
      <c r="D98" s="99" t="s">
        <v>682</v>
      </c>
      <c r="E98" s="99" t="s">
        <v>707</v>
      </c>
      <c r="F98" s="118" t="s">
        <v>327</v>
      </c>
    </row>
    <row r="99" spans="4:6" x14ac:dyDescent="0.25">
      <c r="D99" s="99" t="s">
        <v>687</v>
      </c>
      <c r="E99" s="99" t="s">
        <v>708</v>
      </c>
      <c r="F99" s="118" t="s">
        <v>327</v>
      </c>
    </row>
    <row r="100" spans="4:6" x14ac:dyDescent="0.25">
      <c r="D100" s="99" t="s">
        <v>692</v>
      </c>
      <c r="E100" s="99" t="s">
        <v>709</v>
      </c>
      <c r="F100" s="118" t="s">
        <v>327</v>
      </c>
    </row>
    <row r="101" spans="4:6" x14ac:dyDescent="0.25">
      <c r="D101" s="99" t="s">
        <v>451</v>
      </c>
      <c r="E101" s="99" t="s">
        <v>697</v>
      </c>
      <c r="F101" s="118" t="s">
        <v>327</v>
      </c>
    </row>
    <row r="102" spans="4:6" x14ac:dyDescent="0.25">
      <c r="D102" s="99" t="s">
        <v>452</v>
      </c>
      <c r="E102" s="99" t="s">
        <v>698</v>
      </c>
      <c r="F102" s="118" t="s">
        <v>327</v>
      </c>
    </row>
    <row r="103" spans="4:6" x14ac:dyDescent="0.25">
      <c r="D103" s="99" t="s">
        <v>693</v>
      </c>
      <c r="E103" s="99" t="s">
        <v>699</v>
      </c>
      <c r="F103" s="118" t="s">
        <v>327</v>
      </c>
    </row>
    <row r="104" spans="4:6" x14ac:dyDescent="0.25">
      <c r="D104" s="99" t="s">
        <v>453</v>
      </c>
      <c r="E104" s="99" t="s">
        <v>700</v>
      </c>
      <c r="F104" s="118" t="s">
        <v>327</v>
      </c>
    </row>
    <row r="105" spans="4:6" x14ac:dyDescent="0.25">
      <c r="D105" s="99" t="s">
        <v>454</v>
      </c>
      <c r="E105" s="99" t="s">
        <v>701</v>
      </c>
      <c r="F105" s="118" t="s">
        <v>327</v>
      </c>
    </row>
    <row r="106" spans="4:6" x14ac:dyDescent="0.25">
      <c r="D106" s="99" t="s">
        <v>694</v>
      </c>
      <c r="E106" s="99" t="s">
        <v>702</v>
      </c>
      <c r="F106" s="118" t="s">
        <v>327</v>
      </c>
    </row>
    <row r="107" spans="4:6" x14ac:dyDescent="0.25">
      <c r="D107" s="99" t="s">
        <v>455</v>
      </c>
      <c r="E107" s="99" t="s">
        <v>703</v>
      </c>
      <c r="F107" s="118" t="s">
        <v>327</v>
      </c>
    </row>
    <row r="108" spans="4:6" x14ac:dyDescent="0.25">
      <c r="D108" s="99" t="s">
        <v>456</v>
      </c>
      <c r="E108" s="99" t="s">
        <v>704</v>
      </c>
      <c r="F108" s="118" t="s">
        <v>327</v>
      </c>
    </row>
    <row r="109" spans="4:6" x14ac:dyDescent="0.25">
      <c r="D109" s="99" t="s">
        <v>695</v>
      </c>
      <c r="E109" s="99" t="s">
        <v>705</v>
      </c>
      <c r="F109" s="118" t="s">
        <v>327</v>
      </c>
    </row>
    <row r="110" spans="4:6" x14ac:dyDescent="0.25">
      <c r="D110" s="99" t="s">
        <v>691</v>
      </c>
      <c r="E110" s="99" t="s">
        <v>706</v>
      </c>
      <c r="F110" s="118" t="s">
        <v>327</v>
      </c>
    </row>
    <row r="111" spans="4:6" x14ac:dyDescent="0.25">
      <c r="D111" s="99" t="str">
        <f>IND_Fuels!F23</f>
        <v>INDOILRFG</v>
      </c>
      <c r="E111" s="99" t="s">
        <v>773</v>
      </c>
      <c r="F111" s="118"/>
    </row>
    <row r="112" spans="4:6" x14ac:dyDescent="0.25">
      <c r="D112" s="99" t="s">
        <v>850</v>
      </c>
      <c r="E112" s="99" t="s">
        <v>851</v>
      </c>
      <c r="F112" s="99" t="s">
        <v>327</v>
      </c>
    </row>
  </sheetData>
  <pageMargins left="0.7" right="0.7" top="0.75" bottom="0.75" header="0.3" footer="0.3"/>
  <pageSetup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2:U13"/>
  <sheetViews>
    <sheetView zoomScale="70" zoomScaleNormal="70" workbookViewId="0">
      <selection sqref="A1:XFD1048576"/>
    </sheetView>
  </sheetViews>
  <sheetFormatPr defaultColWidth="9.109375" defaultRowHeight="17.25" customHeight="1" x14ac:dyDescent="0.25"/>
  <cols>
    <col min="1" max="1" width="9.109375" style="99"/>
    <col min="2" max="2" width="13.44140625" style="99" bestFit="1" customWidth="1"/>
    <col min="3" max="3" width="14.109375" style="99" bestFit="1" customWidth="1"/>
    <col min="4" max="4" width="13.5546875" style="99" bestFit="1" customWidth="1"/>
    <col min="5" max="5" width="13.33203125" style="99" bestFit="1" customWidth="1"/>
    <col min="6" max="6" width="14.44140625" style="99" bestFit="1" customWidth="1"/>
    <col min="7" max="7" width="16.6640625" style="99" customWidth="1"/>
    <col min="8" max="8" width="12.88671875" style="99" bestFit="1" customWidth="1"/>
    <col min="9" max="9" width="13.33203125" style="99" bestFit="1" customWidth="1"/>
    <col min="10" max="10" width="12.88671875" style="99" bestFit="1" customWidth="1"/>
    <col min="11" max="11" width="14.44140625" style="99" bestFit="1" customWidth="1"/>
    <col min="12" max="12" width="13.33203125" style="99" bestFit="1" customWidth="1"/>
    <col min="13" max="13" width="13.88671875" style="99" bestFit="1" customWidth="1"/>
    <col min="14" max="14" width="13.5546875" style="99" bestFit="1" customWidth="1"/>
    <col min="15" max="15" width="13.6640625" style="99" bestFit="1" customWidth="1"/>
    <col min="16" max="16" width="13.5546875" style="99" bestFit="1" customWidth="1"/>
    <col min="17" max="18" width="13.5546875" style="99" customWidth="1"/>
    <col min="19" max="19" width="12.109375" style="99" bestFit="1" customWidth="1"/>
    <col min="20" max="20" width="9.109375" style="99"/>
    <col min="21" max="21" width="106.6640625" style="99" bestFit="1" customWidth="1"/>
    <col min="22" max="16384" width="9.109375" style="99"/>
  </cols>
  <sheetData>
    <row r="2" spans="1:21" ht="17.25" customHeight="1" x14ac:dyDescent="0.25">
      <c r="B2" s="100" t="s">
        <v>450</v>
      </c>
    </row>
    <row r="3" spans="1:21" ht="17.25" customHeight="1" x14ac:dyDescent="0.25">
      <c r="B3" s="101" t="s">
        <v>0</v>
      </c>
      <c r="C3" s="101" t="s">
        <v>100</v>
      </c>
      <c r="D3" s="101" t="s">
        <v>616</v>
      </c>
      <c r="E3" s="101" t="s">
        <v>612</v>
      </c>
      <c r="F3" s="101" t="s">
        <v>101</v>
      </c>
      <c r="G3" s="101" t="s">
        <v>103</v>
      </c>
      <c r="H3" s="101" t="s">
        <v>106</v>
      </c>
      <c r="I3" s="101" t="s">
        <v>105</v>
      </c>
      <c r="J3" s="101" t="s">
        <v>104</v>
      </c>
      <c r="K3" s="101" t="s">
        <v>449</v>
      </c>
      <c r="L3" s="101" t="s">
        <v>110</v>
      </c>
      <c r="M3" s="101" t="s">
        <v>111</v>
      </c>
      <c r="N3" s="101" t="s">
        <v>112</v>
      </c>
      <c r="O3" s="101" t="s">
        <v>113</v>
      </c>
      <c r="P3" s="101" t="s">
        <v>114</v>
      </c>
      <c r="Q3" s="101" t="s">
        <v>119</v>
      </c>
      <c r="R3" s="101" t="s">
        <v>121</v>
      </c>
      <c r="S3" s="101" t="s">
        <v>116</v>
      </c>
      <c r="U3" s="101" t="s">
        <v>331</v>
      </c>
    </row>
    <row r="4" spans="1:21" ht="17.25" customHeight="1" thickBot="1" x14ac:dyDescent="0.3">
      <c r="B4" s="102" t="s">
        <v>48</v>
      </c>
      <c r="C4" s="102" t="str">
        <f>General!$D$17</f>
        <v>kg/GJ</v>
      </c>
      <c r="D4" s="102" t="str">
        <f>General!$D$17</f>
        <v>kg/GJ</v>
      </c>
      <c r="E4" s="102" t="str">
        <f>General!$D$17</f>
        <v>kg/GJ</v>
      </c>
      <c r="F4" s="102" t="str">
        <f>General!$D$17</f>
        <v>kg/GJ</v>
      </c>
      <c r="G4" s="102" t="str">
        <f>General!$D$17</f>
        <v>kg/GJ</v>
      </c>
      <c r="H4" s="102" t="str">
        <f>General!$D$17</f>
        <v>kg/GJ</v>
      </c>
      <c r="I4" s="102" t="str">
        <f>General!$D$17</f>
        <v>kg/GJ</v>
      </c>
      <c r="J4" s="102" t="str">
        <f>General!$D$17</f>
        <v>kg/GJ</v>
      </c>
      <c r="K4" s="102" t="str">
        <f>General!$D$17</f>
        <v>kg/GJ</v>
      </c>
      <c r="L4" s="102" t="str">
        <f>General!$D$17</f>
        <v>kg/GJ</v>
      </c>
      <c r="M4" s="102" t="str">
        <f>General!$D$17</f>
        <v>kg/GJ</v>
      </c>
      <c r="N4" s="102" t="str">
        <f>General!$D$17</f>
        <v>kg/GJ</v>
      </c>
      <c r="O4" s="102" t="str">
        <f>General!$D$17</f>
        <v>kg/GJ</v>
      </c>
      <c r="P4" s="102" t="str">
        <f>General!$D$17</f>
        <v>kg/GJ</v>
      </c>
      <c r="Q4" s="102" t="str">
        <f>General!$D$17</f>
        <v>kg/GJ</v>
      </c>
      <c r="R4" s="102" t="str">
        <f>General!$D$17</f>
        <v>kg/GJ</v>
      </c>
      <c r="S4" s="102" t="str">
        <f>General!$D$17</f>
        <v>kg/GJ</v>
      </c>
      <c r="U4" s="103"/>
    </row>
    <row r="5" spans="1:21" ht="17.25" customHeight="1" x14ac:dyDescent="0.25">
      <c r="B5" s="99" t="str">
        <f>Commodities!O10</f>
        <v>INDCO2</v>
      </c>
      <c r="C5" s="99">
        <v>95</v>
      </c>
      <c r="D5" s="99">
        <v>97</v>
      </c>
      <c r="E5" s="99">
        <v>101</v>
      </c>
      <c r="F5" s="99">
        <v>94.6</v>
      </c>
      <c r="G5" s="99">
        <v>97.5</v>
      </c>
      <c r="H5" s="99">
        <v>63.1</v>
      </c>
      <c r="I5" s="99">
        <v>69.3</v>
      </c>
      <c r="J5" s="99">
        <v>74.099999999999994</v>
      </c>
      <c r="K5" s="99">
        <v>77.400000000000006</v>
      </c>
      <c r="L5" s="99">
        <v>97.5</v>
      </c>
      <c r="M5" s="99">
        <v>73.3</v>
      </c>
      <c r="N5" s="99">
        <v>56.1</v>
      </c>
      <c r="O5" s="99">
        <v>260</v>
      </c>
      <c r="P5" s="99">
        <v>0</v>
      </c>
      <c r="Q5" s="99">
        <v>54.6</v>
      </c>
      <c r="R5" s="99">
        <v>0</v>
      </c>
      <c r="S5" s="99">
        <v>143</v>
      </c>
      <c r="U5" s="99" t="s">
        <v>336</v>
      </c>
    </row>
    <row r="6" spans="1:21" ht="17.25" customHeight="1" x14ac:dyDescent="0.25">
      <c r="B6" s="99" t="str">
        <f>Commodities!O11</f>
        <v>INDCH4</v>
      </c>
      <c r="C6" s="99">
        <f>(10/1000)*28</f>
        <v>0.28000000000000003</v>
      </c>
      <c r="D6" s="99">
        <f>(10/1000)*28</f>
        <v>0.28000000000000003</v>
      </c>
      <c r="E6" s="99">
        <f>(10/1000)*28</f>
        <v>0.28000000000000003</v>
      </c>
      <c r="F6" s="99">
        <f>(10/1000)*28</f>
        <v>0.28000000000000003</v>
      </c>
      <c r="G6" s="99">
        <f>(10/1000)*28</f>
        <v>0.28000000000000003</v>
      </c>
      <c r="H6" s="99">
        <f>(1/1000)*28</f>
        <v>2.8000000000000001E-2</v>
      </c>
      <c r="I6" s="99">
        <f>(3/1000)*28</f>
        <v>8.4000000000000005E-2</v>
      </c>
      <c r="J6" s="99">
        <f>(3/1000)*28</f>
        <v>8.4000000000000005E-2</v>
      </c>
      <c r="K6" s="99">
        <f>(3/1000)*28</f>
        <v>8.4000000000000005E-2</v>
      </c>
      <c r="L6" s="99">
        <f>(3/1000)*28</f>
        <v>8.4000000000000005E-2</v>
      </c>
      <c r="M6" s="99">
        <f>(3/1000)*28</f>
        <v>8.4000000000000005E-2</v>
      </c>
      <c r="N6" s="99">
        <f>(1/1000)*28</f>
        <v>2.8000000000000001E-2</v>
      </c>
      <c r="O6" s="99">
        <f>(1/1000)*28</f>
        <v>2.8000000000000001E-2</v>
      </c>
      <c r="P6" s="99">
        <f>(300/1000)*28</f>
        <v>8.4</v>
      </c>
      <c r="Q6" s="99">
        <f>(1/1000)*28</f>
        <v>2.8000000000000001E-2</v>
      </c>
      <c r="R6" s="99">
        <f>(200/1000)*28</f>
        <v>5.6000000000000005</v>
      </c>
      <c r="S6" s="99">
        <f>(30/1000)*28</f>
        <v>0.84</v>
      </c>
      <c r="U6" s="99">
        <v>28</v>
      </c>
    </row>
    <row r="7" spans="1:21" ht="17.25" customHeight="1" x14ac:dyDescent="0.25">
      <c r="B7" s="99" t="str">
        <f>Commodities!O12</f>
        <v>INDN2O</v>
      </c>
      <c r="C7" s="99">
        <f>(1.5/1000)*265</f>
        <v>0.39750000000000002</v>
      </c>
      <c r="D7" s="99">
        <f>(1.5/1000)*265</f>
        <v>0.39750000000000002</v>
      </c>
      <c r="E7" s="99">
        <f>(1.5/1000)*265</f>
        <v>0.39750000000000002</v>
      </c>
      <c r="F7" s="99">
        <f>(1.5/1000)*265</f>
        <v>0.39750000000000002</v>
      </c>
      <c r="G7" s="99">
        <f>(1.5/1000)*265</f>
        <v>0.39750000000000002</v>
      </c>
      <c r="H7" s="99">
        <f>(0.1/1000)*265</f>
        <v>2.6500000000000003E-2</v>
      </c>
      <c r="I7" s="99">
        <f>(0.6/1000)*265</f>
        <v>0.15899999999999997</v>
      </c>
      <c r="J7" s="99">
        <f>(0.6/1000)*265</f>
        <v>0.15899999999999997</v>
      </c>
      <c r="K7" s="99">
        <f>(0.6/1000)*265</f>
        <v>0.15899999999999997</v>
      </c>
      <c r="L7" s="99">
        <f>(0.6/1000)*265</f>
        <v>0.15899999999999997</v>
      </c>
      <c r="M7" s="99">
        <f>(0.6/1000)*265</f>
        <v>0.15899999999999997</v>
      </c>
      <c r="N7" s="99">
        <f>(0.1/1000)*265</f>
        <v>2.6500000000000003E-2</v>
      </c>
      <c r="O7" s="99">
        <f>(0.1/1000)*265</f>
        <v>2.6500000000000003E-2</v>
      </c>
      <c r="P7" s="99">
        <f>(4/1000)*265</f>
        <v>1.06</v>
      </c>
      <c r="Q7" s="99">
        <f>(0.1/1000)*265</f>
        <v>2.6500000000000003E-2</v>
      </c>
      <c r="R7" s="99">
        <f>(4/1000)*265</f>
        <v>1.06</v>
      </c>
      <c r="S7" s="99">
        <f>(4/1000)*265</f>
        <v>1.06</v>
      </c>
      <c r="U7" s="99">
        <v>265</v>
      </c>
    </row>
    <row r="9" spans="1:21" ht="17.25" customHeight="1" x14ac:dyDescent="0.25">
      <c r="C9" s="104"/>
    </row>
    <row r="10" spans="1:21" ht="17.25" customHeight="1" x14ac:dyDescent="0.25">
      <c r="A10" s="104"/>
      <c r="B10" s="105"/>
      <c r="C10" s="106"/>
      <c r="D10" s="106"/>
      <c r="E10" s="106"/>
    </row>
    <row r="11" spans="1:21" ht="17.25" customHeight="1" x14ac:dyDescent="0.25">
      <c r="A11" s="104"/>
      <c r="B11" s="104"/>
      <c r="C11" s="107"/>
      <c r="D11" s="107"/>
      <c r="E11" s="107"/>
    </row>
    <row r="12" spans="1:21" ht="17.25" customHeight="1" x14ac:dyDescent="0.25">
      <c r="A12" s="104"/>
      <c r="B12" s="104"/>
      <c r="C12" s="104"/>
      <c r="D12" s="104"/>
      <c r="E12" s="104"/>
    </row>
    <row r="13" spans="1:21" ht="17.25" customHeight="1" x14ac:dyDescent="0.25">
      <c r="A13" s="104"/>
      <c r="B13" s="104"/>
      <c r="C13" s="104"/>
      <c r="D13" s="104"/>
      <c r="E13" s="104"/>
    </row>
  </sheetData>
  <pageMargins left="0.75" right="0.75" top="1" bottom="1" header="0.5" footer="0.5"/>
  <pageSetup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7"/>
  <sheetViews>
    <sheetView zoomScale="85" zoomScaleNormal="85" workbookViewId="0">
      <selection activeCell="J45" activeCellId="1" sqref="F12:F16 J45"/>
    </sheetView>
  </sheetViews>
  <sheetFormatPr defaultRowHeight="16.5" customHeight="1" x14ac:dyDescent="0.25"/>
  <cols>
    <col min="1" max="1" width="28.44140625" customWidth="1"/>
    <col min="2" max="2" width="28.109375" customWidth="1"/>
    <col min="3" max="3" width="35.44140625" customWidth="1"/>
    <col min="4" max="4" width="12.6640625" customWidth="1"/>
    <col min="5" max="5" width="12.88671875" customWidth="1"/>
  </cols>
  <sheetData>
    <row r="1" spans="1:6" ht="16.5" customHeight="1" x14ac:dyDescent="0.3">
      <c r="A1" s="1" t="s">
        <v>144</v>
      </c>
      <c r="B1" s="2"/>
      <c r="C1" s="2"/>
      <c r="E1" s="23" t="s">
        <v>317</v>
      </c>
      <c r="F1" s="24" t="str">
        <f>'En.Bal-Final_Energy'!F2</f>
        <v>2017</v>
      </c>
    </row>
    <row r="2" spans="1:6" ht="16.5" customHeight="1" x14ac:dyDescent="0.3">
      <c r="A2" s="3" t="s">
        <v>145</v>
      </c>
      <c r="B2" s="4" t="s">
        <v>327</v>
      </c>
      <c r="C2" s="4"/>
      <c r="E2" s="23" t="s">
        <v>318</v>
      </c>
      <c r="F2" s="3">
        <v>2050</v>
      </c>
    </row>
    <row r="3" spans="1:6" ht="16.5" customHeight="1" x14ac:dyDescent="0.3">
      <c r="A3" s="3" t="s">
        <v>146</v>
      </c>
      <c r="B3" s="4" t="s">
        <v>714</v>
      </c>
      <c r="C3" s="4"/>
    </row>
    <row r="4" spans="1:6" ht="16.5" customHeight="1" x14ac:dyDescent="0.3">
      <c r="A4" s="3" t="s">
        <v>147</v>
      </c>
      <c r="B4" s="4" t="s">
        <v>132</v>
      </c>
      <c r="C4" s="4"/>
    </row>
    <row r="5" spans="1:6" ht="16.5" customHeight="1" x14ac:dyDescent="0.3">
      <c r="A5" s="3" t="s">
        <v>322</v>
      </c>
      <c r="B5" s="4" t="s">
        <v>328</v>
      </c>
      <c r="C5" s="4" t="s">
        <v>459</v>
      </c>
    </row>
    <row r="6" spans="1:6" ht="16.5" customHeight="1" x14ac:dyDescent="0.3">
      <c r="A6" s="3" t="s">
        <v>350</v>
      </c>
      <c r="B6" s="4" t="s">
        <v>666</v>
      </c>
      <c r="C6" s="4"/>
    </row>
    <row r="7" spans="1:6" ht="16.5" customHeight="1" x14ac:dyDescent="0.3">
      <c r="A7" s="3" t="s">
        <v>439</v>
      </c>
      <c r="B7" s="4" t="s">
        <v>440</v>
      </c>
      <c r="C7" s="4"/>
    </row>
    <row r="8" spans="1:6" ht="16.5" customHeight="1" x14ac:dyDescent="0.3">
      <c r="A8" s="98" t="s">
        <v>305</v>
      </c>
      <c r="B8" s="98"/>
    </row>
    <row r="10" spans="1:6" ht="16.5" customHeight="1" x14ac:dyDescent="0.3">
      <c r="A10" s="1" t="s">
        <v>278</v>
      </c>
      <c r="B10" s="1" t="s">
        <v>306</v>
      </c>
      <c r="C10" s="1" t="s">
        <v>307</v>
      </c>
      <c r="D10" s="1" t="s">
        <v>308</v>
      </c>
      <c r="E10" s="1" t="s">
        <v>309</v>
      </c>
    </row>
    <row r="11" spans="1:6" ht="16.5" customHeight="1" x14ac:dyDescent="0.3">
      <c r="A11" s="22" t="s">
        <v>310</v>
      </c>
      <c r="B11" s="3" t="s">
        <v>311</v>
      </c>
      <c r="C11" s="3" t="s">
        <v>312</v>
      </c>
      <c r="D11" s="26" t="s">
        <v>49</v>
      </c>
      <c r="E11" s="25"/>
    </row>
    <row r="12" spans="1:6" ht="16.5" customHeight="1" x14ac:dyDescent="0.3">
      <c r="A12" s="22" t="s">
        <v>298</v>
      </c>
      <c r="B12" s="3" t="s">
        <v>313</v>
      </c>
      <c r="C12" s="3" t="s">
        <v>314</v>
      </c>
      <c r="D12" s="25" t="s">
        <v>715</v>
      </c>
      <c r="E12" s="25" t="str">
        <f>B3&amp;"/"&amp;B2</f>
        <v>M$/PJ</v>
      </c>
    </row>
    <row r="13" spans="1:6" ht="16.5" customHeight="1" x14ac:dyDescent="0.3">
      <c r="A13" s="22" t="s">
        <v>296</v>
      </c>
      <c r="B13" s="3" t="s">
        <v>315</v>
      </c>
      <c r="C13" s="3" t="s">
        <v>312</v>
      </c>
      <c r="D13" s="26" t="str">
        <f>B2&amp;"/year"</f>
        <v>PJ/year</v>
      </c>
      <c r="E13" s="25"/>
    </row>
    <row r="14" spans="1:6" ht="16.5" customHeight="1" x14ac:dyDescent="0.3">
      <c r="A14" s="22" t="s">
        <v>3</v>
      </c>
      <c r="B14" s="3" t="s">
        <v>40</v>
      </c>
      <c r="C14" s="3" t="s">
        <v>312</v>
      </c>
      <c r="D14" s="25" t="s">
        <v>716</v>
      </c>
      <c r="E14" s="25" t="str">
        <f>B3&amp;"/"&amp;B2&amp;"/a"</f>
        <v>M$/PJ/a</v>
      </c>
    </row>
    <row r="15" spans="1:6" ht="16.5" customHeight="1" x14ac:dyDescent="0.3">
      <c r="A15" s="22" t="s">
        <v>6</v>
      </c>
      <c r="B15" s="3" t="s">
        <v>39</v>
      </c>
      <c r="C15" s="3" t="s">
        <v>312</v>
      </c>
      <c r="D15" s="25" t="s">
        <v>715</v>
      </c>
      <c r="E15" s="25" t="str">
        <f>B3&amp;"/"&amp;B2</f>
        <v>M$/PJ</v>
      </c>
    </row>
    <row r="16" spans="1:6" ht="16.5" customHeight="1" x14ac:dyDescent="0.3">
      <c r="A16" s="22" t="s">
        <v>302</v>
      </c>
      <c r="B16" s="3" t="s">
        <v>316</v>
      </c>
      <c r="C16" s="3" t="s">
        <v>312</v>
      </c>
      <c r="D16" s="25" t="s">
        <v>323</v>
      </c>
      <c r="E16" s="25" t="str">
        <f>B2&amp;"/"&amp;B5</f>
        <v>PJ/GW</v>
      </c>
    </row>
    <row r="17" spans="1:5" ht="16.5" customHeight="1" x14ac:dyDescent="0.3">
      <c r="A17" s="22" t="s">
        <v>310</v>
      </c>
      <c r="B17" s="3" t="s">
        <v>311</v>
      </c>
      <c r="C17" s="3" t="s">
        <v>312</v>
      </c>
      <c r="D17" s="26" t="s">
        <v>49</v>
      </c>
      <c r="E17" s="25"/>
    </row>
    <row r="18" spans="1:5" ht="16.5" customHeight="1" x14ac:dyDescent="0.3">
      <c r="A18" s="22" t="s">
        <v>285</v>
      </c>
      <c r="B18" s="3" t="s">
        <v>319</v>
      </c>
      <c r="C18" s="3" t="s">
        <v>240</v>
      </c>
      <c r="D18" s="26" t="s">
        <v>320</v>
      </c>
      <c r="E18" s="25"/>
    </row>
    <row r="19" spans="1:5" ht="16.5" customHeight="1" x14ac:dyDescent="0.3">
      <c r="A19" s="22" t="s">
        <v>302</v>
      </c>
      <c r="B19" s="3" t="s">
        <v>321</v>
      </c>
      <c r="C19" s="3"/>
      <c r="D19" s="26" t="str">
        <f>IF(B2="PJ","TJ/unit","GJ/unit")</f>
        <v>TJ/unit</v>
      </c>
      <c r="E19" s="25"/>
    </row>
    <row r="20" spans="1:5" ht="16.5" customHeight="1" x14ac:dyDescent="0.3">
      <c r="A20" s="22" t="s">
        <v>148</v>
      </c>
      <c r="B20" s="3" t="s">
        <v>325</v>
      </c>
      <c r="C20" s="3" t="s">
        <v>312</v>
      </c>
      <c r="D20" s="25" t="s">
        <v>294</v>
      </c>
      <c r="E20" s="25"/>
    </row>
    <row r="21" spans="1:5" ht="16.5" customHeight="1" x14ac:dyDescent="0.3">
      <c r="A21" s="22" t="s">
        <v>285</v>
      </c>
      <c r="B21" s="3" t="s">
        <v>319</v>
      </c>
      <c r="C21" s="3" t="s">
        <v>329</v>
      </c>
      <c r="D21" s="26" t="str">
        <f>B2&amp;"/year"</f>
        <v>PJ/year</v>
      </c>
      <c r="E21" s="25"/>
    </row>
    <row r="22" spans="1:5" ht="16.5" customHeight="1" x14ac:dyDescent="0.3">
      <c r="A22" s="22" t="s">
        <v>298</v>
      </c>
      <c r="B22" s="3" t="s">
        <v>430</v>
      </c>
      <c r="C22" s="3"/>
      <c r="D22" s="26" t="str">
        <f>B3&amp;"/"&amp;B6</f>
        <v>M$/Mt</v>
      </c>
      <c r="E22" s="25"/>
    </row>
    <row r="23" spans="1:5" ht="16.5" customHeight="1" x14ac:dyDescent="0.3">
      <c r="A23" s="22" t="s">
        <v>358</v>
      </c>
      <c r="B23" s="22" t="s">
        <v>431</v>
      </c>
      <c r="C23" s="22" t="s">
        <v>432</v>
      </c>
      <c r="D23" s="26" t="str">
        <f>B2&amp;"/"&amp;B6</f>
        <v>PJ/Mt</v>
      </c>
      <c r="E23" s="25"/>
    </row>
    <row r="24" spans="1:5" ht="16.5" customHeight="1" x14ac:dyDescent="0.3">
      <c r="A24" s="22" t="s">
        <v>3</v>
      </c>
      <c r="B24" s="3" t="s">
        <v>40</v>
      </c>
      <c r="C24" s="3"/>
      <c r="D24" s="26" t="s">
        <v>717</v>
      </c>
      <c r="E24" s="25" t="s">
        <v>720</v>
      </c>
    </row>
    <row r="25" spans="1:5" ht="16.5" customHeight="1" x14ac:dyDescent="0.3">
      <c r="A25" s="22" t="s">
        <v>6</v>
      </c>
      <c r="B25" s="3" t="s">
        <v>39</v>
      </c>
      <c r="C25" s="3"/>
      <c r="D25" s="26" t="s">
        <v>718</v>
      </c>
      <c r="E25" s="25" t="s">
        <v>715</v>
      </c>
    </row>
    <row r="26" spans="1:5" ht="16.5" customHeight="1" x14ac:dyDescent="0.3">
      <c r="A26" s="22" t="s">
        <v>458</v>
      </c>
      <c r="B26" s="3"/>
      <c r="C26" s="3"/>
      <c r="D26" s="26" t="s">
        <v>719</v>
      </c>
      <c r="E26" s="25"/>
    </row>
    <row r="27" spans="1:5" ht="16.5" customHeight="1" x14ac:dyDescent="0.3">
      <c r="A27" s="22" t="s">
        <v>457</v>
      </c>
      <c r="B27" s="3"/>
      <c r="C27" s="3"/>
      <c r="D27" s="26" t="s">
        <v>713</v>
      </c>
      <c r="E27" s="25"/>
    </row>
  </sheetData>
  <mergeCells count="1">
    <mergeCell ref="A8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2</vt:i4>
      </vt:variant>
    </vt:vector>
  </HeadingPairs>
  <TitlesOfParts>
    <vt:vector size="26" baseType="lpstr">
      <vt:lpstr>MIN_MAT</vt:lpstr>
      <vt:lpstr>En.Bal-Final_Energy</vt:lpstr>
      <vt:lpstr>IST_BAL</vt:lpstr>
      <vt:lpstr>IST_Techs</vt:lpstr>
      <vt:lpstr>NMM_BAL</vt:lpstr>
      <vt:lpstr>NMM_Techs</vt:lpstr>
      <vt:lpstr>NFM_BAL</vt:lpstr>
      <vt:lpstr>NFM_Techs</vt:lpstr>
      <vt:lpstr>FBT_BAL</vt:lpstr>
      <vt:lpstr>FBT_Techs</vt:lpstr>
      <vt:lpstr>PCH_BAL</vt:lpstr>
      <vt:lpstr>PCH_Techs</vt:lpstr>
      <vt:lpstr>MIQ_BAL</vt:lpstr>
      <vt:lpstr>MIQ_Techs</vt:lpstr>
      <vt:lpstr>CON_BAL</vt:lpstr>
      <vt:lpstr>CON_Techs</vt:lpstr>
      <vt:lpstr>OTH_BAL</vt:lpstr>
      <vt:lpstr>OTH_Techs</vt:lpstr>
      <vt:lpstr>Non_Energy</vt:lpstr>
      <vt:lpstr>Auto_CHP</vt:lpstr>
      <vt:lpstr>IND_Fuels</vt:lpstr>
      <vt:lpstr>Commodities</vt:lpstr>
      <vt:lpstr>Emissions_Table</vt:lpstr>
      <vt:lpstr>General</vt:lpstr>
      <vt:lpstr>BASE_YEAR</vt:lpstr>
      <vt:lpstr>END_YEAR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Rocco De Miglio</cp:lastModifiedBy>
  <cp:lastPrinted>2018-03-26T08:56:47Z</cp:lastPrinted>
  <dcterms:created xsi:type="dcterms:W3CDTF">2000-12-13T15:53:11Z</dcterms:created>
  <dcterms:modified xsi:type="dcterms:W3CDTF">2022-09-23T16:01:50Z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954719185829162</vt:r8>
  </property>
</Properties>
</file>