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C0446DDE-01AF-416A-8A23-F7EBFA25472E}" xr6:coauthVersionLast="47" xr6:coauthVersionMax="47" xr10:uidLastSave="{00000000-0000-0000-0000-000000000000}"/>
  <bookViews>
    <workbookView xWindow="372" yWindow="0" windowWidth="22668" windowHeight="12240" tabRatio="841" firstSheet="3" activeTab="10" xr2:uid="{00000000-000D-0000-FFFF-FFFF00000000}"/>
  </bookViews>
  <sheets>
    <sheet name="En.Bal-Final_Energy" sheetId="137" state="hidden" r:id="rId1"/>
    <sheet name="COM_En_Balance" sheetId="149" r:id="rId2"/>
    <sheet name="TER_Stock" sheetId="142" r:id="rId3"/>
    <sheet name="TER_Tech_SpHeat" sheetId="143" r:id="rId4"/>
    <sheet name="TER_Tech_WaterHeat" sheetId="147" r:id="rId5"/>
    <sheet name="TER_Tech_SpCool" sheetId="146" r:id="rId6"/>
    <sheet name="TER_Tech_Cook" sheetId="148" r:id="rId7"/>
    <sheet name="TER_Tech_Appliances" sheetId="153" r:id="rId8"/>
    <sheet name="TER_Fuels" sheetId="144" r:id="rId9"/>
    <sheet name="Emissions_Table" sheetId="134" r:id="rId10"/>
    <sheet name="Commodities" sheetId="135" r:id="rId11"/>
    <sheet name="General" sheetId="136" state="hidden" r:id="rId12"/>
  </sheets>
  <definedNames>
    <definedName name="_xlnm._FilterDatabase" localSheetId="3" hidden="1">TER_Tech_SpHeat!$B$92:$J$115</definedName>
    <definedName name="BASE_YEAR">General!$F$1</definedName>
    <definedName name="END_YEAR">General!$F$2</definedName>
    <definedName name="Stk_Mult">General!$F$3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47" l="1"/>
  <c r="K45" i="144" l="1"/>
  <c r="K43" i="144"/>
  <c r="E17" i="142" l="1"/>
  <c r="S20" i="149"/>
  <c r="L23" i="149"/>
  <c r="L14" i="149"/>
  <c r="E16" i="142"/>
  <c r="J25" i="149"/>
  <c r="J16" i="149"/>
  <c r="E25" i="149"/>
  <c r="E16" i="149"/>
  <c r="H6" i="149" l="1"/>
  <c r="H5" i="149"/>
  <c r="AE43" i="137" l="1"/>
  <c r="AE44" i="137"/>
  <c r="BX43" i="137" l="1"/>
  <c r="BW43" i="137"/>
  <c r="AU43" i="137"/>
  <c r="AT43" i="137"/>
  <c r="AS43" i="137"/>
  <c r="BZ43" i="137" s="1"/>
  <c r="AM43" i="137"/>
  <c r="AL43" i="137"/>
  <c r="N43" i="137"/>
  <c r="L43" i="137"/>
  <c r="I43" i="137"/>
  <c r="F46" i="153"/>
  <c r="F47" i="153"/>
  <c r="Q14" i="147"/>
  <c r="D14" i="147"/>
  <c r="D7" i="147"/>
  <c r="Q7" i="147"/>
  <c r="B91" i="147" s="1"/>
  <c r="C4" i="134"/>
  <c r="M8" i="142"/>
  <c r="M7" i="142"/>
  <c r="C26" i="142"/>
  <c r="J22" i="148"/>
  <c r="I22" i="148"/>
  <c r="L44" i="137"/>
  <c r="N44" i="137"/>
  <c r="AL44" i="137"/>
  <c r="AM44" i="137"/>
  <c r="AU44" i="137"/>
  <c r="BW44" i="137"/>
  <c r="BX44" i="137"/>
  <c r="AT44" i="137"/>
  <c r="I44" i="137"/>
  <c r="I36" i="137"/>
  <c r="W36" i="137"/>
  <c r="AT36" i="137"/>
  <c r="E41" i="144"/>
  <c r="D45" i="144"/>
  <c r="D43" i="144"/>
  <c r="D41" i="144"/>
  <c r="D20" i="144"/>
  <c r="C20" i="144"/>
  <c r="D19" i="144"/>
  <c r="D18" i="144"/>
  <c r="O19" i="144"/>
  <c r="O18" i="144"/>
  <c r="C19" i="144"/>
  <c r="O17" i="144"/>
  <c r="C18" i="144"/>
  <c r="R19" i="144"/>
  <c r="Q19" i="144"/>
  <c r="R18" i="144"/>
  <c r="Q18" i="144"/>
  <c r="R17" i="144"/>
  <c r="Q17" i="144"/>
  <c r="R22" i="144"/>
  <c r="Q22" i="144"/>
  <c r="R21" i="144"/>
  <c r="Q21" i="144"/>
  <c r="O22" i="144"/>
  <c r="C45" i="144" s="1"/>
  <c r="O21" i="144"/>
  <c r="C43" i="144"/>
  <c r="O20" i="144"/>
  <c r="C41" i="144" s="1"/>
  <c r="F42" i="147"/>
  <c r="F38" i="147"/>
  <c r="F39" i="147"/>
  <c r="F40" i="147"/>
  <c r="F41" i="147"/>
  <c r="F37" i="147"/>
  <c r="F36" i="147"/>
  <c r="F35" i="147"/>
  <c r="H19" i="147"/>
  <c r="H18" i="147"/>
  <c r="H17" i="147"/>
  <c r="H16" i="147"/>
  <c r="H15" i="147"/>
  <c r="H14" i="147"/>
  <c r="H13" i="147"/>
  <c r="H12" i="147"/>
  <c r="H11" i="147"/>
  <c r="H10" i="147"/>
  <c r="H9" i="147"/>
  <c r="H8" i="147"/>
  <c r="H7" i="147"/>
  <c r="F57" i="143"/>
  <c r="F55" i="143"/>
  <c r="F54" i="143"/>
  <c r="F53" i="143"/>
  <c r="F52" i="143"/>
  <c r="F51" i="143"/>
  <c r="F50" i="143"/>
  <c r="F49" i="143"/>
  <c r="F48" i="143"/>
  <c r="F47" i="143"/>
  <c r="F46" i="143"/>
  <c r="F84" i="143"/>
  <c r="F73" i="143"/>
  <c r="C5" i="149"/>
  <c r="P7" i="134"/>
  <c r="O7" i="134"/>
  <c r="N7" i="134"/>
  <c r="M7" i="134"/>
  <c r="L7" i="134"/>
  <c r="K7" i="134"/>
  <c r="J7" i="134"/>
  <c r="I7" i="134"/>
  <c r="H7" i="134"/>
  <c r="G7" i="134"/>
  <c r="F7" i="134"/>
  <c r="E7" i="134"/>
  <c r="D7" i="134"/>
  <c r="C7" i="134"/>
  <c r="P6" i="134"/>
  <c r="O6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S29" i="149"/>
  <c r="S31" i="149" s="1"/>
  <c r="B13" i="149"/>
  <c r="B37" i="149"/>
  <c r="H7" i="148"/>
  <c r="D19" i="143"/>
  <c r="D18" i="143"/>
  <c r="D8" i="143"/>
  <c r="D7" i="143"/>
  <c r="D23" i="143"/>
  <c r="D12" i="143"/>
  <c r="C133" i="143"/>
  <c r="C134" i="143"/>
  <c r="C122" i="143"/>
  <c r="C123" i="143"/>
  <c r="C104" i="143"/>
  <c r="C105" i="143"/>
  <c r="C93" i="143"/>
  <c r="C94" i="143"/>
  <c r="C75" i="143"/>
  <c r="C76" i="143"/>
  <c r="C64" i="143"/>
  <c r="C65" i="143"/>
  <c r="C46" i="143"/>
  <c r="C47" i="143"/>
  <c r="C35" i="143"/>
  <c r="C36" i="143"/>
  <c r="C18" i="143"/>
  <c r="C19" i="143"/>
  <c r="C7" i="143"/>
  <c r="C8" i="143"/>
  <c r="T19" i="143"/>
  <c r="S19" i="143"/>
  <c r="T8" i="143"/>
  <c r="S8" i="143"/>
  <c r="T18" i="143"/>
  <c r="S18" i="143"/>
  <c r="S7" i="143"/>
  <c r="T7" i="143"/>
  <c r="F38" i="142"/>
  <c r="C41" i="142"/>
  <c r="I3" i="134"/>
  <c r="F24" i="144"/>
  <c r="E24" i="144" s="1"/>
  <c r="F23" i="144"/>
  <c r="E23" i="144"/>
  <c r="F25" i="144"/>
  <c r="E25" i="144"/>
  <c r="F26" i="144"/>
  <c r="E26" i="144" s="1"/>
  <c r="F22" i="144"/>
  <c r="E22" i="144" s="1"/>
  <c r="F21" i="144"/>
  <c r="E21" i="144"/>
  <c r="F18" i="144"/>
  <c r="F16" i="144"/>
  <c r="F15" i="144"/>
  <c r="E15" i="144" s="1"/>
  <c r="F14" i="144"/>
  <c r="E14" i="144" s="1"/>
  <c r="F11" i="144"/>
  <c r="E11" i="144"/>
  <c r="F12" i="144"/>
  <c r="E12" i="144"/>
  <c r="F13" i="144"/>
  <c r="E13" i="144" s="1"/>
  <c r="F17" i="144"/>
  <c r="E17" i="144" s="1"/>
  <c r="F10" i="144"/>
  <c r="E10" i="144"/>
  <c r="R10" i="144"/>
  <c r="Q10" i="144"/>
  <c r="R9" i="144"/>
  <c r="Q9" i="144"/>
  <c r="P29" i="144"/>
  <c r="D33" i="144" s="1"/>
  <c r="P28" i="144"/>
  <c r="D26" i="144" s="1"/>
  <c r="P27" i="144"/>
  <c r="D25" i="144" s="1"/>
  <c r="P26" i="144"/>
  <c r="D24" i="144"/>
  <c r="P25" i="144"/>
  <c r="P24" i="144"/>
  <c r="D22" i="144" s="1"/>
  <c r="P23" i="144"/>
  <c r="O16" i="144"/>
  <c r="C17" i="144"/>
  <c r="P14" i="144"/>
  <c r="D15" i="144"/>
  <c r="P13" i="144"/>
  <c r="D14" i="144" s="1"/>
  <c r="P15" i="144"/>
  <c r="D16" i="144" s="1"/>
  <c r="P16" i="144"/>
  <c r="D17" i="144"/>
  <c r="P12" i="144"/>
  <c r="D13" i="144"/>
  <c r="O10" i="144"/>
  <c r="C11" i="144" s="1"/>
  <c r="P10" i="144"/>
  <c r="D11" i="144" s="1"/>
  <c r="P9" i="144"/>
  <c r="D10" i="144"/>
  <c r="O9" i="144"/>
  <c r="C10" i="144"/>
  <c r="P11" i="144"/>
  <c r="D12" i="144" s="1"/>
  <c r="K7" i="149"/>
  <c r="K36" i="149" s="1"/>
  <c r="D21" i="149"/>
  <c r="B22" i="149"/>
  <c r="B46" i="149"/>
  <c r="E7" i="149"/>
  <c r="E36" i="149" s="1"/>
  <c r="F7" i="149"/>
  <c r="F36" i="149" s="1"/>
  <c r="G7" i="149"/>
  <c r="G36" i="149" s="1"/>
  <c r="H7" i="149"/>
  <c r="H36" i="149"/>
  <c r="I7" i="149"/>
  <c r="I36" i="149"/>
  <c r="J7" i="149"/>
  <c r="J36" i="149" s="1"/>
  <c r="L7" i="149"/>
  <c r="L36" i="149" s="1"/>
  <c r="M7" i="149"/>
  <c r="M36" i="149"/>
  <c r="N7" i="149"/>
  <c r="N36" i="149"/>
  <c r="O7" i="149"/>
  <c r="O36" i="149" s="1"/>
  <c r="P7" i="149"/>
  <c r="P36" i="149" s="1"/>
  <c r="Q7" i="149"/>
  <c r="Q36" i="149"/>
  <c r="R7" i="149"/>
  <c r="R36" i="149"/>
  <c r="S7" i="149"/>
  <c r="S36" i="149" s="1"/>
  <c r="B6" i="149"/>
  <c r="B5" i="149"/>
  <c r="D5" i="149"/>
  <c r="D42" i="149" s="1"/>
  <c r="E5" i="149"/>
  <c r="E38" i="149" s="1"/>
  <c r="F5" i="149"/>
  <c r="F39" i="149" s="1"/>
  <c r="G5" i="149"/>
  <c r="G42" i="149" s="1"/>
  <c r="H44" i="149"/>
  <c r="I5" i="149"/>
  <c r="I41" i="149" s="1"/>
  <c r="J5" i="149"/>
  <c r="J39" i="149" s="1"/>
  <c r="K5" i="149"/>
  <c r="K44" i="149" s="1"/>
  <c r="L5" i="149"/>
  <c r="L43" i="149" s="1"/>
  <c r="P5" i="149"/>
  <c r="P41" i="149" s="1"/>
  <c r="M5" i="149"/>
  <c r="M39" i="149" s="1"/>
  <c r="N5" i="149"/>
  <c r="N41" i="149" s="1"/>
  <c r="O5" i="149"/>
  <c r="O39" i="149" s="1"/>
  <c r="Q5" i="149"/>
  <c r="Q44" i="149" s="1"/>
  <c r="R5" i="149"/>
  <c r="R41" i="149" s="1"/>
  <c r="S5" i="149"/>
  <c r="S41" i="149" s="1"/>
  <c r="D6" i="149"/>
  <c r="D50" i="149" s="1"/>
  <c r="E6" i="149"/>
  <c r="E52" i="149" s="1"/>
  <c r="F6" i="149"/>
  <c r="F52" i="149" s="1"/>
  <c r="H51" i="149"/>
  <c r="I6" i="149"/>
  <c r="I47" i="149" s="1"/>
  <c r="J6" i="149"/>
  <c r="J49" i="149" s="1"/>
  <c r="K6" i="149"/>
  <c r="K48" i="149" s="1"/>
  <c r="L6" i="149"/>
  <c r="L47" i="149" s="1"/>
  <c r="P6" i="149"/>
  <c r="P48" i="149" s="1"/>
  <c r="M6" i="149"/>
  <c r="M48" i="149" s="1"/>
  <c r="N6" i="149"/>
  <c r="N53" i="149" s="1"/>
  <c r="O6" i="149"/>
  <c r="O53" i="149" s="1"/>
  <c r="Q6" i="149"/>
  <c r="Q51" i="149" s="1"/>
  <c r="R6" i="149"/>
  <c r="R53" i="149" s="1"/>
  <c r="S6" i="149"/>
  <c r="S51" i="149" s="1"/>
  <c r="F19" i="144"/>
  <c r="F20" i="144" s="1"/>
  <c r="F42" i="144"/>
  <c r="F44" i="144" s="1"/>
  <c r="F46" i="144" s="1"/>
  <c r="D23" i="144"/>
  <c r="E16" i="144"/>
  <c r="E43" i="144"/>
  <c r="E45" i="144"/>
  <c r="D21" i="144"/>
  <c r="D3" i="134"/>
  <c r="G6" i="149"/>
  <c r="G48" i="149" s="1"/>
  <c r="L40" i="149"/>
  <c r="L41" i="149"/>
  <c r="L42" i="149"/>
  <c r="C40" i="142"/>
  <c r="C42" i="142"/>
  <c r="C44" i="142"/>
  <c r="C39" i="142"/>
  <c r="C43" i="142"/>
  <c r="C38" i="142"/>
  <c r="C31" i="142"/>
  <c r="C27" i="142"/>
  <c r="C28" i="142"/>
  <c r="C29" i="142"/>
  <c r="C30" i="142"/>
  <c r="C45" i="142"/>
  <c r="L38" i="149"/>
  <c r="E41" i="149"/>
  <c r="E42" i="149"/>
  <c r="O44" i="149"/>
  <c r="E43" i="149"/>
  <c r="E51" i="149"/>
  <c r="I52" i="149"/>
  <c r="D44" i="149"/>
  <c r="E40" i="149"/>
  <c r="I48" i="149"/>
  <c r="E44" i="149"/>
  <c r="O38" i="149"/>
  <c r="Q50" i="149"/>
  <c r="I38" i="149"/>
  <c r="I39" i="149"/>
  <c r="I151" i="153"/>
  <c r="I108" i="153"/>
  <c r="I107" i="153"/>
  <c r="I68" i="153"/>
  <c r="I67" i="153"/>
  <c r="I31" i="153"/>
  <c r="I30" i="153"/>
  <c r="I53" i="148"/>
  <c r="F54" i="148"/>
  <c r="I54" i="148"/>
  <c r="F55" i="148"/>
  <c r="I55" i="148"/>
  <c r="F24" i="153"/>
  <c r="F23" i="153"/>
  <c r="F56" i="148"/>
  <c r="I56" i="148"/>
  <c r="F57" i="148"/>
  <c r="F58" i="148"/>
  <c r="I57" i="148"/>
  <c r="I58" i="148"/>
  <c r="F59" i="148"/>
  <c r="I59" i="148"/>
  <c r="F60" i="148"/>
  <c r="I60" i="148"/>
  <c r="F61" i="148"/>
  <c r="I61" i="148"/>
  <c r="F62" i="148"/>
  <c r="I62" i="148"/>
  <c r="C124" i="153"/>
  <c r="C123" i="153"/>
  <c r="P8" i="153"/>
  <c r="C8" i="153"/>
  <c r="D20" i="147"/>
  <c r="E12" i="136"/>
  <c r="D13" i="136"/>
  <c r="E14" i="136"/>
  <c r="E15" i="136"/>
  <c r="E16" i="136"/>
  <c r="D19" i="136"/>
  <c r="D21" i="136"/>
  <c r="AB7" i="135"/>
  <c r="AB8" i="135"/>
  <c r="F7" i="135"/>
  <c r="F8" i="135"/>
  <c r="AB9" i="135"/>
  <c r="Z10" i="135"/>
  <c r="Q14" i="143"/>
  <c r="AB10" i="135"/>
  <c r="Z11" i="135"/>
  <c r="Q25" i="143"/>
  <c r="AB11" i="135"/>
  <c r="F9" i="135"/>
  <c r="F10" i="135"/>
  <c r="Q7" i="135"/>
  <c r="Q8" i="135"/>
  <c r="F11" i="135"/>
  <c r="Q9" i="135"/>
  <c r="F12" i="135"/>
  <c r="Z12" i="135"/>
  <c r="Q9" i="147"/>
  <c r="AB12" i="135"/>
  <c r="Z13" i="135"/>
  <c r="Q17" i="147"/>
  <c r="AB13" i="135"/>
  <c r="F13" i="135"/>
  <c r="F14" i="135"/>
  <c r="Z14" i="135"/>
  <c r="D30" i="142"/>
  <c r="AB14" i="135"/>
  <c r="Z15" i="135"/>
  <c r="D31" i="142"/>
  <c r="AB15" i="135"/>
  <c r="F15" i="135"/>
  <c r="Z16" i="135"/>
  <c r="Z17" i="135"/>
  <c r="F16" i="135"/>
  <c r="Z18" i="135"/>
  <c r="AB18" i="135"/>
  <c r="F17" i="135"/>
  <c r="Z19" i="135"/>
  <c r="D41" i="142"/>
  <c r="AB19" i="135"/>
  <c r="F18" i="135"/>
  <c r="F19" i="135"/>
  <c r="F20" i="135"/>
  <c r="F21" i="135"/>
  <c r="Z20" i="135"/>
  <c r="D42" i="142"/>
  <c r="F22" i="135"/>
  <c r="Z21" i="135"/>
  <c r="D43" i="142"/>
  <c r="Z22" i="135"/>
  <c r="Z23" i="135"/>
  <c r="F23" i="135"/>
  <c r="F24" i="135"/>
  <c r="F25" i="135"/>
  <c r="F26" i="135"/>
  <c r="F27" i="135"/>
  <c r="F28" i="135"/>
  <c r="F29" i="135"/>
  <c r="F30" i="135"/>
  <c r="F31" i="135"/>
  <c r="F32" i="135"/>
  <c r="F33" i="135"/>
  <c r="F34" i="135"/>
  <c r="F35" i="135"/>
  <c r="F36" i="135"/>
  <c r="F37" i="135"/>
  <c r="F38" i="135"/>
  <c r="F39" i="135"/>
  <c r="F40" i="135"/>
  <c r="F41" i="135"/>
  <c r="F42" i="135"/>
  <c r="F43" i="135"/>
  <c r="F44" i="135"/>
  <c r="F45" i="135"/>
  <c r="F46" i="135"/>
  <c r="F47" i="135"/>
  <c r="F48" i="135"/>
  <c r="F49" i="135"/>
  <c r="F50" i="135"/>
  <c r="F51" i="135"/>
  <c r="E3" i="134"/>
  <c r="F3" i="134"/>
  <c r="G3" i="134"/>
  <c r="H3" i="134"/>
  <c r="J3" i="134"/>
  <c r="K3" i="134"/>
  <c r="L3" i="134"/>
  <c r="M3" i="134"/>
  <c r="N3" i="134"/>
  <c r="O3" i="134"/>
  <c r="P3" i="134"/>
  <c r="D4" i="134"/>
  <c r="E4" i="134"/>
  <c r="F4" i="134"/>
  <c r="G4" i="134"/>
  <c r="H4" i="134"/>
  <c r="I4" i="134"/>
  <c r="J4" i="134"/>
  <c r="K4" i="134"/>
  <c r="L4" i="134"/>
  <c r="M4" i="134"/>
  <c r="N4" i="134"/>
  <c r="O4" i="134"/>
  <c r="P4" i="134"/>
  <c r="B5" i="134"/>
  <c r="B6" i="134"/>
  <c r="B7" i="134"/>
  <c r="H9" i="144"/>
  <c r="O11" i="144"/>
  <c r="C12" i="144" s="1"/>
  <c r="Q11" i="144"/>
  <c r="R11" i="144"/>
  <c r="O12" i="144"/>
  <c r="C13" i="144"/>
  <c r="Q12" i="144"/>
  <c r="R12" i="144"/>
  <c r="O13" i="144"/>
  <c r="C14" i="144" s="1"/>
  <c r="Q13" i="144"/>
  <c r="R13" i="144"/>
  <c r="O14" i="144"/>
  <c r="C15" i="144"/>
  <c r="Q14" i="144"/>
  <c r="R14" i="144"/>
  <c r="O15" i="144"/>
  <c r="C16" i="144" s="1"/>
  <c r="Q15" i="144"/>
  <c r="R15" i="144"/>
  <c r="Q16" i="144"/>
  <c r="R16" i="144"/>
  <c r="Q20" i="144"/>
  <c r="R20" i="144"/>
  <c r="O23" i="144"/>
  <c r="C21" i="144" s="1"/>
  <c r="Q23" i="144"/>
  <c r="R23" i="144"/>
  <c r="O24" i="144"/>
  <c r="C22" i="144"/>
  <c r="Q24" i="144"/>
  <c r="R24" i="144"/>
  <c r="O25" i="144"/>
  <c r="C23" i="144" s="1"/>
  <c r="Q25" i="144"/>
  <c r="R25" i="144"/>
  <c r="O26" i="144"/>
  <c r="C24" i="144"/>
  <c r="Q26" i="144"/>
  <c r="R26" i="144"/>
  <c r="O27" i="144"/>
  <c r="C25" i="144" s="1"/>
  <c r="Q27" i="144"/>
  <c r="R27" i="144"/>
  <c r="O28" i="144"/>
  <c r="C26" i="144"/>
  <c r="Q28" i="144"/>
  <c r="R28" i="144"/>
  <c r="O29" i="144"/>
  <c r="C33" i="144" s="1"/>
  <c r="Q29" i="144"/>
  <c r="R29" i="144"/>
  <c r="H32" i="144"/>
  <c r="I32" i="144"/>
  <c r="J32" i="144"/>
  <c r="E33" i="144"/>
  <c r="F34" i="144"/>
  <c r="F6" i="153"/>
  <c r="H6" i="153"/>
  <c r="I6" i="153"/>
  <c r="D7" i="153"/>
  <c r="C7" i="153"/>
  <c r="P7" i="153"/>
  <c r="Q7" i="153"/>
  <c r="D8" i="153"/>
  <c r="Q8" i="153"/>
  <c r="C46" i="153"/>
  <c r="P9" i="153"/>
  <c r="Q9" i="153"/>
  <c r="C54" i="153"/>
  <c r="P10" i="153"/>
  <c r="Q10" i="153"/>
  <c r="D16" i="153"/>
  <c r="D17" i="153"/>
  <c r="C83" i="153"/>
  <c r="P11" i="153"/>
  <c r="Q11" i="153"/>
  <c r="C92" i="153"/>
  <c r="C100" i="153"/>
  <c r="P12" i="153"/>
  <c r="Q12" i="153"/>
  <c r="N13" i="153"/>
  <c r="C133" i="153"/>
  <c r="P13" i="153"/>
  <c r="Q13" i="153"/>
  <c r="C31" i="153"/>
  <c r="F45" i="153"/>
  <c r="H45" i="153"/>
  <c r="I45" i="153"/>
  <c r="D46" i="153"/>
  <c r="D47" i="153"/>
  <c r="D53" i="153"/>
  <c r="D54" i="153"/>
  <c r="F82" i="153"/>
  <c r="H82" i="153"/>
  <c r="I82" i="153"/>
  <c r="D83" i="153"/>
  <c r="D84" i="153"/>
  <c r="D91" i="153"/>
  <c r="D92" i="153"/>
  <c r="F132" i="153"/>
  <c r="H132" i="153"/>
  <c r="I132" i="153"/>
  <c r="D133" i="153"/>
  <c r="E133" i="153"/>
  <c r="F163" i="153"/>
  <c r="D139" i="153"/>
  <c r="E145" i="153"/>
  <c r="E151" i="153"/>
  <c r="E157" i="153"/>
  <c r="F162" i="153"/>
  <c r="D163" i="153"/>
  <c r="F6" i="148"/>
  <c r="I6" i="148"/>
  <c r="J6" i="148"/>
  <c r="D7" i="148"/>
  <c r="Q7" i="148"/>
  <c r="R7" i="148"/>
  <c r="D8" i="148"/>
  <c r="H8" i="148"/>
  <c r="C69" i="148"/>
  <c r="Q8" i="148"/>
  <c r="R8" i="148"/>
  <c r="D9" i="148"/>
  <c r="C70" i="148"/>
  <c r="Q9" i="148"/>
  <c r="R9" i="148"/>
  <c r="D10" i="148"/>
  <c r="C41" i="148"/>
  <c r="C10" i="148"/>
  <c r="Q10" i="148"/>
  <c r="R10" i="148"/>
  <c r="D11" i="148"/>
  <c r="Q11" i="148"/>
  <c r="R11" i="148"/>
  <c r="D12" i="148"/>
  <c r="C43" i="148"/>
  <c r="C12" i="148"/>
  <c r="Q12" i="148"/>
  <c r="R12" i="148"/>
  <c r="D13" i="148"/>
  <c r="C74" i="148"/>
  <c r="Q13" i="148"/>
  <c r="R13" i="148"/>
  <c r="D14" i="148"/>
  <c r="C30" i="148"/>
  <c r="Q14" i="148"/>
  <c r="R14" i="148"/>
  <c r="D15" i="148"/>
  <c r="C76" i="148"/>
  <c r="C31" i="148"/>
  <c r="Q15" i="148"/>
  <c r="R15" i="148"/>
  <c r="D16" i="148"/>
  <c r="Q16" i="148"/>
  <c r="R16" i="148"/>
  <c r="D23" i="148"/>
  <c r="D24" i="148"/>
  <c r="D25" i="148"/>
  <c r="D26" i="148"/>
  <c r="D27" i="148"/>
  <c r="D28" i="148"/>
  <c r="D29" i="148"/>
  <c r="D30" i="148"/>
  <c r="D31" i="148"/>
  <c r="D32" i="148"/>
  <c r="C46" i="148"/>
  <c r="F6" i="146"/>
  <c r="I6" i="146"/>
  <c r="J6" i="146"/>
  <c r="K6" i="146"/>
  <c r="C22" i="146"/>
  <c r="C37" i="146"/>
  <c r="T6" i="146"/>
  <c r="U6" i="146"/>
  <c r="D7" i="146"/>
  <c r="C8" i="146"/>
  <c r="T7" i="146"/>
  <c r="U7" i="146"/>
  <c r="D8" i="146"/>
  <c r="C15" i="146"/>
  <c r="C23" i="146"/>
  <c r="C30" i="146"/>
  <c r="F6" i="147"/>
  <c r="I6" i="147"/>
  <c r="J6" i="147"/>
  <c r="K6" i="147"/>
  <c r="S7" i="147"/>
  <c r="T7" i="147"/>
  <c r="D8" i="147"/>
  <c r="S8" i="147"/>
  <c r="T8" i="147"/>
  <c r="D9" i="147"/>
  <c r="S9" i="147"/>
  <c r="T9" i="147"/>
  <c r="D10" i="147"/>
  <c r="S10" i="147"/>
  <c r="T10" i="147"/>
  <c r="D11" i="147"/>
  <c r="S11" i="147"/>
  <c r="T11" i="147"/>
  <c r="D12" i="147"/>
  <c r="S12" i="147"/>
  <c r="T12" i="147"/>
  <c r="D13" i="147"/>
  <c r="S13" i="147"/>
  <c r="T13" i="147"/>
  <c r="S14" i="147"/>
  <c r="T14" i="147"/>
  <c r="D15" i="147"/>
  <c r="S15" i="147"/>
  <c r="T15" i="147"/>
  <c r="D16" i="147"/>
  <c r="S16" i="147"/>
  <c r="T16" i="147"/>
  <c r="D17" i="147"/>
  <c r="S17" i="147"/>
  <c r="T17" i="147"/>
  <c r="D18" i="147"/>
  <c r="S18" i="147"/>
  <c r="T18" i="147"/>
  <c r="D19" i="147"/>
  <c r="S19" i="147"/>
  <c r="T19" i="147"/>
  <c r="S20" i="147"/>
  <c r="T20" i="147"/>
  <c r="D21" i="147"/>
  <c r="S21" i="147"/>
  <c r="T21" i="147"/>
  <c r="F6" i="143"/>
  <c r="I6" i="143"/>
  <c r="J6" i="143"/>
  <c r="K6" i="143"/>
  <c r="D9" i="143"/>
  <c r="S9" i="143"/>
  <c r="T9" i="143"/>
  <c r="D10" i="143"/>
  <c r="S10" i="143"/>
  <c r="T10" i="143"/>
  <c r="D11" i="143"/>
  <c r="S11" i="143"/>
  <c r="T11" i="143"/>
  <c r="S12" i="143"/>
  <c r="T12" i="143"/>
  <c r="D13" i="143"/>
  <c r="S13" i="143"/>
  <c r="T13" i="143"/>
  <c r="D14" i="143"/>
  <c r="S14" i="143"/>
  <c r="T14" i="143"/>
  <c r="D15" i="143"/>
  <c r="S15" i="143"/>
  <c r="T15" i="143"/>
  <c r="D16" i="143"/>
  <c r="S16" i="143"/>
  <c r="T16" i="143"/>
  <c r="D17" i="143"/>
  <c r="S17" i="143"/>
  <c r="T17" i="143"/>
  <c r="D20" i="143"/>
  <c r="S20" i="143"/>
  <c r="T20" i="143"/>
  <c r="D21" i="143"/>
  <c r="S21" i="143"/>
  <c r="T21" i="143"/>
  <c r="D22" i="143"/>
  <c r="S22" i="143"/>
  <c r="T22" i="143"/>
  <c r="S23" i="143"/>
  <c r="T23" i="143"/>
  <c r="D24" i="143"/>
  <c r="S24" i="143"/>
  <c r="T24" i="143"/>
  <c r="D25" i="143"/>
  <c r="S25" i="143"/>
  <c r="T25" i="143"/>
  <c r="D26" i="143"/>
  <c r="S26" i="143"/>
  <c r="T26" i="143"/>
  <c r="D27" i="143"/>
  <c r="S27" i="143"/>
  <c r="T27" i="143"/>
  <c r="D28" i="143"/>
  <c r="S28" i="143"/>
  <c r="T28" i="143"/>
  <c r="D29" i="143"/>
  <c r="S29" i="143"/>
  <c r="T29" i="143"/>
  <c r="F121" i="143"/>
  <c r="E6" i="142"/>
  <c r="H6" i="142"/>
  <c r="C7" i="142"/>
  <c r="B7" i="142"/>
  <c r="O7" i="142"/>
  <c r="P7" i="142"/>
  <c r="C8" i="142"/>
  <c r="B17" i="142"/>
  <c r="O8" i="142"/>
  <c r="P8" i="142"/>
  <c r="E15" i="142"/>
  <c r="C16" i="142"/>
  <c r="C17" i="142"/>
  <c r="D7" i="149"/>
  <c r="C3" i="134" s="1"/>
  <c r="D13" i="149"/>
  <c r="E13" i="149"/>
  <c r="F13" i="149"/>
  <c r="G13" i="149"/>
  <c r="H13" i="149"/>
  <c r="I13" i="149"/>
  <c r="J13" i="149"/>
  <c r="K13" i="149"/>
  <c r="L13" i="149"/>
  <c r="M13" i="149"/>
  <c r="N13" i="149"/>
  <c r="O13" i="149"/>
  <c r="P13" i="149"/>
  <c r="Q13" i="149"/>
  <c r="R13" i="149"/>
  <c r="S13" i="149"/>
  <c r="C23" i="149"/>
  <c r="C24" i="149"/>
  <c r="C25" i="149"/>
  <c r="C26" i="149"/>
  <c r="C27" i="149"/>
  <c r="C28" i="149"/>
  <c r="C29" i="149"/>
  <c r="A37" i="149"/>
  <c r="B38" i="149"/>
  <c r="A46" i="149"/>
  <c r="C15" i="148"/>
  <c r="C61" i="148"/>
  <c r="C45" i="148"/>
  <c r="C139" i="153"/>
  <c r="C145" i="153"/>
  <c r="C116" i="153"/>
  <c r="C60" i="148"/>
  <c r="C28" i="148"/>
  <c r="C58" i="148"/>
  <c r="C73" i="148"/>
  <c r="C27" i="148"/>
  <c r="C42" i="148"/>
  <c r="C57" i="148"/>
  <c r="C14" i="148"/>
  <c r="C75" i="148"/>
  <c r="C67" i="153"/>
  <c r="C115" i="153"/>
  <c r="C107" i="153"/>
  <c r="C99" i="153"/>
  <c r="C16" i="153"/>
  <c r="C72" i="148"/>
  <c r="C11" i="148"/>
  <c r="C7" i="146"/>
  <c r="C91" i="153"/>
  <c r="C74" i="153"/>
  <c r="C23" i="148"/>
  <c r="C53" i="148"/>
  <c r="C68" i="148"/>
  <c r="C7" i="148"/>
  <c r="C38" i="148"/>
  <c r="C151" i="153"/>
  <c r="C44" i="148"/>
  <c r="C29" i="148"/>
  <c r="C13" i="148"/>
  <c r="C59" i="148"/>
  <c r="C39" i="148"/>
  <c r="C9" i="148"/>
  <c r="C40" i="148"/>
  <c r="C68" i="153"/>
  <c r="C75" i="153"/>
  <c r="C56" i="148"/>
  <c r="C71" i="148"/>
  <c r="C14" i="146"/>
  <c r="E59" i="148"/>
  <c r="D39" i="142"/>
  <c r="O8" i="148"/>
  <c r="B69" i="148" s="1"/>
  <c r="D38" i="142"/>
  <c r="E60" i="153"/>
  <c r="D44" i="142"/>
  <c r="D29" i="142"/>
  <c r="D28" i="142"/>
  <c r="E104" i="143"/>
  <c r="E46" i="143"/>
  <c r="Q19" i="143"/>
  <c r="Q23" i="143"/>
  <c r="E105" i="143"/>
  <c r="E47" i="143"/>
  <c r="Q18" i="143"/>
  <c r="E133" i="143"/>
  <c r="E75" i="143"/>
  <c r="E18" i="143"/>
  <c r="D27" i="142"/>
  <c r="E134" i="143"/>
  <c r="E76" i="143"/>
  <c r="E19" i="143"/>
  <c r="E123" i="153"/>
  <c r="D40" i="142"/>
  <c r="E47" i="153"/>
  <c r="D45" i="142"/>
  <c r="Q9" i="143"/>
  <c r="E94" i="143"/>
  <c r="E36" i="143"/>
  <c r="E122" i="143"/>
  <c r="E64" i="143"/>
  <c r="E7" i="143"/>
  <c r="Q12" i="143"/>
  <c r="D26" i="142"/>
  <c r="E123" i="143"/>
  <c r="E65" i="143"/>
  <c r="E8" i="143"/>
  <c r="E93" i="143"/>
  <c r="E35" i="143"/>
  <c r="Q8" i="143"/>
  <c r="B123" i="143" s="1"/>
  <c r="Q7" i="143"/>
  <c r="F39" i="142"/>
  <c r="C43" i="149"/>
  <c r="E163" i="153"/>
  <c r="F22" i="148"/>
  <c r="F90" i="153"/>
  <c r="F15" i="153"/>
  <c r="F52" i="153"/>
  <c r="F138" i="153"/>
  <c r="E124" i="153"/>
  <c r="B16" i="142"/>
  <c r="H9" i="148"/>
  <c r="C51" i="149"/>
  <c r="D17" i="142"/>
  <c r="D16" i="142"/>
  <c r="E29" i="143"/>
  <c r="Q20" i="143"/>
  <c r="B20" i="143" s="1"/>
  <c r="Q28" i="143"/>
  <c r="E33" i="147"/>
  <c r="B38" i="147"/>
  <c r="B14" i="147"/>
  <c r="E19" i="147"/>
  <c r="E39" i="153"/>
  <c r="Q21" i="147"/>
  <c r="E35" i="147"/>
  <c r="O15" i="148"/>
  <c r="B76" i="148" s="1"/>
  <c r="E74" i="148"/>
  <c r="E75" i="153"/>
  <c r="A26" i="149"/>
  <c r="E46" i="148"/>
  <c r="N8" i="153"/>
  <c r="B31" i="153"/>
  <c r="H31" i="153"/>
  <c r="O14" i="148"/>
  <c r="B30" i="148" s="1"/>
  <c r="E60" i="148"/>
  <c r="E31" i="153"/>
  <c r="E15" i="148"/>
  <c r="E99" i="147"/>
  <c r="E38" i="147"/>
  <c r="E41" i="147"/>
  <c r="E104" i="147"/>
  <c r="E78" i="147"/>
  <c r="E16" i="147"/>
  <c r="E77" i="147"/>
  <c r="E36" i="147"/>
  <c r="E56" i="147"/>
  <c r="E79" i="147"/>
  <c r="E102" i="147"/>
  <c r="Q19" i="147"/>
  <c r="B102" i="147" s="1"/>
  <c r="E60" i="147"/>
  <c r="E98" i="147"/>
  <c r="Q16" i="147"/>
  <c r="B16" i="147" s="1"/>
  <c r="Q20" i="147"/>
  <c r="B83" i="147"/>
  <c r="H83" i="147" s="1"/>
  <c r="E39" i="147"/>
  <c r="E58" i="147"/>
  <c r="E80" i="147"/>
  <c r="Q18" i="147"/>
  <c r="B81" i="147" s="1"/>
  <c r="H81" i="147" s="1"/>
  <c r="E37" i="147"/>
  <c r="E42" i="147"/>
  <c r="E103" i="147"/>
  <c r="E18" i="147"/>
  <c r="E59" i="147"/>
  <c r="E81" i="147"/>
  <c r="E100" i="147"/>
  <c r="E20" i="147"/>
  <c r="E82" i="147"/>
  <c r="E15" i="147"/>
  <c r="E61" i="147"/>
  <c r="E83" i="147"/>
  <c r="A25" i="149"/>
  <c r="E57" i="147"/>
  <c r="Q15" i="147"/>
  <c r="B15" i="147" s="1"/>
  <c r="E17" i="147"/>
  <c r="E21" i="147"/>
  <c r="E40" i="147"/>
  <c r="E62" i="147"/>
  <c r="E84" i="147"/>
  <c r="E101" i="147"/>
  <c r="E63" i="147"/>
  <c r="E14" i="147"/>
  <c r="N10" i="153"/>
  <c r="B47" i="153"/>
  <c r="A29" i="149"/>
  <c r="E61" i="153"/>
  <c r="E68" i="153"/>
  <c r="E24" i="153"/>
  <c r="A28" i="149"/>
  <c r="E8" i="153"/>
  <c r="O12" i="148"/>
  <c r="B28" i="148" s="1"/>
  <c r="E47" i="148"/>
  <c r="E61" i="148"/>
  <c r="E14" i="148"/>
  <c r="E62" i="148"/>
  <c r="E75" i="148"/>
  <c r="E13" i="148"/>
  <c r="E43" i="148"/>
  <c r="E76" i="148"/>
  <c r="O13" i="148"/>
  <c r="B29" i="148" s="1"/>
  <c r="E16" i="148"/>
  <c r="E44" i="148"/>
  <c r="E73" i="148"/>
  <c r="O16" i="148"/>
  <c r="B32" i="148" s="1"/>
  <c r="E12" i="148"/>
  <c r="E45" i="148"/>
  <c r="E58" i="148"/>
  <c r="E77" i="148"/>
  <c r="E29" i="147"/>
  <c r="Q13" i="147"/>
  <c r="B34" i="147" s="1"/>
  <c r="E93" i="147"/>
  <c r="E75" i="147"/>
  <c r="C39" i="149"/>
  <c r="C40" i="149"/>
  <c r="C42" i="149"/>
  <c r="E55" i="147"/>
  <c r="C38" i="149"/>
  <c r="C44" i="149"/>
  <c r="E9" i="147"/>
  <c r="C48" i="149"/>
  <c r="C50" i="149"/>
  <c r="C52" i="149"/>
  <c r="E91" i="147"/>
  <c r="E84" i="153"/>
  <c r="A27" i="149"/>
  <c r="B72" i="147"/>
  <c r="H72" i="147"/>
  <c r="A16" i="149"/>
  <c r="E95" i="147"/>
  <c r="E73" i="147"/>
  <c r="E54" i="147"/>
  <c r="E32" i="147"/>
  <c r="E11" i="147"/>
  <c r="Q10" i="147"/>
  <c r="B52" i="147" s="1"/>
  <c r="A20" i="149"/>
  <c r="E97" i="147"/>
  <c r="E72" i="147"/>
  <c r="E49" i="147"/>
  <c r="E34" i="147"/>
  <c r="E28" i="147"/>
  <c r="E71" i="147"/>
  <c r="E31" i="147"/>
  <c r="E52" i="147"/>
  <c r="Q12" i="147"/>
  <c r="B54" i="147" s="1"/>
  <c r="B151" i="153"/>
  <c r="H151" i="153"/>
  <c r="B145" i="153"/>
  <c r="N9" i="153"/>
  <c r="B46" i="153"/>
  <c r="E116" i="153"/>
  <c r="E100" i="153"/>
  <c r="E108" i="153"/>
  <c r="N12" i="153"/>
  <c r="B124" i="153"/>
  <c r="E38" i="146"/>
  <c r="E23" i="146"/>
  <c r="E15" i="146"/>
  <c r="A24" i="149"/>
  <c r="B133" i="153"/>
  <c r="E46" i="153"/>
  <c r="D36" i="149"/>
  <c r="R7" i="146"/>
  <c r="B15" i="146"/>
  <c r="E142" i="143"/>
  <c r="E110" i="143"/>
  <c r="B157" i="153"/>
  <c r="B139" i="153"/>
  <c r="E83" i="143"/>
  <c r="E67" i="153"/>
  <c r="E74" i="153"/>
  <c r="Q27" i="143"/>
  <c r="B113" i="143" s="1"/>
  <c r="H113" i="143" s="1"/>
  <c r="E99" i="153"/>
  <c r="N11" i="153"/>
  <c r="B123" i="153"/>
  <c r="A18" i="149"/>
  <c r="E107" i="153"/>
  <c r="E83" i="153"/>
  <c r="E115" i="153"/>
  <c r="Q26" i="143"/>
  <c r="B83" i="143" s="1"/>
  <c r="E54" i="143"/>
  <c r="E78" i="143"/>
  <c r="E86" i="143"/>
  <c r="E111" i="143"/>
  <c r="E136" i="143"/>
  <c r="E143" i="143"/>
  <c r="E22" i="143"/>
  <c r="E25" i="143"/>
  <c r="E50" i="143"/>
  <c r="E52" i="143"/>
  <c r="E55" i="143"/>
  <c r="E80" i="143"/>
  <c r="E113" i="143"/>
  <c r="E139" i="143"/>
  <c r="Q22" i="143"/>
  <c r="E81" i="143"/>
  <c r="E106" i="143"/>
  <c r="E114" i="143"/>
  <c r="E137" i="143"/>
  <c r="E21" i="143"/>
  <c r="E27" i="143"/>
  <c r="E48" i="143"/>
  <c r="E53" i="143"/>
  <c r="E56" i="143"/>
  <c r="E82" i="143"/>
  <c r="E107" i="143"/>
  <c r="E115" i="143"/>
  <c r="E135" i="143"/>
  <c r="E144" i="143"/>
  <c r="A23" i="149"/>
  <c r="Q29" i="143"/>
  <c r="E84" i="143"/>
  <c r="E140" i="143"/>
  <c r="E51" i="143"/>
  <c r="E85" i="143"/>
  <c r="E108" i="143"/>
  <c r="E20" i="143"/>
  <c r="E49" i="143"/>
  <c r="E109" i="143"/>
  <c r="E138" i="143"/>
  <c r="Q21" i="143"/>
  <c r="B21" i="143" s="1"/>
  <c r="E23" i="143"/>
  <c r="E79" i="143"/>
  <c r="E112" i="143"/>
  <c r="E77" i="143"/>
  <c r="C49" i="149"/>
  <c r="C47" i="149"/>
  <c r="C53" i="149"/>
  <c r="Q24" i="143"/>
  <c r="B81" i="143" s="1"/>
  <c r="E141" i="143"/>
  <c r="E57" i="143"/>
  <c r="E28" i="143"/>
  <c r="E26" i="143"/>
  <c r="E24" i="143"/>
  <c r="Q11" i="147"/>
  <c r="B11" i="147" s="1"/>
  <c r="E74" i="147"/>
  <c r="E13" i="147"/>
  <c r="E8" i="147"/>
  <c r="E30" i="147"/>
  <c r="E50" i="147"/>
  <c r="E76" i="147"/>
  <c r="Q8" i="147"/>
  <c r="B29" i="147" s="1"/>
  <c r="E10" i="147"/>
  <c r="E51" i="147"/>
  <c r="E92" i="147"/>
  <c r="E94" i="147"/>
  <c r="E96" i="147"/>
  <c r="E7" i="147"/>
  <c r="E12" i="147"/>
  <c r="E53" i="147"/>
  <c r="E70" i="147"/>
  <c r="E31" i="146"/>
  <c r="E8" i="146"/>
  <c r="C14" i="143"/>
  <c r="C96" i="143"/>
  <c r="C103" i="143"/>
  <c r="C44" i="143"/>
  <c r="Q10" i="143"/>
  <c r="B67" i="143" s="1"/>
  <c r="E16" i="143"/>
  <c r="E43" i="143"/>
  <c r="E45" i="143"/>
  <c r="E67" i="143"/>
  <c r="E73" i="143"/>
  <c r="E100" i="143"/>
  <c r="E126" i="143"/>
  <c r="E132" i="143"/>
  <c r="A14" i="149"/>
  <c r="E12" i="143"/>
  <c r="E15" i="143"/>
  <c r="Q16" i="143"/>
  <c r="B102" i="143" s="1"/>
  <c r="H102" i="143" s="1"/>
  <c r="E68" i="143"/>
  <c r="E74" i="143"/>
  <c r="E124" i="143"/>
  <c r="E9" i="143"/>
  <c r="Q15" i="143"/>
  <c r="B101" i="143" s="1"/>
  <c r="H101" i="143" s="1"/>
  <c r="E69" i="143"/>
  <c r="E101" i="143"/>
  <c r="E13" i="143"/>
  <c r="E17" i="143"/>
  <c r="E72" i="143"/>
  <c r="E98" i="143"/>
  <c r="E103" i="143"/>
  <c r="E70" i="143"/>
  <c r="E96" i="143"/>
  <c r="E125" i="143"/>
  <c r="E130" i="143"/>
  <c r="E10" i="143"/>
  <c r="E14" i="143"/>
  <c r="E71" i="143"/>
  <c r="E97" i="143"/>
  <c r="E128" i="143"/>
  <c r="E99" i="143"/>
  <c r="Q11" i="143"/>
  <c r="E127" i="143"/>
  <c r="E11" i="143"/>
  <c r="E38" i="143"/>
  <c r="E40" i="143"/>
  <c r="E42" i="143"/>
  <c r="E66" i="143"/>
  <c r="E95" i="143"/>
  <c r="E129" i="143"/>
  <c r="E37" i="143"/>
  <c r="E39" i="143"/>
  <c r="E41" i="143"/>
  <c r="E102" i="143"/>
  <c r="Q17" i="143"/>
  <c r="B47" i="149"/>
  <c r="B42" i="149"/>
  <c r="Q13" i="143"/>
  <c r="B70" i="143" s="1"/>
  <c r="B41" i="149"/>
  <c r="E131" i="143"/>
  <c r="B49" i="149"/>
  <c r="B51" i="149"/>
  <c r="A15" i="149"/>
  <c r="R6" i="146"/>
  <c r="E37" i="146"/>
  <c r="E7" i="146"/>
  <c r="E14" i="146"/>
  <c r="E22" i="146"/>
  <c r="E30" i="146"/>
  <c r="B53" i="149"/>
  <c r="O9" i="148"/>
  <c r="B55" i="148" s="1"/>
  <c r="H55" i="148" s="1"/>
  <c r="E38" i="148"/>
  <c r="E55" i="148"/>
  <c r="E39" i="148"/>
  <c r="E56" i="148"/>
  <c r="E68" i="148"/>
  <c r="E8" i="148"/>
  <c r="E41" i="148"/>
  <c r="E57" i="148"/>
  <c r="E71" i="148"/>
  <c r="O7" i="148"/>
  <c r="B23" i="148" s="1"/>
  <c r="E53" i="148"/>
  <c r="E40" i="148"/>
  <c r="E7" i="148"/>
  <c r="E54" i="148"/>
  <c r="E69" i="148"/>
  <c r="E72" i="148"/>
  <c r="O10" i="148"/>
  <c r="E70" i="148"/>
  <c r="E10" i="148"/>
  <c r="A17" i="149"/>
  <c r="E9" i="148"/>
  <c r="O11" i="148"/>
  <c r="B27" i="148" s="1"/>
  <c r="E42" i="148"/>
  <c r="E11" i="148"/>
  <c r="E44" i="143"/>
  <c r="B44" i="149"/>
  <c r="E7" i="153"/>
  <c r="E30" i="153"/>
  <c r="A19" i="149"/>
  <c r="N7" i="153"/>
  <c r="B7" i="153"/>
  <c r="F7" i="153"/>
  <c r="F42" i="142" s="1"/>
  <c r="E23" i="153"/>
  <c r="E38" i="153"/>
  <c r="C54" i="147"/>
  <c r="C74" i="147"/>
  <c r="C93" i="147"/>
  <c r="C73" i="147"/>
  <c r="C50" i="147"/>
  <c r="C55" i="147"/>
  <c r="C107" i="143"/>
  <c r="C48" i="143"/>
  <c r="C83" i="143"/>
  <c r="C110" i="143"/>
  <c r="C109" i="143"/>
  <c r="C79" i="143"/>
  <c r="C140" i="143"/>
  <c r="B40" i="149"/>
  <c r="B48" i="149"/>
  <c r="C41" i="147"/>
  <c r="C17" i="147"/>
  <c r="C37" i="147"/>
  <c r="C19" i="147"/>
  <c r="C39" i="147"/>
  <c r="C77" i="147"/>
  <c r="B50" i="149"/>
  <c r="B52" i="149"/>
  <c r="C17" i="153"/>
  <c r="C84" i="153"/>
  <c r="C24" i="153"/>
  <c r="C47" i="153"/>
  <c r="C157" i="153"/>
  <c r="C38" i="153"/>
  <c r="C60" i="153"/>
  <c r="C108" i="153"/>
  <c r="C61" i="153"/>
  <c r="C23" i="153"/>
  <c r="C30" i="153"/>
  <c r="C53" i="153"/>
  <c r="C39" i="153"/>
  <c r="C24" i="148"/>
  <c r="C8" i="148"/>
  <c r="C26" i="148"/>
  <c r="B8" i="148"/>
  <c r="B24" i="148"/>
  <c r="B39" i="148"/>
  <c r="B8" i="142"/>
  <c r="C41" i="149"/>
  <c r="C38" i="146"/>
  <c r="C31" i="146"/>
  <c r="C16" i="148"/>
  <c r="C62" i="148"/>
  <c r="C32" i="148"/>
  <c r="C47" i="148"/>
  <c r="C77" i="148"/>
  <c r="C54" i="148"/>
  <c r="C55" i="148"/>
  <c r="C25" i="148"/>
  <c r="B105" i="143"/>
  <c r="H105" i="143"/>
  <c r="B47" i="143"/>
  <c r="B134" i="143"/>
  <c r="B76" i="143"/>
  <c r="B19" i="143"/>
  <c r="B122" i="143"/>
  <c r="B64" i="143"/>
  <c r="B7" i="143"/>
  <c r="B93" i="143"/>
  <c r="H93" i="143" s="1"/>
  <c r="B35" i="143"/>
  <c r="B36" i="143"/>
  <c r="B133" i="143"/>
  <c r="B75" i="143"/>
  <c r="B18" i="143"/>
  <c r="B104" i="143"/>
  <c r="H104" i="143" s="1"/>
  <c r="B46" i="143"/>
  <c r="F44" i="142"/>
  <c r="H10" i="148"/>
  <c r="B30" i="147"/>
  <c r="B46" i="148"/>
  <c r="B17" i="147"/>
  <c r="B100" i="147"/>
  <c r="B59" i="147"/>
  <c r="B80" i="147"/>
  <c r="H80" i="147"/>
  <c r="B54" i="153"/>
  <c r="B74" i="148"/>
  <c r="B8" i="153"/>
  <c r="F8" i="153"/>
  <c r="F43" i="142" s="1"/>
  <c r="B17" i="153"/>
  <c r="B103" i="147"/>
  <c r="B68" i="153"/>
  <c r="H68" i="153"/>
  <c r="B78" i="147"/>
  <c r="H78" i="147" s="1"/>
  <c r="B18" i="147"/>
  <c r="B13" i="148"/>
  <c r="B59" i="148"/>
  <c r="H59" i="148" s="1"/>
  <c r="B57" i="147"/>
  <c r="B15" i="148"/>
  <c r="B61" i="147"/>
  <c r="B21" i="147"/>
  <c r="B84" i="147"/>
  <c r="H84" i="147" s="1"/>
  <c r="B31" i="148"/>
  <c r="B40" i="147"/>
  <c r="B104" i="147"/>
  <c r="B19" i="147"/>
  <c r="B42" i="147"/>
  <c r="B61" i="148"/>
  <c r="H61" i="148" s="1"/>
  <c r="B63" i="147"/>
  <c r="B82" i="147"/>
  <c r="H82" i="147"/>
  <c r="B36" i="147"/>
  <c r="B39" i="147"/>
  <c r="B77" i="148"/>
  <c r="B24" i="153"/>
  <c r="B62" i="148"/>
  <c r="H62" i="148" s="1"/>
  <c r="B43" i="148"/>
  <c r="B62" i="147"/>
  <c r="B39" i="153"/>
  <c r="B16" i="148"/>
  <c r="B47" i="148"/>
  <c r="C57" i="147"/>
  <c r="B20" i="147"/>
  <c r="B60" i="148"/>
  <c r="H60" i="148" s="1"/>
  <c r="B41" i="147"/>
  <c r="B45" i="148"/>
  <c r="B98" i="147"/>
  <c r="B58" i="148"/>
  <c r="H58" i="148"/>
  <c r="B77" i="147"/>
  <c r="H77" i="147"/>
  <c r="B35" i="147"/>
  <c r="B75" i="153"/>
  <c r="B44" i="148"/>
  <c r="B56" i="147"/>
  <c r="B61" i="153"/>
  <c r="B51" i="147"/>
  <c r="C132" i="143"/>
  <c r="B76" i="147"/>
  <c r="H76" i="147" s="1"/>
  <c r="B55" i="147"/>
  <c r="B13" i="147"/>
  <c r="B97" i="147"/>
  <c r="C42" i="143"/>
  <c r="C131" i="143"/>
  <c r="B74" i="153"/>
  <c r="B23" i="146"/>
  <c r="C23" i="143"/>
  <c r="B30" i="153"/>
  <c r="H30" i="153"/>
  <c r="B93" i="147"/>
  <c r="B9" i="147"/>
  <c r="B31" i="146"/>
  <c r="H31" i="146" s="1"/>
  <c r="B24" i="143"/>
  <c r="B67" i="153"/>
  <c r="H67" i="153"/>
  <c r="B96" i="147"/>
  <c r="B60" i="153"/>
  <c r="B12" i="147"/>
  <c r="B33" i="147"/>
  <c r="B75" i="147"/>
  <c r="H75" i="147"/>
  <c r="C135" i="143"/>
  <c r="C20" i="147"/>
  <c r="C71" i="143"/>
  <c r="C96" i="147"/>
  <c r="C12" i="147"/>
  <c r="C75" i="147"/>
  <c r="B77" i="143"/>
  <c r="B43" i="149"/>
  <c r="C84" i="147"/>
  <c r="C35" i="147"/>
  <c r="B135" i="143"/>
  <c r="C62" i="147"/>
  <c r="C103" i="147"/>
  <c r="B106" i="143"/>
  <c r="H106" i="143" s="1"/>
  <c r="C79" i="147"/>
  <c r="C99" i="147"/>
  <c r="C98" i="147"/>
  <c r="B48" i="143"/>
  <c r="C17" i="143"/>
  <c r="C139" i="143"/>
  <c r="C33" i="147"/>
  <c r="B8" i="146"/>
  <c r="C42" i="147"/>
  <c r="B53" i="153"/>
  <c r="C74" i="143"/>
  <c r="C104" i="147"/>
  <c r="B38" i="146"/>
  <c r="C24" i="143"/>
  <c r="C38" i="143"/>
  <c r="C14" i="147"/>
  <c r="C56" i="147"/>
  <c r="C26" i="143"/>
  <c r="C54" i="143"/>
  <c r="C81" i="143"/>
  <c r="C45" i="143"/>
  <c r="C10" i="143"/>
  <c r="C52" i="143"/>
  <c r="C137" i="143"/>
  <c r="C18" i="147"/>
  <c r="C97" i="147"/>
  <c r="C13" i="147"/>
  <c r="C141" i="143"/>
  <c r="C34" i="147"/>
  <c r="C112" i="143"/>
  <c r="B100" i="153"/>
  <c r="B116" i="153"/>
  <c r="B84" i="153"/>
  <c r="B108" i="153"/>
  <c r="H108" i="153"/>
  <c r="C67" i="143"/>
  <c r="B92" i="153"/>
  <c r="C125" i="143"/>
  <c r="C22" i="143"/>
  <c r="C60" i="147"/>
  <c r="C63" i="147"/>
  <c r="C76" i="147"/>
  <c r="B95" i="147"/>
  <c r="B74" i="147"/>
  <c r="H74" i="147" s="1"/>
  <c r="B32" i="147"/>
  <c r="C50" i="143"/>
  <c r="C51" i="147"/>
  <c r="C9" i="147"/>
  <c r="C51" i="143"/>
  <c r="C21" i="147"/>
  <c r="C83" i="147"/>
  <c r="B92" i="147"/>
  <c r="B144" i="143"/>
  <c r="B86" i="143"/>
  <c r="B29" i="143"/>
  <c r="B115" i="143"/>
  <c r="H115" i="143"/>
  <c r="B57" i="143"/>
  <c r="B82" i="143"/>
  <c r="B111" i="143"/>
  <c r="H111" i="143"/>
  <c r="B53" i="143"/>
  <c r="B25" i="143"/>
  <c r="B140" i="143"/>
  <c r="C108" i="143"/>
  <c r="C81" i="147"/>
  <c r="C16" i="147"/>
  <c r="B39" i="149"/>
  <c r="B110" i="143"/>
  <c r="H110" i="143" s="1"/>
  <c r="B80" i="143"/>
  <c r="B51" i="143"/>
  <c r="B23" i="143"/>
  <c r="B138" i="143"/>
  <c r="B109" i="143"/>
  <c r="H109" i="143" s="1"/>
  <c r="B114" i="143"/>
  <c r="H114" i="143"/>
  <c r="B85" i="143"/>
  <c r="B56" i="143"/>
  <c r="B143" i="143"/>
  <c r="B28" i="143"/>
  <c r="B107" i="153"/>
  <c r="H107" i="153"/>
  <c r="B91" i="153"/>
  <c r="B115" i="153"/>
  <c r="B83" i="153"/>
  <c r="B99" i="153"/>
  <c r="B108" i="143"/>
  <c r="H108" i="143" s="1"/>
  <c r="B137" i="143"/>
  <c r="B22" i="143"/>
  <c r="B79" i="143"/>
  <c r="B50" i="143"/>
  <c r="C58" i="147"/>
  <c r="B78" i="143"/>
  <c r="B136" i="143"/>
  <c r="C73" i="143"/>
  <c r="C102" i="143"/>
  <c r="C68" i="143"/>
  <c r="C126" i="143"/>
  <c r="C39" i="143"/>
  <c r="C97" i="143"/>
  <c r="C11" i="143"/>
  <c r="C80" i="147"/>
  <c r="C100" i="147"/>
  <c r="C38" i="147"/>
  <c r="C59" i="147"/>
  <c r="C106" i="143"/>
  <c r="C77" i="143"/>
  <c r="C20" i="143"/>
  <c r="C71" i="147"/>
  <c r="C8" i="147"/>
  <c r="C92" i="147"/>
  <c r="C29" i="147"/>
  <c r="B40" i="148"/>
  <c r="C7" i="147"/>
  <c r="C70" i="147"/>
  <c r="C91" i="147"/>
  <c r="C28" i="147"/>
  <c r="C101" i="147"/>
  <c r="C80" i="143"/>
  <c r="C138" i="143"/>
  <c r="C32" i="147"/>
  <c r="C53" i="147"/>
  <c r="C95" i="147"/>
  <c r="C11" i="147"/>
  <c r="B72" i="143"/>
  <c r="B43" i="143"/>
  <c r="B15" i="143"/>
  <c r="B131" i="143"/>
  <c r="B73" i="143"/>
  <c r="C100" i="143"/>
  <c r="C129" i="143"/>
  <c r="C21" i="143"/>
  <c r="C136" i="143"/>
  <c r="C78" i="143"/>
  <c r="C49" i="147"/>
  <c r="C128" i="143"/>
  <c r="C70" i="143"/>
  <c r="C13" i="143"/>
  <c r="C99" i="143"/>
  <c r="C41" i="143"/>
  <c r="C52" i="147"/>
  <c r="C94" i="147"/>
  <c r="C49" i="143"/>
  <c r="C102" i="147"/>
  <c r="C82" i="147"/>
  <c r="C40" i="147"/>
  <c r="C61" i="147"/>
  <c r="B98" i="143"/>
  <c r="H98" i="143" s="1"/>
  <c r="B69" i="143"/>
  <c r="B12" i="143"/>
  <c r="B40" i="143"/>
  <c r="B127" i="143"/>
  <c r="C72" i="143"/>
  <c r="C130" i="143"/>
  <c r="C43" i="143"/>
  <c r="C101" i="143"/>
  <c r="C15" i="143"/>
  <c r="C53" i="143"/>
  <c r="C82" i="143"/>
  <c r="C111" i="143"/>
  <c r="B42" i="148"/>
  <c r="C25" i="143"/>
  <c r="C10" i="147"/>
  <c r="C16" i="143"/>
  <c r="C31" i="147"/>
  <c r="C36" i="147"/>
  <c r="C15" i="147"/>
  <c r="C78" i="147"/>
  <c r="C30" i="147"/>
  <c r="C72" i="147"/>
  <c r="B39" i="143"/>
  <c r="B97" i="143"/>
  <c r="H97" i="143"/>
  <c r="B11" i="143"/>
  <c r="B68" i="143"/>
  <c r="B126" i="143"/>
  <c r="B74" i="143"/>
  <c r="B45" i="143"/>
  <c r="B17" i="143"/>
  <c r="B103" i="143"/>
  <c r="H103" i="143"/>
  <c r="B132" i="143"/>
  <c r="B9" i="143"/>
  <c r="B37" i="143"/>
  <c r="B124" i="143"/>
  <c r="B66" i="143"/>
  <c r="B95" i="143"/>
  <c r="H95" i="143" s="1"/>
  <c r="B100" i="143"/>
  <c r="H100" i="143"/>
  <c r="B14" i="143"/>
  <c r="B129" i="143"/>
  <c r="B71" i="143"/>
  <c r="B42" i="143"/>
  <c r="B125" i="143"/>
  <c r="B22" i="146"/>
  <c r="B7" i="146"/>
  <c r="F7" i="146" s="1"/>
  <c r="B14" i="146"/>
  <c r="B37" i="146"/>
  <c r="B30" i="146"/>
  <c r="H30" i="146" s="1"/>
  <c r="B41" i="143"/>
  <c r="B13" i="143"/>
  <c r="B128" i="143"/>
  <c r="B99" i="143"/>
  <c r="H99" i="143" s="1"/>
  <c r="B23" i="153"/>
  <c r="B38" i="153"/>
  <c r="B16" i="153"/>
  <c r="B41" i="148"/>
  <c r="B56" i="148"/>
  <c r="H56" i="148" s="1"/>
  <c r="B71" i="148"/>
  <c r="B10" i="148"/>
  <c r="B26" i="148"/>
  <c r="C9" i="143"/>
  <c r="C124" i="143"/>
  <c r="C37" i="143"/>
  <c r="C66" i="143"/>
  <c r="C95" i="143"/>
  <c r="C98" i="143"/>
  <c r="C12" i="143"/>
  <c r="C40" i="143"/>
  <c r="C127" i="143"/>
  <c r="C69" i="143"/>
  <c r="C55" i="143"/>
  <c r="C84" i="143"/>
  <c r="C142" i="143"/>
  <c r="C27" i="143"/>
  <c r="C113" i="143"/>
  <c r="C57" i="143"/>
  <c r="C86" i="143"/>
  <c r="C144" i="143"/>
  <c r="C29" i="143"/>
  <c r="C115" i="143"/>
  <c r="C28" i="143"/>
  <c r="C143" i="143"/>
  <c r="C114" i="143"/>
  <c r="C85" i="143"/>
  <c r="C56" i="143"/>
  <c r="F83" i="153"/>
  <c r="F40" i="142" s="1"/>
  <c r="H11" i="148"/>
  <c r="K31" i="149"/>
  <c r="H31" i="149"/>
  <c r="F31" i="149"/>
  <c r="N31" i="149"/>
  <c r="N21" i="149"/>
  <c r="M31" i="149"/>
  <c r="O31" i="149"/>
  <c r="Q31" i="149"/>
  <c r="J31" i="149"/>
  <c r="D31" i="149"/>
  <c r="R31" i="149"/>
  <c r="L31" i="149"/>
  <c r="P31" i="149"/>
  <c r="G21" i="149"/>
  <c r="G31" i="149"/>
  <c r="I31" i="149"/>
  <c r="E31" i="149"/>
  <c r="F21" i="149"/>
  <c r="S21" i="149"/>
  <c r="K21" i="149"/>
  <c r="J21" i="149"/>
  <c r="H21" i="149"/>
  <c r="I21" i="149"/>
  <c r="L21" i="149"/>
  <c r="M21" i="149"/>
  <c r="O21" i="149"/>
  <c r="P21" i="149"/>
  <c r="E21" i="149"/>
  <c r="R21" i="149"/>
  <c r="Q21" i="149"/>
  <c r="H12" i="148"/>
  <c r="H13" i="148"/>
  <c r="H14" i="148"/>
  <c r="H15" i="148"/>
  <c r="H16" i="148"/>
  <c r="F8" i="146"/>
  <c r="F45" i="142"/>
  <c r="F84" i="153"/>
  <c r="F41" i="142" s="1"/>
  <c r="F7" i="143"/>
  <c r="B49" i="147" l="1"/>
  <c r="K20" i="147"/>
  <c r="B94" i="143"/>
  <c r="H94" i="143" s="1"/>
  <c r="B68" i="148"/>
  <c r="B54" i="143"/>
  <c r="B28" i="147"/>
  <c r="B8" i="143"/>
  <c r="J10" i="148"/>
  <c r="B7" i="148"/>
  <c r="J7" i="148" s="1"/>
  <c r="B141" i="143"/>
  <c r="B55" i="143"/>
  <c r="B27" i="143"/>
  <c r="B7" i="147"/>
  <c r="K7" i="147" s="1"/>
  <c r="B65" i="143"/>
  <c r="B53" i="148"/>
  <c r="H53" i="148" s="1"/>
  <c r="B84" i="143"/>
  <c r="B70" i="147"/>
  <c r="H70" i="147" s="1"/>
  <c r="B112" i="143"/>
  <c r="H112" i="143" s="1"/>
  <c r="I84" i="153"/>
  <c r="B142" i="143"/>
  <c r="B11" i="148"/>
  <c r="J11" i="148" s="1"/>
  <c r="B44" i="143"/>
  <c r="B57" i="148"/>
  <c r="H57" i="148" s="1"/>
  <c r="B16" i="143"/>
  <c r="B72" i="148"/>
  <c r="B38" i="143"/>
  <c r="B70" i="148"/>
  <c r="B38" i="148"/>
  <c r="B130" i="143"/>
  <c r="B25" i="148"/>
  <c r="B50" i="147"/>
  <c r="B99" i="147"/>
  <c r="B101" i="147"/>
  <c r="B54" i="148"/>
  <c r="H54" i="148" s="1"/>
  <c r="B14" i="148"/>
  <c r="K13" i="143"/>
  <c r="B9" i="148"/>
  <c r="B52" i="143"/>
  <c r="B37" i="147"/>
  <c r="B12" i="148"/>
  <c r="B60" i="147"/>
  <c r="B107" i="143"/>
  <c r="H107" i="143" s="1"/>
  <c r="B139" i="143"/>
  <c r="B10" i="143"/>
  <c r="B49" i="143"/>
  <c r="B26" i="143"/>
  <c r="B71" i="147"/>
  <c r="H71" i="147" s="1"/>
  <c r="B53" i="147"/>
  <c r="B79" i="147"/>
  <c r="H79" i="147" s="1"/>
  <c r="B73" i="148"/>
  <c r="B75" i="148"/>
  <c r="B8" i="147"/>
  <c r="K8" i="147" s="1"/>
  <c r="B10" i="147"/>
  <c r="B58" i="147"/>
  <c r="B96" i="143"/>
  <c r="H96" i="143" s="1"/>
  <c r="B94" i="147"/>
  <c r="B31" i="147"/>
  <c r="B73" i="147"/>
  <c r="H73" i="147" s="1"/>
  <c r="K24" i="143"/>
  <c r="H21" i="147"/>
  <c r="F92" i="153"/>
  <c r="H84" i="153" s="1"/>
  <c r="J84" i="153" s="1"/>
  <c r="W43" i="137"/>
  <c r="W44" i="137" s="1"/>
  <c r="AS44" i="137"/>
  <c r="BZ44" i="137" s="1"/>
  <c r="I40" i="149"/>
  <c r="I43" i="149"/>
  <c r="D41" i="149"/>
  <c r="K42" i="149"/>
  <c r="D43" i="149"/>
  <c r="L50" i="149"/>
  <c r="D38" i="149"/>
  <c r="K7" i="143" s="1"/>
  <c r="F93" i="143" s="1"/>
  <c r="M44" i="149"/>
  <c r="D40" i="149"/>
  <c r="O43" i="149"/>
  <c r="M42" i="149"/>
  <c r="S39" i="149"/>
  <c r="K7" i="146" s="1"/>
  <c r="F30" i="146" s="1"/>
  <c r="I30" i="146" s="1"/>
  <c r="S55" i="149"/>
  <c r="T55" i="149" s="1"/>
  <c r="I42" i="149"/>
  <c r="I45" i="149" s="1"/>
  <c r="L51" i="149"/>
  <c r="M51" i="149"/>
  <c r="R40" i="149"/>
  <c r="K9" i="147" s="1"/>
  <c r="J40" i="149"/>
  <c r="K12" i="147" s="1"/>
  <c r="J41" i="149"/>
  <c r="G38" i="149"/>
  <c r="K10" i="143" s="1"/>
  <c r="I44" i="149"/>
  <c r="G44" i="149"/>
  <c r="L44" i="149"/>
  <c r="M41" i="149"/>
  <c r="E39" i="149"/>
  <c r="E45" i="149" s="1"/>
  <c r="G41" i="149"/>
  <c r="J42" i="149"/>
  <c r="R38" i="149"/>
  <c r="K14" i="143" s="1"/>
  <c r="I49" i="149"/>
  <c r="Q47" i="149"/>
  <c r="K28" i="143" s="1"/>
  <c r="J47" i="149"/>
  <c r="K22" i="143" s="1"/>
  <c r="R39" i="149"/>
  <c r="E49" i="149"/>
  <c r="K14" i="147" s="1"/>
  <c r="E48" i="149"/>
  <c r="E50" i="149"/>
  <c r="H49" i="149"/>
  <c r="K18" i="147" s="1"/>
  <c r="Q48" i="149"/>
  <c r="J38" i="149"/>
  <c r="K11" i="143" s="1"/>
  <c r="F49" i="149"/>
  <c r="E47" i="149"/>
  <c r="K19" i="143" s="1"/>
  <c r="R42" i="149"/>
  <c r="Q39" i="149"/>
  <c r="F47" i="149"/>
  <c r="K20" i="143" s="1"/>
  <c r="F53" i="149"/>
  <c r="N47" i="149"/>
  <c r="F51" i="149"/>
  <c r="I50" i="149"/>
  <c r="H39" i="149"/>
  <c r="R49" i="149"/>
  <c r="K17" i="147" s="1"/>
  <c r="R48" i="149"/>
  <c r="P39" i="149"/>
  <c r="L39" i="149"/>
  <c r="G49" i="149"/>
  <c r="K15" i="147" s="1"/>
  <c r="R51" i="149"/>
  <c r="R47" i="149"/>
  <c r="K25" i="143" s="1"/>
  <c r="P52" i="149"/>
  <c r="P51" i="149"/>
  <c r="P44" i="149"/>
  <c r="I51" i="149"/>
  <c r="R43" i="149"/>
  <c r="G50" i="149"/>
  <c r="H40" i="149"/>
  <c r="K10" i="147" s="1"/>
  <c r="Q53" i="149"/>
  <c r="M52" i="149"/>
  <c r="P53" i="149"/>
  <c r="G51" i="149"/>
  <c r="P40" i="149"/>
  <c r="Q49" i="149"/>
  <c r="D53" i="149"/>
  <c r="Q52" i="149"/>
  <c r="D51" i="149"/>
  <c r="D52" i="149"/>
  <c r="M47" i="149"/>
  <c r="J43" i="149"/>
  <c r="G47" i="149"/>
  <c r="K21" i="143" s="1"/>
  <c r="R50" i="149"/>
  <c r="G53" i="149"/>
  <c r="H43" i="149"/>
  <c r="H42" i="149"/>
  <c r="P47" i="149"/>
  <c r="P49" i="149"/>
  <c r="P38" i="149"/>
  <c r="H38" i="149"/>
  <c r="K17" i="143" s="1"/>
  <c r="P43" i="149"/>
  <c r="P42" i="149"/>
  <c r="S53" i="149"/>
  <c r="I47" i="153" s="1"/>
  <c r="F54" i="153" s="1"/>
  <c r="H47" i="153" s="1"/>
  <c r="R52" i="149"/>
  <c r="F42" i="149"/>
  <c r="M38" i="149"/>
  <c r="K15" i="143" s="1"/>
  <c r="T5" i="149"/>
  <c r="J48" i="149"/>
  <c r="Q41" i="149"/>
  <c r="J50" i="149"/>
  <c r="S47" i="149"/>
  <c r="K27" i="143" s="1"/>
  <c r="F41" i="149"/>
  <c r="Q43" i="149"/>
  <c r="S48" i="149"/>
  <c r="K8" i="146" s="1"/>
  <c r="F31" i="146" s="1"/>
  <c r="N42" i="149"/>
  <c r="G52" i="149"/>
  <c r="K52" i="149"/>
  <c r="Q40" i="149"/>
  <c r="O42" i="149"/>
  <c r="J53" i="149"/>
  <c r="Q38" i="149"/>
  <c r="F43" i="149"/>
  <c r="K50" i="149"/>
  <c r="M50" i="149"/>
  <c r="J14" i="148" s="1"/>
  <c r="F44" i="149"/>
  <c r="F48" i="149"/>
  <c r="D39" i="149"/>
  <c r="D45" i="149" s="1"/>
  <c r="S52" i="149"/>
  <c r="I8" i="153" s="1"/>
  <c r="F17" i="153" s="1"/>
  <c r="H8" i="153" s="1"/>
  <c r="J8" i="153" s="1"/>
  <c r="M53" i="149"/>
  <c r="M49" i="149"/>
  <c r="K19" i="147" s="1"/>
  <c r="D47" i="149"/>
  <c r="K18" i="143" s="1"/>
  <c r="N51" i="149"/>
  <c r="S50" i="149"/>
  <c r="J16" i="148" s="1"/>
  <c r="K49" i="149"/>
  <c r="K53" i="149"/>
  <c r="Q42" i="149"/>
  <c r="H41" i="149"/>
  <c r="J8" i="148" s="1"/>
  <c r="T6" i="149"/>
  <c r="D48" i="149"/>
  <c r="D49" i="149"/>
  <c r="F38" i="149"/>
  <c r="K9" i="143" s="1"/>
  <c r="I53" i="149"/>
  <c r="O41" i="149"/>
  <c r="S49" i="149"/>
  <c r="K21" i="147" s="1"/>
  <c r="F40" i="149"/>
  <c r="N40" i="149"/>
  <c r="N48" i="149"/>
  <c r="J52" i="149"/>
  <c r="O40" i="149"/>
  <c r="I133" i="153"/>
  <c r="F139" i="153" s="1"/>
  <c r="H133" i="153" s="1"/>
  <c r="J133" i="153" s="1"/>
  <c r="K8" i="143"/>
  <c r="K43" i="149"/>
  <c r="K51" i="149"/>
  <c r="F50" i="149"/>
  <c r="K38" i="149"/>
  <c r="S40" i="149"/>
  <c r="K13" i="147" s="1"/>
  <c r="H53" i="149"/>
  <c r="K41" i="149"/>
  <c r="N38" i="149"/>
  <c r="S43" i="149"/>
  <c r="I7" i="153" s="1"/>
  <c r="F16" i="153" s="1"/>
  <c r="H7" i="153" s="1"/>
  <c r="J7" i="153" s="1"/>
  <c r="O47" i="149"/>
  <c r="N50" i="149"/>
  <c r="J15" i="148" s="1"/>
  <c r="S38" i="149"/>
  <c r="N52" i="149"/>
  <c r="M43" i="149"/>
  <c r="L49" i="149"/>
  <c r="N49" i="149"/>
  <c r="R44" i="149"/>
  <c r="P50" i="149"/>
  <c r="G39" i="149"/>
  <c r="H47" i="149"/>
  <c r="H48" i="149"/>
  <c r="L52" i="149"/>
  <c r="O51" i="149"/>
  <c r="G43" i="149"/>
  <c r="N44" i="149"/>
  <c r="K39" i="149"/>
  <c r="J51" i="149"/>
  <c r="E53" i="149"/>
  <c r="K47" i="149"/>
  <c r="H52" i="149"/>
  <c r="M40" i="149"/>
  <c r="K11" i="147" s="1"/>
  <c r="J44" i="149"/>
  <c r="N43" i="149"/>
  <c r="K40" i="149"/>
  <c r="O49" i="149"/>
  <c r="L53" i="149"/>
  <c r="H50" i="149"/>
  <c r="J13" i="148" s="1"/>
  <c r="S44" i="149"/>
  <c r="I46" i="153" s="1"/>
  <c r="F53" i="153" s="1"/>
  <c r="H46" i="153" s="1"/>
  <c r="N39" i="149"/>
  <c r="G40" i="149"/>
  <c r="S42" i="149"/>
  <c r="I83" i="153" s="1"/>
  <c r="F91" i="153" s="1"/>
  <c r="H83" i="153" s="1"/>
  <c r="J83" i="153" s="1"/>
  <c r="L48" i="149"/>
  <c r="O52" i="149"/>
  <c r="O48" i="149"/>
  <c r="O50" i="149"/>
  <c r="K26" i="143" l="1"/>
  <c r="J9" i="148"/>
  <c r="J12" i="148"/>
  <c r="I7" i="146"/>
  <c r="F30" i="142" s="1"/>
  <c r="K30" i="142" s="1"/>
  <c r="J7" i="146"/>
  <c r="L30" i="142" s="1"/>
  <c r="I93" i="143"/>
  <c r="J7" i="143"/>
  <c r="L7" i="143" s="1"/>
  <c r="I7" i="143"/>
  <c r="L45" i="149"/>
  <c r="O45" i="149"/>
  <c r="E54" i="149"/>
  <c r="P45" i="149"/>
  <c r="R45" i="149"/>
  <c r="M54" i="149"/>
  <c r="T40" i="149"/>
  <c r="G55" i="142" s="1"/>
  <c r="F8" i="147" s="1"/>
  <c r="F71" i="147" s="1"/>
  <c r="I54" i="149"/>
  <c r="Q54" i="149"/>
  <c r="G54" i="149"/>
  <c r="T51" i="149"/>
  <c r="D54" i="149"/>
  <c r="N54" i="149"/>
  <c r="R54" i="149"/>
  <c r="H45" i="149"/>
  <c r="F45" i="149"/>
  <c r="P54" i="149"/>
  <c r="T48" i="149"/>
  <c r="Q45" i="149"/>
  <c r="T41" i="149"/>
  <c r="C84" i="142" s="1"/>
  <c r="F10" i="148" s="1"/>
  <c r="L54" i="149"/>
  <c r="T43" i="149"/>
  <c r="N45" i="149"/>
  <c r="S54" i="149"/>
  <c r="T52" i="149"/>
  <c r="F54" i="149"/>
  <c r="I8" i="146"/>
  <c r="F31" i="142" s="1"/>
  <c r="K31" i="142" s="1"/>
  <c r="I31" i="146"/>
  <c r="J8" i="146"/>
  <c r="T44" i="149"/>
  <c r="K12" i="143"/>
  <c r="K45" i="149"/>
  <c r="T53" i="149"/>
  <c r="H54" i="149"/>
  <c r="K29" i="143"/>
  <c r="K54" i="149"/>
  <c r="K23" i="143"/>
  <c r="J45" i="149"/>
  <c r="S45" i="149"/>
  <c r="K16" i="143"/>
  <c r="T50" i="149"/>
  <c r="O54" i="149"/>
  <c r="T47" i="149"/>
  <c r="M45" i="149"/>
  <c r="T38" i="149"/>
  <c r="G45" i="149"/>
  <c r="T39" i="149"/>
  <c r="T42" i="149"/>
  <c r="J54" i="149"/>
  <c r="K16" i="147"/>
  <c r="T49" i="149"/>
  <c r="L7" i="146" l="1"/>
  <c r="G58" i="142"/>
  <c r="F11" i="147" s="1"/>
  <c r="C85" i="142"/>
  <c r="F11" i="148" s="1"/>
  <c r="F27" i="148" s="1"/>
  <c r="G60" i="142"/>
  <c r="F13" i="147" s="1"/>
  <c r="G57" i="142"/>
  <c r="F10" i="147" s="1"/>
  <c r="G56" i="142"/>
  <c r="F9" i="147" s="1"/>
  <c r="G59" i="142"/>
  <c r="F12" i="147" s="1"/>
  <c r="F75" i="147" s="1"/>
  <c r="C81" i="142"/>
  <c r="F7" i="148" s="1"/>
  <c r="G54" i="142"/>
  <c r="C82" i="142"/>
  <c r="F8" i="148" s="1"/>
  <c r="F24" i="148" s="1"/>
  <c r="I24" i="148" s="1"/>
  <c r="C83" i="142"/>
  <c r="F9" i="148" s="1"/>
  <c r="F25" i="148" s="1"/>
  <c r="L8" i="146"/>
  <c r="L31" i="142"/>
  <c r="C75" i="142"/>
  <c r="F28" i="143" s="1"/>
  <c r="F114" i="143" s="1"/>
  <c r="C70" i="142"/>
  <c r="F23" i="143" s="1"/>
  <c r="F109" i="143" s="1"/>
  <c r="C76" i="142"/>
  <c r="F29" i="143" s="1"/>
  <c r="F115" i="143" s="1"/>
  <c r="T54" i="149"/>
  <c r="C71" i="142"/>
  <c r="F24" i="143" s="1"/>
  <c r="F110" i="143" s="1"/>
  <c r="C72" i="142"/>
  <c r="F25" i="143" s="1"/>
  <c r="F111" i="143" s="1"/>
  <c r="C65" i="142"/>
  <c r="C66" i="142"/>
  <c r="F19" i="143" s="1"/>
  <c r="F105" i="143" s="1"/>
  <c r="C73" i="142"/>
  <c r="F26" i="143" s="1"/>
  <c r="F112" i="143" s="1"/>
  <c r="C69" i="142"/>
  <c r="F22" i="143" s="1"/>
  <c r="F108" i="143" s="1"/>
  <c r="C74" i="142"/>
  <c r="F27" i="143" s="1"/>
  <c r="F113" i="143" s="1"/>
  <c r="C67" i="142"/>
  <c r="F20" i="143" s="1"/>
  <c r="F106" i="143" s="1"/>
  <c r="C68" i="142"/>
  <c r="F21" i="143" s="1"/>
  <c r="F107" i="143" s="1"/>
  <c r="G68" i="142"/>
  <c r="F21" i="147" s="1"/>
  <c r="F84" i="147" s="1"/>
  <c r="G67" i="142"/>
  <c r="F20" i="147" s="1"/>
  <c r="F83" i="147" s="1"/>
  <c r="G64" i="142"/>
  <c r="F17" i="147" s="1"/>
  <c r="F80" i="147" s="1"/>
  <c r="G62" i="142"/>
  <c r="F15" i="147" s="1"/>
  <c r="F78" i="147" s="1"/>
  <c r="G66" i="142"/>
  <c r="F19" i="147" s="1"/>
  <c r="F82" i="147" s="1"/>
  <c r="G63" i="142"/>
  <c r="F16" i="147" s="1"/>
  <c r="G65" i="142"/>
  <c r="F18" i="147" s="1"/>
  <c r="F81" i="147" s="1"/>
  <c r="G61" i="142"/>
  <c r="C59" i="142"/>
  <c r="F12" i="143" s="1"/>
  <c r="C63" i="142"/>
  <c r="F16" i="143" s="1"/>
  <c r="C64" i="142"/>
  <c r="F17" i="143" s="1"/>
  <c r="F103" i="143" s="1"/>
  <c r="C56" i="142"/>
  <c r="F9" i="143" s="1"/>
  <c r="F95" i="143" s="1"/>
  <c r="C58" i="142"/>
  <c r="F11" i="143" s="1"/>
  <c r="F97" i="143" s="1"/>
  <c r="C61" i="142"/>
  <c r="F14" i="143" s="1"/>
  <c r="F100" i="143" s="1"/>
  <c r="C55" i="142"/>
  <c r="C57" i="142"/>
  <c r="F10" i="143" s="1"/>
  <c r="F96" i="143" s="1"/>
  <c r="T45" i="149"/>
  <c r="C60" i="142"/>
  <c r="F13" i="143" s="1"/>
  <c r="F99" i="143" s="1"/>
  <c r="C62" i="142"/>
  <c r="F15" i="143" s="1"/>
  <c r="F101" i="143" s="1"/>
  <c r="C90" i="142"/>
  <c r="F16" i="148" s="1"/>
  <c r="C89" i="142"/>
  <c r="F15" i="148" s="1"/>
  <c r="C86" i="142"/>
  <c r="C87" i="142"/>
  <c r="F13" i="148" s="1"/>
  <c r="C88" i="142"/>
  <c r="F14" i="148" s="1"/>
  <c r="F26" i="148"/>
  <c r="I71" i="147"/>
  <c r="F72" i="147" l="1"/>
  <c r="J9" i="147" s="1"/>
  <c r="L9" i="147" s="1"/>
  <c r="F76" i="147"/>
  <c r="I76" i="147" s="1"/>
  <c r="F73" i="147"/>
  <c r="I10" i="147" s="1"/>
  <c r="F74" i="147"/>
  <c r="I11" i="147" s="1"/>
  <c r="F79" i="147"/>
  <c r="I79" i="147" s="1"/>
  <c r="F7" i="147"/>
  <c r="H60" i="142"/>
  <c r="F14" i="147"/>
  <c r="H68" i="142"/>
  <c r="I115" i="143"/>
  <c r="I109" i="143"/>
  <c r="F98" i="143"/>
  <c r="I98" i="143" s="1"/>
  <c r="F102" i="143"/>
  <c r="I102" i="143" s="1"/>
  <c r="I10" i="148"/>
  <c r="I26" i="148"/>
  <c r="I9" i="148"/>
  <c r="I25" i="148"/>
  <c r="I11" i="148"/>
  <c r="I27" i="148"/>
  <c r="D85" i="142"/>
  <c r="I8" i="148"/>
  <c r="I75" i="147"/>
  <c r="J12" i="147"/>
  <c r="L12" i="147" s="1"/>
  <c r="I9" i="147"/>
  <c r="I84" i="147"/>
  <c r="I97" i="143"/>
  <c r="I110" i="143"/>
  <c r="I95" i="143"/>
  <c r="I81" i="147"/>
  <c r="I106" i="143"/>
  <c r="F30" i="148"/>
  <c r="I101" i="143"/>
  <c r="I103" i="143"/>
  <c r="F23" i="148"/>
  <c r="I23" i="148" s="1"/>
  <c r="I16" i="147"/>
  <c r="J16" i="147"/>
  <c r="L16" i="147" s="1"/>
  <c r="I113" i="143"/>
  <c r="I29" i="143"/>
  <c r="J29" i="143"/>
  <c r="L29" i="143" s="1"/>
  <c r="I82" i="147"/>
  <c r="I78" i="147"/>
  <c r="I112" i="143"/>
  <c r="I114" i="143"/>
  <c r="F29" i="148"/>
  <c r="J23" i="143"/>
  <c r="L23" i="143" s="1"/>
  <c r="I23" i="143"/>
  <c r="D90" i="142"/>
  <c r="F12" i="148"/>
  <c r="F31" i="148"/>
  <c r="I96" i="143"/>
  <c r="J10" i="147"/>
  <c r="L10" i="147" s="1"/>
  <c r="I12" i="147"/>
  <c r="I80" i="147"/>
  <c r="I105" i="143"/>
  <c r="I99" i="143"/>
  <c r="I108" i="143"/>
  <c r="I8" i="147"/>
  <c r="J8" i="147"/>
  <c r="L8" i="147" s="1"/>
  <c r="F32" i="148"/>
  <c r="F8" i="143"/>
  <c r="F94" i="143" s="1"/>
  <c r="D64" i="142"/>
  <c r="I83" i="147"/>
  <c r="F18" i="143"/>
  <c r="F104" i="143" s="1"/>
  <c r="D76" i="142"/>
  <c r="I111" i="143"/>
  <c r="I100" i="143"/>
  <c r="I107" i="143"/>
  <c r="F77" i="147" l="1"/>
  <c r="I77" i="147" s="1"/>
  <c r="I72" i="147"/>
  <c r="J13" i="147"/>
  <c r="L13" i="147" s="1"/>
  <c r="I13" i="147"/>
  <c r="I73" i="147"/>
  <c r="F70" i="147"/>
  <c r="J7" i="147" s="1"/>
  <c r="L7" i="147" s="1"/>
  <c r="J11" i="147"/>
  <c r="L11" i="147" s="1"/>
  <c r="I74" i="147"/>
  <c r="I7" i="147"/>
  <c r="F28" i="142" s="1"/>
  <c r="K28" i="142" s="1"/>
  <c r="J16" i="143"/>
  <c r="L16" i="143" s="1"/>
  <c r="I16" i="143"/>
  <c r="J12" i="143"/>
  <c r="L12" i="143" s="1"/>
  <c r="I7" i="148"/>
  <c r="I12" i="143"/>
  <c r="I16" i="148"/>
  <c r="I32" i="148"/>
  <c r="I13" i="148"/>
  <c r="I29" i="148"/>
  <c r="I14" i="148"/>
  <c r="I30" i="148"/>
  <c r="I15" i="148"/>
  <c r="I31" i="148"/>
  <c r="I25" i="143"/>
  <c r="J24" i="143"/>
  <c r="L24" i="143" s="1"/>
  <c r="I9" i="143"/>
  <c r="J19" i="147"/>
  <c r="L19" i="147" s="1"/>
  <c r="J10" i="143"/>
  <c r="L10" i="143" s="1"/>
  <c r="I27" i="143"/>
  <c r="J20" i="143"/>
  <c r="L20" i="143" s="1"/>
  <c r="J14" i="143"/>
  <c r="L14" i="143" s="1"/>
  <c r="I17" i="143"/>
  <c r="J17" i="143"/>
  <c r="L17" i="143" s="1"/>
  <c r="J18" i="147"/>
  <c r="L18" i="147" s="1"/>
  <c r="J20" i="147"/>
  <c r="L20" i="147" s="1"/>
  <c r="J27" i="143"/>
  <c r="L27" i="143" s="1"/>
  <c r="J9" i="143"/>
  <c r="L9" i="143" s="1"/>
  <c r="I21" i="147"/>
  <c r="J21" i="147"/>
  <c r="L21" i="147" s="1"/>
  <c r="I20" i="143"/>
  <c r="J26" i="143"/>
  <c r="L26" i="143" s="1"/>
  <c r="J21" i="143"/>
  <c r="L21" i="143" s="1"/>
  <c r="J25" i="143"/>
  <c r="L25" i="143" s="1"/>
  <c r="J22" i="143"/>
  <c r="L22" i="143" s="1"/>
  <c r="J19" i="143"/>
  <c r="L19" i="143" s="1"/>
  <c r="I10" i="143"/>
  <c r="I26" i="143"/>
  <c r="J11" i="143"/>
  <c r="L11" i="143" s="1"/>
  <c r="I19" i="143"/>
  <c r="I21" i="143"/>
  <c r="I94" i="143"/>
  <c r="I22" i="143"/>
  <c r="I17" i="147"/>
  <c r="I15" i="147"/>
  <c r="I11" i="143"/>
  <c r="F28" i="148"/>
  <c r="I28" i="148" s="1"/>
  <c r="J15" i="147"/>
  <c r="L15" i="147" s="1"/>
  <c r="I24" i="143"/>
  <c r="J28" i="143"/>
  <c r="L28" i="143" s="1"/>
  <c r="J15" i="143"/>
  <c r="L15" i="143" s="1"/>
  <c r="I104" i="143"/>
  <c r="J17" i="147"/>
  <c r="L17" i="147" s="1"/>
  <c r="I13" i="143"/>
  <c r="I14" i="143"/>
  <c r="I20" i="147"/>
  <c r="J13" i="143"/>
  <c r="L13" i="143" s="1"/>
  <c r="I28" i="143"/>
  <c r="I19" i="147"/>
  <c r="I15" i="143"/>
  <c r="I18" i="147"/>
  <c r="I14" i="147"/>
  <c r="J14" i="147" l="1"/>
  <c r="I70" i="147"/>
  <c r="L28" i="142"/>
  <c r="I12" i="148"/>
  <c r="F29" i="142"/>
  <c r="K29" i="142" s="1"/>
  <c r="L14" i="147"/>
  <c r="L29" i="142"/>
  <c r="J18" i="143"/>
  <c r="I8" i="143"/>
  <c r="F26" i="142" s="1"/>
  <c r="K26" i="142" s="1"/>
  <c r="I18" i="143"/>
  <c r="F27" i="142" s="1"/>
  <c r="K27" i="142" s="1"/>
  <c r="J8" i="143"/>
  <c r="L8" i="143" l="1"/>
  <c r="L26" i="142"/>
  <c r="L18" i="143"/>
  <c r="L27" i="1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AS36" authorId="0" shapeId="0" xr:uid="{B7B6ED76-BA37-4225-9F11-F47BEE139A08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IEA reportr 283 ktoe of other oil prod such as refinery gas, lubrificants, bitumen, etc…. 
NOT inlcuded here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Corporate Edition</author>
  </authors>
  <commentList>
    <comment ref="B5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B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5" authorId="0" shapeId="0" xr:uid="{00000000-0006-0000-0B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5" authorId="1" shapeId="0" xr:uid="{00000000-0006-0000-0B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5" authorId="2" shapeId="0" xr:uid="{00000000-0006-0000-0B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2" shapeId="0" xr:uid="{00000000-0006-0000-0B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5" authorId="2" shapeId="0" xr:uid="{00000000-0006-0000-0B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X5" authorId="0" shapeId="0" xr:uid="{00000000-0006-0000-0B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5" authorId="1" shapeId="0" xr:uid="{00000000-0006-0000-0B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5" authorId="2" shapeId="0" xr:uid="{00000000-0006-0000-0B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5" authorId="2" shapeId="0" xr:uid="{00000000-0006-0000-0B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5" authorId="2" shapeId="0" xr:uid="{00000000-0006-0000-0B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Q6" authorId="3" shapeId="0" xr:uid="{00000000-0006-0000-0B00-000010000000}">
      <text>
        <r>
          <rPr>
            <b/>
            <sz val="9"/>
            <color indexed="81"/>
            <rFont val="Tahoma"/>
            <family val="2"/>
          </rPr>
          <t>Gg = ktons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Q5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5" authorId="0" shapeId="0" xr:uid="{00000000-0006-0000-03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6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5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2" authorId="0" shapeId="0" xr:uid="{00000000-0006-0000-04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1" authorId="0" shapeId="0" xr:uid="{00000000-0006-0000-04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0" authorId="0" shapeId="0" xr:uid="{00000000-0006-0000-04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9" authorId="0" shapeId="0" xr:uid="{00000000-0006-0000-04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5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5" authorId="0" shapeId="0" xr:uid="{00000000-0006-0000-05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6" authorId="0" shapeId="0" xr:uid="{00000000-0006-0000-05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7" authorId="0" shapeId="0" xr:uid="{00000000-0006-0000-05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8" authorId="0" shapeId="0" xr:uid="{00000000-0006-0000-05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1" authorId="0" shapeId="0" xr:uid="{00000000-0006-0000-06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9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7" authorId="0" shapeId="0" xr:uid="{00000000-0006-0000-06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4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5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5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6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0" authorId="0" shapeId="0" xr:uid="{00000000-0006-0000-07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5" authorId="0" shapeId="0" xr:uid="{00000000-0006-0000-07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0" authorId="0" shapeId="0" xr:uid="{00000000-0006-0000-07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5" authorId="0" shapeId="0" xr:uid="{00000000-0006-0000-07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8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R5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5" authorId="0" shapeId="0" xr:uid="{00000000-0006-0000-08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3" authorId="0" shapeId="0" xr:uid="{00000000-0006-0000-08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0" authorId="0" shapeId="0" xr:uid="{00000000-0006-0000-08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7" authorId="0" shapeId="0" xr:uid="{00000000-0006-0000-08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5" authorId="0" shapeId="0" xr:uid="{00000000-0006-0000-08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3" authorId="0" shapeId="0" xr:uid="{00000000-0006-0000-08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0" authorId="0" shapeId="0" xr:uid="{00000000-0006-0000-08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7" authorId="0" shapeId="0" xr:uid="{00000000-0006-0000-08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4" authorId="0" shapeId="0" xr:uid="{00000000-0006-0000-0800-00000D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1" authorId="0" shapeId="0" xr:uid="{00000000-0006-0000-0800-00000E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0" authorId="0" shapeId="0" xr:uid="{00000000-0006-0000-0800-00000F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8" authorId="0" shapeId="0" xr:uid="{00000000-0006-0000-0800-000010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6" authorId="0" shapeId="0" xr:uid="{00000000-0006-0000-0800-00001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04" authorId="0" shapeId="0" xr:uid="{00000000-0006-0000-0800-00001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2" authorId="0" shapeId="0" xr:uid="{00000000-0006-0000-0800-000013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20" authorId="0" shapeId="0" xr:uid="{00000000-0006-0000-0800-000014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0" authorId="0" shapeId="0" xr:uid="{00000000-0006-0000-0800-00001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6" authorId="0" shapeId="0" xr:uid="{00000000-0006-0000-0800-00001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2" authorId="0" shapeId="0" xr:uid="{00000000-0006-0000-0800-00001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8" authorId="0" shapeId="0" xr:uid="{00000000-0006-0000-0800-00001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4" authorId="0" shapeId="0" xr:uid="{00000000-0006-0000-0800-00001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S7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9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8" authorId="0" shapeId="0" xr:uid="{00000000-0006-0000-09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D38" authorId="0" shapeId="0" xr:uid="{926D559D-F76A-46B6-B454-F3708832B548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Corporate Edition</author>
  </authors>
  <commentList>
    <comment ref="K5" authorId="0" shapeId="0" xr:uid="{00000000-0006-0000-0A00-000001000000}">
      <text>
        <r>
          <rPr>
            <sz val="9"/>
            <color indexed="81"/>
            <rFont val="Tahoma"/>
            <family val="2"/>
          </rPr>
          <t xml:space="preserve">112 kg/GJ
</t>
        </r>
      </text>
    </comment>
    <comment ref="L5" authorId="0" shapeId="0" xr:uid="{7D95701A-CDFF-4BB9-96D2-FC0B5663C32E}">
      <text>
        <r>
          <rPr>
            <sz val="9"/>
            <color indexed="81"/>
            <rFont val="Tahoma"/>
            <family val="2"/>
          </rPr>
          <t xml:space="preserve">112 kg/GJ
</t>
        </r>
      </text>
    </comment>
  </commentList>
</comments>
</file>

<file path=xl/sharedStrings.xml><?xml version="1.0" encoding="utf-8"?>
<sst xmlns="http://schemas.openxmlformats.org/spreadsheetml/2006/main" count="1606" uniqueCount="601">
  <si>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</si>
  <si>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</si>
  <si>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</si>
  <si>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</si>
  <si>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</si>
  <si>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</si>
  <si>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</si>
  <si>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</si>
  <si>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</si>
  <si>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</si>
  <si>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</si>
  <si>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</si>
  <si>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</si>
  <si>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</si>
  <si>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</si>
  <si>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</si>
  <si>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</si>
  <si>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</si>
  <si>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</si>
  <si>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</si>
  <si>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</si>
  <si>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</si>
  <si>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</si>
  <si>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</si>
  <si>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</si>
  <si>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</si>
  <si>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</si>
  <si>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</si>
  <si>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</si>
  <si>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</si>
  <si>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</si>
  <si>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</si>
  <si>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</si>
  <si>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</si>
  <si>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</si>
  <si>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</si>
  <si>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</si>
  <si>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</si>
  <si>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</si>
  <si>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</si>
  <si>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</si>
  <si>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</si>
  <si>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</si>
  <si>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</si>
  <si>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</si>
  <si>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</si>
  <si>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</si>
  <si>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</si>
  <si>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</si>
  <si>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</si>
  <si>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</si>
  <si>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</si>
  <si>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</si>
  <si>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</si>
  <si>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</si>
  <si>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</si>
  <si>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</si>
  <si>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</si>
  <si>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</si>
  <si>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</si>
  <si>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</si>
  <si>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</si>
  <si>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</si>
  <si>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</si>
  <si>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</si>
  <si>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</si>
  <si>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OILKER</t>
  </si>
  <si>
    <t>Kerosene</t>
  </si>
  <si>
    <t>Naphtha</t>
  </si>
  <si>
    <t>Petroleum Coke</t>
  </si>
  <si>
    <t>Bitumen</t>
  </si>
  <si>
    <t>Lubricants</t>
  </si>
  <si>
    <t>OILOTH</t>
  </si>
  <si>
    <t>Other petroleum products</t>
  </si>
  <si>
    <t>GASNAT</t>
  </si>
  <si>
    <t>Natural Gas</t>
  </si>
  <si>
    <t>BIOLOG</t>
  </si>
  <si>
    <t>Wood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</si>
  <si>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</si>
  <si>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</si>
  <si>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</si>
  <si>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</si>
  <si>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</si>
  <si>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</si>
  <si>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</si>
  <si>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</si>
  <si>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</si>
  <si>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</si>
  <si>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RESSOL</t>
  </si>
  <si>
    <t>Solar Energy</t>
  </si>
  <si>
    <t>RESGEO</t>
  </si>
  <si>
    <t>Geothermal Energy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</si>
  <si>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</si>
  <si>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</si>
  <si>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</si>
  <si>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</si>
  <si>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</si>
  <si>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</si>
  <si>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ENV</t>
  </si>
  <si>
    <t>Gg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</si>
  <si>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</si>
  <si>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</si>
  <si>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</si>
  <si>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</si>
  <si>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</si>
  <si>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</si>
  <si>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*Region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</si>
  <si>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</si>
  <si>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</si>
  <si>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</si>
  <si>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</si>
  <si>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</si>
  <si>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</si>
  <si>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</si>
  <si>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</si>
  <si>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</si>
  <si>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</si>
  <si>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</si>
  <si>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</si>
  <si>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</si>
  <si>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</si>
  <si>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</si>
  <si>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</si>
  <si>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</si>
  <si>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</si>
  <si>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</si>
  <si>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</si>
  <si>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</si>
  <si>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</si>
  <si>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</si>
  <si>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</si>
  <si>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</si>
  <si>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</si>
  <si>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</si>
  <si>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</si>
  <si>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</si>
  <si>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</si>
  <si>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</si>
  <si>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</si>
  <si>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</si>
  <si>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</si>
  <si>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</si>
  <si>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</si>
  <si>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</si>
  <si>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</si>
  <si>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</si>
  <si>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</si>
  <si>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</si>
  <si>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</si>
  <si>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</si>
  <si>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</si>
  <si>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</si>
  <si>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</si>
  <si>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</si>
  <si>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</si>
  <si>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</si>
  <si>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</si>
  <si>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</si>
  <si>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</si>
  <si>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</si>
  <si>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</si>
  <si>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</si>
  <si>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</si>
  <si>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</si>
  <si>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</si>
  <si>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</si>
  <si>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</si>
  <si>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</si>
  <si>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</si>
  <si>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</si>
  <si>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</si>
  <si>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</si>
  <si>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</si>
  <si>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</si>
  <si>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</si>
  <si>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</si>
  <si>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</si>
  <si>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</si>
  <si>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</si>
  <si>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</si>
  <si>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</si>
  <si>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</si>
  <si>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</si>
  <si>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</si>
  <si>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</si>
  <si>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</si>
  <si>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</si>
  <si>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</si>
  <si>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</si>
  <si>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</si>
  <si>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</si>
  <si>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</si>
  <si>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</si>
  <si>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</si>
  <si>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</si>
  <si>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</si>
  <si>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</si>
  <si>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</si>
  <si>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</si>
  <si>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</si>
  <si>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</si>
  <si>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</si>
  <si>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</si>
  <si>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</si>
  <si>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</si>
  <si>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</si>
  <si>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</si>
  <si>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</si>
  <si>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</si>
  <si>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</si>
  <si>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</si>
  <si>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</si>
  <si>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</si>
  <si>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</si>
  <si>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</si>
  <si>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</si>
  <si>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</si>
  <si>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</si>
  <si>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</si>
  <si>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</si>
  <si>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</si>
  <si>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</si>
  <si>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</si>
  <si>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</si>
  <si>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</si>
  <si>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</si>
  <si>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</si>
  <si>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Attribute</t>
  </si>
  <si>
    <t>PRC_RESID</t>
  </si>
  <si>
    <t>*Units:</t>
  </si>
  <si>
    <t>PRE</t>
  </si>
  <si>
    <t>Activity to Capacity Units</t>
  </si>
  <si>
    <t>ELE</t>
  </si>
  <si>
    <t>DEM</t>
  </si>
  <si>
    <t>Years</t>
  </si>
  <si>
    <t>Commodity</t>
  </si>
  <si>
    <t>ACT_BND</t>
  </si>
  <si>
    <t>Yes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</si>
  <si>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</si>
  <si>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</si>
  <si>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</si>
  <si>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</si>
  <si>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</si>
  <si>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</si>
  <si>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</si>
  <si>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</si>
  <si>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</si>
  <si>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</si>
  <si>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</si>
  <si>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</si>
  <si>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</si>
  <si>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</si>
  <si>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</si>
  <si>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</si>
  <si>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</si>
  <si>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</si>
  <si>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</si>
  <si>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</si>
  <si>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</si>
  <si>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</si>
  <si>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</si>
  <si>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</si>
  <si>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</si>
  <si>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</si>
  <si>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</si>
  <si>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Year</t>
  </si>
  <si>
    <t>AF~FX</t>
  </si>
  <si>
    <t>AF~FX~0</t>
  </si>
  <si>
    <t>Life</t>
  </si>
  <si>
    <t>~FI_T: DEMAND</t>
  </si>
  <si>
    <t>*Typology Name</t>
  </si>
  <si>
    <t xml:space="preserve">Output </t>
  </si>
  <si>
    <t>Total Building Life</t>
  </si>
  <si>
    <t>Base year</t>
  </si>
  <si>
    <t>Total Stock per typology</t>
  </si>
  <si>
    <t>Source</t>
  </si>
  <si>
    <t>E</t>
  </si>
  <si>
    <t>DMD</t>
  </si>
  <si>
    <t>Capacity unit</t>
  </si>
  <si>
    <t>~FI_T: INPUT</t>
  </si>
  <si>
    <t>Energy Service Demand</t>
  </si>
  <si>
    <t>000appliances</t>
  </si>
  <si>
    <t>MAT</t>
  </si>
  <si>
    <t>Flow/Product</t>
  </si>
  <si>
    <t>Total</t>
  </si>
  <si>
    <t>Breakout by End Use</t>
  </si>
  <si>
    <t>Lighting</t>
  </si>
  <si>
    <t>Refrigerating</t>
  </si>
  <si>
    <t>Other Appliances</t>
  </si>
  <si>
    <t>Lookups</t>
  </si>
  <si>
    <t xml:space="preserve"> End Use</t>
  </si>
  <si>
    <t>~FI_T: Stock</t>
  </si>
  <si>
    <t>~FI_T: EFF</t>
  </si>
  <si>
    <t>~FI_T: PRC_CAPACT</t>
  </si>
  <si>
    <t>~FI_T: NCAP_AFA</t>
  </si>
  <si>
    <t>~FI_T: LIFE</t>
  </si>
  <si>
    <t>*Technology Name</t>
  </si>
  <si>
    <t>Average Capaciy per Unit</t>
  </si>
  <si>
    <t>Check</t>
  </si>
  <si>
    <t>Useful Energy</t>
  </si>
  <si>
    <t>Final Energy Calculated</t>
  </si>
  <si>
    <t>Final Energy From En. Balance</t>
  </si>
  <si>
    <t>SH</t>
  </si>
  <si>
    <t>SC</t>
  </si>
  <si>
    <t>WH</t>
  </si>
  <si>
    <t>CK</t>
  </si>
  <si>
    <t>RF</t>
  </si>
  <si>
    <t>AP</t>
  </si>
  <si>
    <t>LI</t>
  </si>
  <si>
    <t xml:space="preserve">Number of Units </t>
  </si>
  <si>
    <t>Tertiary Base-year energy consumption from Energy Balance (PJ)</t>
  </si>
  <si>
    <t>000m2</t>
  </si>
  <si>
    <t>Public Lighting</t>
  </si>
  <si>
    <t>000lamps</t>
  </si>
  <si>
    <t>Street lighting</t>
  </si>
  <si>
    <t>COM_SL</t>
  </si>
  <si>
    <t>Subsector/ End Use</t>
  </si>
  <si>
    <t>Infrastructure for fuels Consumed in the Tertiary Sector</t>
  </si>
  <si>
    <t>Building Stock per sector</t>
  </si>
  <si>
    <t>Space Heating Demand</t>
  </si>
  <si>
    <t>Water Heating Demand</t>
  </si>
  <si>
    <t>Space Cooling Demand</t>
  </si>
  <si>
    <t>*Sector Name</t>
  </si>
  <si>
    <t>Tertiary Sector Buildings: Space heating technologies</t>
  </si>
  <si>
    <t>Tertiary Sector: Lighting technologies</t>
  </si>
  <si>
    <t>Street Lighting Demand</t>
  </si>
  <si>
    <t>Tertiary Sector Buildings: Space Cooling technologies</t>
  </si>
  <si>
    <t>Tertiary Sector Buildings: Cooking technologies</t>
  </si>
  <si>
    <t>units/m2</t>
  </si>
  <si>
    <t>Tertiary Sector Buildings: Refrigerating</t>
  </si>
  <si>
    <t>Tertiary Sector  Buildings: Other Appliances</t>
  </si>
  <si>
    <t>Tertiary Sector Buildings: Water heating technologies</t>
  </si>
  <si>
    <t>IPCC Emission Factor Database (2006 Values)available at  https://www.ipcc-nggip.iges.or.jp/EFDB/find_ef.php</t>
  </si>
  <si>
    <t>Street Lighting</t>
  </si>
  <si>
    <t>000s_Units</t>
  </si>
  <si>
    <t>kW/m2</t>
  </si>
  <si>
    <t>~FI_T: NCAP_FOM</t>
  </si>
  <si>
    <t>SEASON</t>
  </si>
  <si>
    <t>Stk_Mult</t>
  </si>
  <si>
    <t>~FI_T: NCAP_AFA~2017</t>
  </si>
  <si>
    <t>of which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</si>
  <si>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</si>
  <si>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</si>
  <si>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</si>
  <si>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</si>
  <si>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</si>
  <si>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</si>
  <si>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</si>
  <si>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</si>
  <si>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</si>
  <si>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</si>
  <si>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</si>
  <si>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Wood briquettes and pellets, and other vegetable waste</t>
  </si>
  <si>
    <t>Firewood</t>
  </si>
  <si>
    <t>Wood waste</t>
  </si>
  <si>
    <t>Agricultural waste</t>
  </si>
  <si>
    <t>Bio gasoline</t>
  </si>
  <si>
    <t>Bio jet kerosene</t>
  </si>
  <si>
    <t>Other liquid biofuels</t>
  </si>
  <si>
    <t>Nuclear heat</t>
  </si>
  <si>
    <t>Final Energy by Subsector and End Use (PJ)</t>
  </si>
  <si>
    <t>Space Heating</t>
  </si>
  <si>
    <t>Space Cooling</t>
  </si>
  <si>
    <t>Water Heating</t>
  </si>
  <si>
    <t>Cooking</t>
  </si>
  <si>
    <t>Energy Service Demands per m2 for each subsector</t>
  </si>
  <si>
    <t>Appliances</t>
  </si>
  <si>
    <t>Useful Energy Calculated</t>
  </si>
  <si>
    <t>Penetration of equipment</t>
  </si>
  <si>
    <t>TJ/m2</t>
  </si>
  <si>
    <t>Unit/m2</t>
  </si>
  <si>
    <t>kWh/m2</t>
  </si>
  <si>
    <t>Penetration for Space Cooling</t>
  </si>
  <si>
    <t>~FI_T: STOCK</t>
  </si>
  <si>
    <t>GASNAT_LP</t>
  </si>
  <si>
    <t>Useful Energy Demand</t>
  </si>
  <si>
    <t>Indicators</t>
  </si>
  <si>
    <t>Final Energy Demand</t>
  </si>
  <si>
    <t>Sub-bituminous</t>
  </si>
  <si>
    <t>Services (Public)</t>
  </si>
  <si>
    <t>All Public Services</t>
  </si>
  <si>
    <t>M$</t>
  </si>
  <si>
    <t>$/GJ</t>
  </si>
  <si>
    <t>$/GJ/a</t>
  </si>
  <si>
    <t>Tertiary</t>
  </si>
  <si>
    <t>Private (Commercial)</t>
  </si>
  <si>
    <t>COABCO</t>
  </si>
  <si>
    <t xml:space="preserve">Brown Coal/Lignite </t>
  </si>
  <si>
    <t>Private (Commercial) Space Heating</t>
  </si>
  <si>
    <t>Private (Commercial) Water Heating</t>
  </si>
  <si>
    <t>Private (Commercial) Space Cooling</t>
  </si>
  <si>
    <t>Private (Commercial) Cooking</t>
  </si>
  <si>
    <t>Private (Commercial) Lighting</t>
  </si>
  <si>
    <t>Private (Commercial) Refrigerating</t>
  </si>
  <si>
    <t>Private (Commercial) Other Electric</t>
  </si>
  <si>
    <t>Services (Public) Space Heating</t>
  </si>
  <si>
    <t>Services (Public) Water Heating</t>
  </si>
  <si>
    <t>Services (Public) Space Cooling</t>
  </si>
  <si>
    <t>Services (Public) Cooking</t>
  </si>
  <si>
    <t>Services (Public) Lighting</t>
  </si>
  <si>
    <t>Services (Public) Refrigerating</t>
  </si>
  <si>
    <t>Services (Public) Other Electric</t>
  </si>
  <si>
    <t>Tertiary Building Stock per Subsector</t>
  </si>
  <si>
    <t>Building stock Private</t>
  </si>
  <si>
    <t>Building stock Public</t>
  </si>
  <si>
    <t>KZK</t>
  </si>
  <si>
    <t>Private (Commercial) SpHeat Sub-bituminous  (E)</t>
  </si>
  <si>
    <t>Private (Commercial) SpHeat Bituminus  (E)</t>
  </si>
  <si>
    <t>Private (Commercial) SpHeat Lignite  (E)</t>
  </si>
  <si>
    <t>Private (Commercial) SpHeat BKB  (E)</t>
  </si>
  <si>
    <t>Private (Commercial) SpHeat DSL  (E)</t>
  </si>
  <si>
    <t>Private (Commercial) SpHeat HFO  (E)</t>
  </si>
  <si>
    <t>Private (Commercial) SpHeat Gas (E)</t>
  </si>
  <si>
    <t>Private (Commercial) SpHeat Dist. Heat (E)</t>
  </si>
  <si>
    <t>Private (Commercial) SpHeat Wood  (E)</t>
  </si>
  <si>
    <t>Private (Commercial) SpHeat Electric Heater (E)</t>
  </si>
  <si>
    <t>Private (Commercial) SpHeat LPG Boiler (E)</t>
  </si>
  <si>
    <t>Services (Public) SpHeat BKB  (E)</t>
  </si>
  <si>
    <t>Services (Public) SpHeat DSL  (E)</t>
  </si>
  <si>
    <t>Services (Public) SpHeat HFO  (E)</t>
  </si>
  <si>
    <t>Services (Public) SpHeat Gas (E)</t>
  </si>
  <si>
    <t>Services (Public) SpHeat Dist. Heat (E)</t>
  </si>
  <si>
    <t>Services (Public) SpHeat Wood  (E)</t>
  </si>
  <si>
    <t>Services (Public) SpHeat Geothermal (E)</t>
  </si>
  <si>
    <t>Services (Public) SpHeat LPG Boiler (E)</t>
  </si>
  <si>
    <t>Services (Public) SpHeat Electric Heater (E)</t>
  </si>
  <si>
    <t>Private (Commercial) WatHeat Coal  (E)</t>
  </si>
  <si>
    <t>Private (Commercial) WatHeat Gas  (E)</t>
  </si>
  <si>
    <t>Private (Commercial) WatHeat Dist. Heat (E)</t>
  </si>
  <si>
    <t>Private (Commercial) WatHeat LPG  (E)</t>
  </si>
  <si>
    <t>Private (Commercial) WatHeat Wood  (E)</t>
  </si>
  <si>
    <t>Private (Commercial) WatHeat Diesel  (E)</t>
  </si>
  <si>
    <t>Private (Commercial) WatHeat Electric  (E)</t>
  </si>
  <si>
    <t>Services (Public) WatHeat Coal  (E)</t>
  </si>
  <si>
    <t>Services (Public)Communal  WatHeat BKB  (E)</t>
  </si>
  <si>
    <t>Services (Public) WatHeat Gas  (E)</t>
  </si>
  <si>
    <t>Services (Public) WatHeat Dist. Heat (E)</t>
  </si>
  <si>
    <t>Services (Public) WatHeat LPG  (E)</t>
  </si>
  <si>
    <t>Services (Public) WatHeat Wood  (E)</t>
  </si>
  <si>
    <t>Services (Public) WatHeat Diesel  (E)</t>
  </si>
  <si>
    <t>Services (Public) WatHeat Electric  (E)</t>
  </si>
  <si>
    <t>Private (Commercial) SpCool A/C (E)</t>
  </si>
  <si>
    <t>Services (Public) SpCool A/C (E)</t>
  </si>
  <si>
    <t>Private (Commercial) Cook Gas  (E)</t>
  </si>
  <si>
    <t>Private (Commercial) Cook LPG  (E)</t>
  </si>
  <si>
    <t>Private (Commercial) Cook Wood  (E)</t>
  </si>
  <si>
    <t>Private (Commercial) Cook Charcoal  (E)</t>
  </si>
  <si>
    <t>Private (Commercial) Cook Electric  (E)</t>
  </si>
  <si>
    <t>Services (Public) Cook Gas  (E)</t>
  </si>
  <si>
    <t>Services (Public) Cook LPG  (E)</t>
  </si>
  <si>
    <t>Services (Public) Cook Wood  (E)</t>
  </si>
  <si>
    <t>Services (Public) Cook Charcoal  (E)</t>
  </si>
  <si>
    <t>Services (Public) Cook Electric  (E)</t>
  </si>
  <si>
    <t>Private (Commercial) Refrigerating (E)</t>
  </si>
  <si>
    <t>Services (Public) Refrigerating (E)</t>
  </si>
  <si>
    <t>Private (Commercial)Other Appliances (E)</t>
  </si>
  <si>
    <t>Services (Public) Other Appliances (E)</t>
  </si>
  <si>
    <t>Private (Commercial) Lights (E)</t>
  </si>
  <si>
    <t>Services (Public) Lights (E)</t>
  </si>
  <si>
    <t>Street Lighting (E)</t>
  </si>
  <si>
    <t>START</t>
  </si>
  <si>
    <t>INVCOST</t>
  </si>
  <si>
    <t>Inevstment Cost</t>
  </si>
  <si>
    <t xml:space="preserve">Fuel Tech -Natural Gas (COM) - Dense New  </t>
  </si>
  <si>
    <t xml:space="preserve">Fuel Tech -Natural Gas (COM) - Medium New  </t>
  </si>
  <si>
    <t xml:space="preserve">Fuel Tech -Natural Gas (COM) - Sparse New  </t>
  </si>
  <si>
    <t>Fuel Tech -Natural Gas (COM) - Dense</t>
  </si>
  <si>
    <t>Fuel Tech -Natural Gas (COM) - Medium</t>
  </si>
  <si>
    <t>Fuel Tech -Natural Gas (COM) - Sparse</t>
  </si>
  <si>
    <t>Services (Public) SpHeat Bituminus  (E)</t>
  </si>
  <si>
    <t>Services (Public) SpHeat Sub-bituminous  (E)</t>
  </si>
  <si>
    <t>ktoe</t>
  </si>
  <si>
    <t>(including street lighting)</t>
  </si>
  <si>
    <t>Penetration for Refrigerating</t>
  </si>
  <si>
    <t>RDM: stock of appliances</t>
  </si>
  <si>
    <t>.1 per m2</t>
  </si>
  <si>
    <t>.015 per m2</t>
  </si>
  <si>
    <t>.002 per m2</t>
  </si>
  <si>
    <t>Range:</t>
  </si>
  <si>
    <t>TJ/m2 (elc)</t>
  </si>
  <si>
    <t>TJ/m2 (other)</t>
  </si>
  <si>
    <t>TERCO2</t>
  </si>
  <si>
    <t>CO2 (TER)</t>
  </si>
  <si>
    <t>TERCH4</t>
  </si>
  <si>
    <t>CH4 (TER)</t>
  </si>
  <si>
    <t>TERN2O</t>
  </si>
  <si>
    <t>N2O (TER)</t>
  </si>
  <si>
    <t>TER_TP</t>
  </si>
  <si>
    <t>TER_TS</t>
  </si>
  <si>
    <t>TER_SL</t>
  </si>
  <si>
    <t>TERCOASUB</t>
  </si>
  <si>
    <t>TER_TP_SH_SUB_E01</t>
  </si>
  <si>
    <t>TERCOABIC</t>
  </si>
  <si>
    <t>TER_TP_SH_BIC_E01</t>
  </si>
  <si>
    <t>TERCOABCO</t>
  </si>
  <si>
    <t>TER_TP_SH_BCO_E01</t>
  </si>
  <si>
    <t>TERCOABKB</t>
  </si>
  <si>
    <t>TER_TP_SH_BKB_E01</t>
  </si>
  <si>
    <t>TEROILDSL</t>
  </si>
  <si>
    <t>TER_TP_SH_DSL_E01</t>
  </si>
  <si>
    <t>TEROILHFO</t>
  </si>
  <si>
    <t>TER_TP_SH_HFO_E01</t>
  </si>
  <si>
    <t>TERGASNAT</t>
  </si>
  <si>
    <t>TER_TP_SH_GAS_E01</t>
  </si>
  <si>
    <t>TERLTH</t>
  </si>
  <si>
    <t>TER_TP_SH_LTH_E01</t>
  </si>
  <si>
    <t>TERBIOLOG</t>
  </si>
  <si>
    <t>TER_TP_SH_LOG_E01</t>
  </si>
  <si>
    <t>TERELC</t>
  </si>
  <si>
    <t>TER_TP_SH_ELC_E01</t>
  </si>
  <si>
    <t>TEROILLPG</t>
  </si>
  <si>
    <t>TER_TP_SH_LPG_E01</t>
  </si>
  <si>
    <t>TER_TS_SH_SUB_E01</t>
  </si>
  <si>
    <t>TER_TS_SH_BIC_E01</t>
  </si>
  <si>
    <t>TER_TS_SH_BCO_E01</t>
  </si>
  <si>
    <t>TER_TS_SH_BKB_E01</t>
  </si>
  <si>
    <t>TER_TS_SH_DSL_E01</t>
  </si>
  <si>
    <t>TER_TS_SH_HFO_E01</t>
  </si>
  <si>
    <t>TER_TS_SH_GAS_E01</t>
  </si>
  <si>
    <t>TER_TS_SH_LTH_E01</t>
  </si>
  <si>
    <t>TER_TS_SH_LOG_E01</t>
  </si>
  <si>
    <t>TER_TS_SH_ELC_E01</t>
  </si>
  <si>
    <t>TERRESGEO</t>
  </si>
  <si>
    <t>TER_TS_SH_GEO_E01</t>
  </si>
  <si>
    <t>TER_TS_SH_LPG_E01</t>
  </si>
  <si>
    <t>TER_TP_WH_GAS_E01</t>
  </si>
  <si>
    <t>TER_TP_WH_LTH_E01</t>
  </si>
  <si>
    <t>TER_TP_WH_LPG_E01</t>
  </si>
  <si>
    <t>TER_TP_WH_LOG_E01</t>
  </si>
  <si>
    <t>TER_TP_WH_DSL_E01</t>
  </si>
  <si>
    <t>TER_TP_WH_ELC_E01</t>
  </si>
  <si>
    <t>TER_TS_WH_BKB_E01</t>
  </si>
  <si>
    <t>TER_TS_WH_GAS_E01</t>
  </si>
  <si>
    <t>TER_TS_WH_LTH_E01</t>
  </si>
  <si>
    <t>TER_TS_WH_LPG_E01</t>
  </si>
  <si>
    <t>TER_TS_WH_LOG_E01</t>
  </si>
  <si>
    <t>TER_TS_WH_DSL_E01</t>
  </si>
  <si>
    <t>TER_TS_WH_ELC_E01</t>
  </si>
  <si>
    <t>TER_TP_SC_ELC_E01</t>
  </si>
  <si>
    <t>TER_TS_SC_ELC_E01</t>
  </si>
  <si>
    <t>TER_TP_CK_GAS_E01</t>
  </si>
  <si>
    <t>TER_TP_CK_LPG_E01</t>
  </si>
  <si>
    <t>TER_TP_CK_LOG_E01</t>
  </si>
  <si>
    <t>TERBIOCHR</t>
  </si>
  <si>
    <t>TER_TP_CK_CHR_E01</t>
  </si>
  <si>
    <t>TER_TP_CK_ELC_E01</t>
  </si>
  <si>
    <t>TER_TS_CK_GAS_E01</t>
  </si>
  <si>
    <t>TER_TS_CK_LPG_E01</t>
  </si>
  <si>
    <t>TER_TS_CK_LOG_E01</t>
  </si>
  <si>
    <t>TER_TS_CK_CHR_E01</t>
  </si>
  <si>
    <t>TER_TS_CK_ELC_E01</t>
  </si>
  <si>
    <t>TEROILGSL</t>
  </si>
  <si>
    <t>TEROILKER</t>
  </si>
  <si>
    <t>TERBIODSL</t>
  </si>
  <si>
    <t>TERBIOETH</t>
  </si>
  <si>
    <t>TERBIOBGS</t>
  </si>
  <si>
    <t>TERBIOPLT</t>
  </si>
  <si>
    <t>TERRESSOL</t>
  </si>
  <si>
    <t>Sub-bituminous (TER)</t>
  </si>
  <si>
    <t>Other bituminous coal (TER)</t>
  </si>
  <si>
    <t>Brown Coal/Lignite  (TER)</t>
  </si>
  <si>
    <t>BKB (brown coal briquettes) (TER)</t>
  </si>
  <si>
    <t>Diesel (TER)</t>
  </si>
  <si>
    <t>Gasoline (TER)</t>
  </si>
  <si>
    <t>Liquified petroleum gas (TER)</t>
  </si>
  <si>
    <t>Heavy Fuel Oil (TER)</t>
  </si>
  <si>
    <t>Kerosene (TER)</t>
  </si>
  <si>
    <t>Natural Gas (TER)</t>
  </si>
  <si>
    <t>Wood (TER)</t>
  </si>
  <si>
    <t>Biodiesel (TER)</t>
  </si>
  <si>
    <t>Bioethanol (TER)</t>
  </si>
  <si>
    <t>Biogas (TER)</t>
  </si>
  <si>
    <t>Pellet (TER)</t>
  </si>
  <si>
    <t>Charcoal (TER)</t>
  </si>
  <si>
    <t>Solar Energy (TER)</t>
  </si>
  <si>
    <t>Geothermal Energy (TER)</t>
  </si>
  <si>
    <t>TER_TP_WH_BIC_E01</t>
  </si>
  <si>
    <t>TER_TS_WH_BIC_E01</t>
  </si>
  <si>
    <t>~FI_T: NCAP_AFA~2018</t>
  </si>
  <si>
    <t>tbc, see demand fractions</t>
  </si>
  <si>
    <t>LIFE</t>
  </si>
  <si>
    <t>Technical lifetime</t>
  </si>
  <si>
    <t>Data are inherited by IEA balance/multiregional KZK model/calibration</t>
  </si>
  <si>
    <t>Main issues: consumption of nat gas, consumption of electricity</t>
  </si>
  <si>
    <t>ASSUMPTIONS</t>
  </si>
  <si>
    <t>Calibration</t>
  </si>
  <si>
    <t>Services (Public) SpHeat Lignite  (E)</t>
  </si>
  <si>
    <t>Electricity (TER)</t>
  </si>
  <si>
    <t>Heat (TER)</t>
  </si>
  <si>
    <t>RSDCOABCO</t>
  </si>
  <si>
    <t>Lignite/Brown Coal  (RSD)</t>
  </si>
  <si>
    <t>RSDCOABKB</t>
  </si>
  <si>
    <t>BKB (brown coal briquettes) (RSD)</t>
  </si>
  <si>
    <t>RSDOILLPG</t>
  </si>
  <si>
    <t>Liquified petroleum gas (RSD)</t>
  </si>
  <si>
    <t>RSDGASNAT</t>
  </si>
  <si>
    <t>Natural Gas (RSD)</t>
  </si>
  <si>
    <t>RSDBIOLOG</t>
  </si>
  <si>
    <t>Wood (RSD)</t>
  </si>
  <si>
    <t>RSDELC</t>
  </si>
  <si>
    <t>Electricity (RSD)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</si>
</sst>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0.000"/>
    <numFmt numFmtId="165" formatCode="\Te\x\t"/>
    <numFmt numFmtId="166" formatCode="0.0"/>
    <numFmt numFmtId="167" formatCode="#,##0.000;\-#,##0.000;&quot;&quot;"/>
    <numFmt numFmtId="168" formatCode="#,##0.00;\-#,##0.00;&quot;&quot;"/>
    <numFmt numFmtId="169" formatCode="#,##0.00_ ;\-#,##0.00\ "/>
    <numFmt numFmtId="170" formatCode="_(* #,##0.000_);_(* \(#,##0.000\);_(* &quot;-&quot;??_);_(@_)"/>
    <numFmt numFmtId="171" formatCode="_(* #,##0.0000_);_(* \(#,##0.0000\);_(* &quot;-&quot;??_);_(@_)"/>
    <numFmt numFmtId="172" formatCode="0.0000000"/>
    <numFmt numFmtId="173" formatCode="0.00000000"/>
    <numFmt numFmtId="174" formatCode="_(* #,##0.000000_);_(* \(#,##0.000000\);_(* &quot;-&quot;??_);_(@_)"/>
    <numFmt numFmtId="175" formatCode="_-* #,##0.000_-;\-* #,##0.000_-;_-* &quot;-&quot;??_-;_-@_-"/>
    <numFmt numFmtId="176" formatCode="_-* #,##0.0000_-;\-* #,##0.0000_-;_-* &quot;-&quot;??_-;_-@_-"/>
    <numFmt numFmtId="177" formatCode="_-* #,##0_-;\-* #,##0_-;_-* &quot;-&quot;??_-;_-@_-"/>
    <numFmt numFmtId="178" formatCode="0.0000"/>
    <numFmt numFmtId="179" formatCode="0.000000"/>
    <numFmt numFmtId="180" formatCode="#,##0.00000000_);\(#,##0.00000000\)"/>
    <numFmt numFmtId="181" formatCode="0.0%"/>
    <numFmt numFmtId="182" formatCode="0.00000"/>
    <numFmt numFmtId="183" formatCode="#,##0;\-#,##0;&quot;&quot;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Calibri Light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8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22"/>
      </top>
      <bottom style="double">
        <color indexed="64"/>
      </bottom>
      <diagonal/>
    </border>
  </borders>
  <cellStyleXfs count="5">
    <xf numFmtId="0" fontId="0" fillId="0" borderId="0"/>
    <xf numFmtId="0" fontId="14" fillId="2" borderId="0" applyNumberFormat="0" applyBorder="0" applyAlignment="0" applyProtection="0"/>
    <xf numFmtId="43" fontId="1" fillId="0" borderId="0" applyFont="0" applyFill="0" applyBorder="0" applyAlignment="0" applyProtection="0"/>
    <xf numFmtId="0" fontId="16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328">
    <xf numFmtId="0" fontId="0" fillId="0" borderId="0" xfId="0"/>
    <xf numFmtId="0" fontId="15" fillId="4" borderId="0" xfId="1" applyFont="1" applyFill="1" applyAlignment="1">
      <alignment wrapText="1"/>
    </xf>
    <xf numFmtId="0" fontId="14" fillId="4" borderId="0" xfId="1" applyFill="1" applyAlignment="1">
      <alignment wrapText="1"/>
    </xf>
    <xf numFmtId="0" fontId="17" fillId="5" borderId="0" xfId="1" applyFont="1" applyFill="1" applyAlignment="1">
      <alignment wrapText="1"/>
    </xf>
    <xf numFmtId="0" fontId="18" fillId="5" borderId="0" xfId="3" applyFont="1" applyFill="1" applyAlignment="1">
      <alignment horizontal="center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/>
    <xf numFmtId="0" fontId="5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19" fillId="5" borderId="0" xfId="1" applyFont="1" applyFill="1" applyAlignment="1">
      <alignment wrapText="1"/>
    </xf>
    <xf numFmtId="0" fontId="17" fillId="5" borderId="0" xfId="1" applyFont="1" applyFill="1" applyAlignment="1"/>
    <xf numFmtId="0" fontId="17" fillId="5" borderId="0" xfId="1" applyFont="1" applyFill="1" applyAlignment="1">
      <alignment horizontal="right" wrapText="1"/>
    </xf>
    <xf numFmtId="0" fontId="20" fillId="5" borderId="0" xfId="3" applyFont="1" applyFill="1" applyAlignment="1">
      <alignment horizontal="center"/>
    </xf>
    <xf numFmtId="0" fontId="17" fillId="5" borderId="0" xfId="1" applyFont="1" applyFill="1" applyAlignment="1">
      <alignment horizontal="center" wrapText="1"/>
    </xf>
    <xf numFmtId="0" fontId="17" fillId="5" borderId="0" xfId="1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2" fontId="17" fillId="0" borderId="0" xfId="0" quotePrefix="1" applyNumberFormat="1" applyFont="1" applyFill="1" applyBorder="1" applyAlignment="1">
      <alignment vertical="center"/>
    </xf>
    <xf numFmtId="0" fontId="6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Protection="1">
      <protection locked="0"/>
    </xf>
    <xf numFmtId="0" fontId="9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19" fillId="0" borderId="6" xfId="0" applyFont="1" applyFill="1" applyBorder="1" applyAlignment="1">
      <alignment vertical="center"/>
    </xf>
    <xf numFmtId="0" fontId="17" fillId="0" borderId="6" xfId="0" applyFont="1" applyFill="1" applyBorder="1" applyAlignment="1">
      <alignment horizontal="center" vertical="center"/>
    </xf>
    <xf numFmtId="9" fontId="17" fillId="0" borderId="0" xfId="4" applyFont="1" applyFill="1" applyAlignment="1">
      <alignment horizontal="center" vertical="center"/>
    </xf>
    <xf numFmtId="9" fontId="17" fillId="0" borderId="6" xfId="4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21" fillId="0" borderId="0" xfId="0" applyFont="1" applyFill="1"/>
    <xf numFmtId="181" fontId="17" fillId="0" borderId="0" xfId="4" applyNumberFormat="1" applyFont="1" applyFill="1" applyAlignment="1">
      <alignment horizontal="center" vertical="center"/>
    </xf>
    <xf numFmtId="181" fontId="17" fillId="0" borderId="6" xfId="4" applyNumberFormat="1" applyFont="1" applyFill="1" applyBorder="1" applyAlignment="1">
      <alignment horizontal="center" vertical="center"/>
    </xf>
    <xf numFmtId="0" fontId="19" fillId="5" borderId="0" xfId="1" applyFont="1" applyFill="1" applyAlignment="1">
      <alignment horizontal="left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Continuous" vertical="center" wrapText="1"/>
    </xf>
    <xf numFmtId="0" fontId="1" fillId="0" borderId="6" xfId="0" applyFont="1" applyFill="1" applyBorder="1" applyAlignment="1">
      <alignment horizontal="centerContinuous" vertical="center" wrapText="1"/>
    </xf>
    <xf numFmtId="0" fontId="11" fillId="0" borderId="6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0" fontId="1" fillId="0" borderId="0" xfId="0" applyFont="1" applyFill="1"/>
    <xf numFmtId="167" fontId="11" fillId="0" borderId="11" xfId="0" applyNumberFormat="1" applyFont="1" applyFill="1" applyBorder="1" applyAlignment="1">
      <alignment horizontal="right"/>
    </xf>
    <xf numFmtId="183" fontId="11" fillId="0" borderId="11" xfId="0" applyNumberFormat="1" applyFont="1" applyFill="1" applyBorder="1" applyAlignment="1">
      <alignment horizontal="right"/>
    </xf>
    <xf numFmtId="0" fontId="23" fillId="0" borderId="7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left"/>
    </xf>
    <xf numFmtId="0" fontId="24" fillId="0" borderId="6" xfId="0" applyFont="1" applyFill="1" applyBorder="1" applyAlignment="1">
      <alignment horizontal="center"/>
    </xf>
    <xf numFmtId="167" fontId="23" fillId="0" borderId="6" xfId="0" applyNumberFormat="1" applyFont="1" applyFill="1" applyBorder="1" applyAlignment="1">
      <alignment horizontal="right"/>
    </xf>
    <xf numFmtId="0" fontId="23" fillId="0" borderId="9" xfId="0" applyFont="1" applyFill="1" applyBorder="1" applyAlignment="1">
      <alignment horizontal="left"/>
    </xf>
    <xf numFmtId="0" fontId="24" fillId="0" borderId="9" xfId="0" applyFont="1" applyFill="1" applyBorder="1" applyAlignment="1">
      <alignment horizontal="center"/>
    </xf>
    <xf numFmtId="167" fontId="23" fillId="0" borderId="9" xfId="0" applyNumberFormat="1" applyFont="1" applyFill="1" applyBorder="1" applyAlignment="1">
      <alignment horizontal="right"/>
    </xf>
    <xf numFmtId="0" fontId="23" fillId="0" borderId="10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left"/>
    </xf>
    <xf numFmtId="0" fontId="24" fillId="0" borderId="10" xfId="0" applyFont="1" applyFill="1" applyBorder="1" applyAlignment="1">
      <alignment horizontal="center"/>
    </xf>
    <xf numFmtId="167" fontId="11" fillId="0" borderId="10" xfId="0" applyNumberFormat="1" applyFont="1" applyFill="1" applyBorder="1" applyAlignment="1">
      <alignment horizontal="right"/>
    </xf>
    <xf numFmtId="0" fontId="23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left"/>
    </xf>
    <xf numFmtId="0" fontId="24" fillId="0" borderId="11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6" fillId="0" borderId="11" xfId="0" applyFont="1" applyFill="1" applyBorder="1" applyAlignment="1">
      <alignment horizontal="left"/>
    </xf>
    <xf numFmtId="0" fontId="27" fillId="0" borderId="11" xfId="0" applyFont="1" applyFill="1" applyBorder="1" applyAlignment="1">
      <alignment horizontal="center"/>
    </xf>
    <xf numFmtId="167" fontId="26" fillId="0" borderId="11" xfId="0" applyNumberFormat="1" applyFont="1" applyFill="1" applyBorder="1" applyAlignment="1">
      <alignment horizontal="right"/>
    </xf>
    <xf numFmtId="0" fontId="23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left"/>
    </xf>
    <xf numFmtId="0" fontId="24" fillId="0" borderId="12" xfId="0" applyFont="1" applyFill="1" applyBorder="1" applyAlignment="1">
      <alignment horizontal="center"/>
    </xf>
    <xf numFmtId="167" fontId="11" fillId="0" borderId="12" xfId="0" applyNumberFormat="1" applyFont="1" applyFill="1" applyBorder="1" applyAlignment="1">
      <alignment horizontal="right"/>
    </xf>
    <xf numFmtId="0" fontId="11" fillId="0" borderId="11" xfId="0" applyFont="1" applyFill="1" applyBorder="1"/>
    <xf numFmtId="168" fontId="11" fillId="0" borderId="11" xfId="0" applyNumberFormat="1" applyFont="1" applyFill="1" applyBorder="1" applyAlignment="1">
      <alignment horizontal="right"/>
    </xf>
    <xf numFmtId="168" fontId="1" fillId="0" borderId="0" xfId="0" applyNumberFormat="1" applyFont="1" applyFill="1"/>
    <xf numFmtId="0" fontId="11" fillId="0" borderId="13" xfId="0" applyFont="1" applyFill="1" applyBorder="1"/>
    <xf numFmtId="0" fontId="23" fillId="0" borderId="13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left"/>
    </xf>
    <xf numFmtId="0" fontId="24" fillId="0" borderId="13" xfId="0" applyFont="1" applyFill="1" applyBorder="1" applyAlignment="1">
      <alignment horizontal="center"/>
    </xf>
    <xf numFmtId="167" fontId="11" fillId="0" borderId="13" xfId="0" applyNumberFormat="1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center"/>
    </xf>
    <xf numFmtId="167" fontId="23" fillId="0" borderId="0" xfId="0" applyNumberFormat="1" applyFont="1" applyFill="1" applyBorder="1" applyAlignment="1">
      <alignment horizontal="right"/>
    </xf>
    <xf numFmtId="0" fontId="11" fillId="0" borderId="0" xfId="0" applyFont="1" applyFill="1"/>
    <xf numFmtId="0" fontId="23" fillId="0" borderId="11" xfId="0" applyFont="1" applyFill="1" applyBorder="1" applyAlignment="1">
      <alignment horizontal="left"/>
    </xf>
    <xf numFmtId="9" fontId="24" fillId="0" borderId="22" xfId="0" applyNumberFormat="1" applyFont="1" applyFill="1" applyBorder="1" applyAlignment="1">
      <alignment horizontal="center"/>
    </xf>
    <xf numFmtId="168" fontId="11" fillId="0" borderId="13" xfId="0" applyNumberFormat="1" applyFont="1" applyFill="1" applyBorder="1" applyAlignment="1">
      <alignment horizontal="right"/>
    </xf>
    <xf numFmtId="168" fontId="11" fillId="0" borderId="0" xfId="0" applyNumberFormat="1" applyFont="1" applyFill="1"/>
    <xf numFmtId="9" fontId="24" fillId="0" borderId="6" xfId="0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left" indent="2"/>
    </xf>
    <xf numFmtId="0" fontId="5" fillId="0" borderId="0" xfId="0" applyFont="1" applyFill="1"/>
    <xf numFmtId="0" fontId="10" fillId="0" borderId="0" xfId="0" applyFont="1" applyFill="1"/>
    <xf numFmtId="169" fontId="6" fillId="0" borderId="0" xfId="0" applyNumberFormat="1" applyFont="1" applyFill="1"/>
    <xf numFmtId="0" fontId="5" fillId="0" borderId="14" xfId="0" applyFont="1" applyFill="1" applyBorder="1" applyAlignment="1">
      <alignment vertical="center"/>
    </xf>
    <xf numFmtId="0" fontId="6" fillId="0" borderId="15" xfId="0" applyFont="1" applyFill="1" applyBorder="1" applyAlignment="1">
      <alignment horizontal="center" wrapText="1"/>
    </xf>
    <xf numFmtId="0" fontId="5" fillId="0" borderId="27" xfId="0" applyFont="1" applyFill="1" applyBorder="1" applyAlignment="1">
      <alignment horizontal="left" wrapText="1"/>
    </xf>
    <xf numFmtId="0" fontId="5" fillId="0" borderId="0" xfId="0" applyFont="1" applyFill="1" applyAlignment="1"/>
    <xf numFmtId="9" fontId="6" fillId="0" borderId="0" xfId="4" applyFont="1" applyFill="1" applyBorder="1" applyProtection="1">
      <protection locked="0"/>
    </xf>
    <xf numFmtId="0" fontId="5" fillId="0" borderId="15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9" fontId="6" fillId="0" borderId="0" xfId="4" applyFont="1" applyFill="1"/>
    <xf numFmtId="0" fontId="10" fillId="0" borderId="7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168" fontId="6" fillId="0" borderId="15" xfId="0" applyNumberFormat="1" applyFont="1" applyFill="1" applyBorder="1" applyAlignment="1">
      <alignment horizontal="left" wrapText="1"/>
    </xf>
    <xf numFmtId="168" fontId="5" fillId="0" borderId="15" xfId="0" applyNumberFormat="1" applyFont="1" applyFill="1" applyBorder="1" applyAlignment="1">
      <alignment horizontal="left" wrapText="1"/>
    </xf>
    <xf numFmtId="0" fontId="7" fillId="0" borderId="14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 wrapText="1"/>
    </xf>
    <xf numFmtId="171" fontId="6" fillId="0" borderId="0" xfId="2" applyNumberFormat="1" applyFont="1" applyFill="1"/>
    <xf numFmtId="0" fontId="5" fillId="0" borderId="15" xfId="0" applyFont="1" applyFill="1" applyBorder="1" applyAlignment="1">
      <alignment horizontal="left" wrapText="1"/>
    </xf>
    <xf numFmtId="171" fontId="6" fillId="0" borderId="15" xfId="0" applyNumberFormat="1" applyFont="1" applyFill="1" applyBorder="1" applyAlignment="1">
      <alignment horizontal="left" wrapText="1"/>
    </xf>
    <xf numFmtId="171" fontId="5" fillId="0" borderId="15" xfId="0" applyNumberFormat="1" applyFont="1" applyFill="1" applyBorder="1" applyAlignment="1">
      <alignment horizontal="left" wrapText="1"/>
    </xf>
    <xf numFmtId="174" fontId="6" fillId="0" borderId="15" xfId="0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6" xfId="0" applyFont="1" applyFill="1" applyBorder="1" applyAlignment="1">
      <alignment horizontal="center"/>
    </xf>
    <xf numFmtId="168" fontId="5" fillId="0" borderId="11" xfId="0" applyNumberFormat="1" applyFont="1" applyFill="1" applyBorder="1" applyAlignment="1">
      <alignment horizontal="left"/>
    </xf>
    <xf numFmtId="168" fontId="5" fillId="0" borderId="39" xfId="0" applyNumberFormat="1" applyFont="1" applyFill="1" applyBorder="1" applyAlignment="1">
      <alignment horizontal="left"/>
    </xf>
    <xf numFmtId="167" fontId="5" fillId="0" borderId="26" xfId="0" applyNumberFormat="1" applyFont="1" applyFill="1" applyBorder="1" applyAlignment="1">
      <alignment horizontal="center"/>
    </xf>
    <xf numFmtId="168" fontId="5" fillId="0" borderId="28" xfId="0" applyNumberFormat="1" applyFont="1" applyFill="1" applyBorder="1" applyAlignment="1">
      <alignment horizontal="right"/>
    </xf>
    <xf numFmtId="180" fontId="1" fillId="0" borderId="0" xfId="0" applyNumberFormat="1" applyFont="1" applyFill="1"/>
    <xf numFmtId="168" fontId="5" fillId="0" borderId="0" xfId="0" applyNumberFormat="1" applyFont="1" applyFill="1" applyBorder="1" applyAlignment="1">
      <alignment horizontal="left"/>
    </xf>
    <xf numFmtId="166" fontId="5" fillId="0" borderId="0" xfId="0" applyNumberFormat="1" applyFont="1" applyFill="1" applyBorder="1" applyAlignment="1" applyProtection="1">
      <alignment horizontal="center"/>
    </xf>
    <xf numFmtId="168" fontId="6" fillId="0" borderId="11" xfId="0" applyNumberFormat="1" applyFont="1" applyFill="1" applyBorder="1" applyAlignment="1">
      <alignment horizontal="center"/>
    </xf>
    <xf numFmtId="0" fontId="1" fillId="0" borderId="40" xfId="0" applyFont="1" applyFill="1" applyBorder="1"/>
    <xf numFmtId="168" fontId="6" fillId="0" borderId="41" xfId="0" applyNumberFormat="1" applyFont="1" applyFill="1" applyBorder="1" applyAlignment="1">
      <alignment horizontal="center"/>
    </xf>
    <xf numFmtId="168" fontId="6" fillId="0" borderId="11" xfId="0" applyNumberFormat="1" applyFont="1" applyFill="1" applyBorder="1" applyAlignment="1">
      <alignment horizontal="left"/>
    </xf>
    <xf numFmtId="168" fontId="6" fillId="0" borderId="0" xfId="0" applyNumberFormat="1" applyFont="1" applyFill="1" applyBorder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171" fontId="6" fillId="0" borderId="11" xfId="2" applyNumberFormat="1" applyFont="1" applyFill="1" applyBorder="1" applyAlignment="1">
      <alignment horizontal="center"/>
    </xf>
    <xf numFmtId="167" fontId="5" fillId="0" borderId="23" xfId="0" applyNumberFormat="1" applyFont="1" applyFill="1" applyBorder="1" applyAlignment="1">
      <alignment horizontal="right"/>
    </xf>
    <xf numFmtId="168" fontId="6" fillId="0" borderId="18" xfId="0" applyNumberFormat="1" applyFont="1" applyFill="1" applyBorder="1" applyAlignment="1">
      <alignment horizontal="left"/>
    </xf>
    <xf numFmtId="171" fontId="6" fillId="0" borderId="18" xfId="2" applyNumberFormat="1" applyFont="1" applyFill="1" applyBorder="1" applyAlignment="1">
      <alignment horizontal="center"/>
    </xf>
    <xf numFmtId="171" fontId="5" fillId="0" borderId="18" xfId="2" applyNumberFormat="1" applyFont="1" applyFill="1" applyBorder="1" applyAlignment="1">
      <alignment horizontal="center"/>
    </xf>
    <xf numFmtId="167" fontId="5" fillId="0" borderId="38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43" fontId="1" fillId="0" borderId="0" xfId="2" applyFont="1" applyFill="1" applyAlignment="1">
      <alignment horizontal="center"/>
    </xf>
    <xf numFmtId="165" fontId="6" fillId="0" borderId="0" xfId="0" applyNumberFormat="1" applyFont="1" applyFill="1"/>
    <xf numFmtId="0" fontId="5" fillId="0" borderId="1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/>
    </xf>
    <xf numFmtId="165" fontId="5" fillId="0" borderId="7" xfId="0" applyNumberFormat="1" applyFont="1" applyFill="1" applyBorder="1"/>
    <xf numFmtId="165" fontId="6" fillId="0" borderId="3" xfId="0" applyNumberFormat="1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/>
    </xf>
    <xf numFmtId="177" fontId="6" fillId="0" borderId="0" xfId="2" applyNumberFormat="1" applyFont="1" applyFill="1" applyBorder="1" applyAlignment="1">
      <alignment horizontal="center"/>
    </xf>
    <xf numFmtId="2" fontId="17" fillId="0" borderId="0" xfId="0" applyNumberFormat="1" applyFont="1" applyFill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1" fontId="17" fillId="0" borderId="0" xfId="0" applyNumberFormat="1" applyFont="1" applyFill="1" applyAlignment="1">
      <alignment horizontal="center" vertical="center"/>
    </xf>
    <xf numFmtId="0" fontId="6" fillId="0" borderId="17" xfId="0" applyFont="1" applyFill="1" applyBorder="1" applyAlignment="1">
      <alignment horizontal="left" wrapText="1"/>
    </xf>
    <xf numFmtId="1" fontId="17" fillId="0" borderId="19" xfId="0" quotePrefix="1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" fontId="17" fillId="0" borderId="20" xfId="0" quotePrefix="1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17" fillId="0" borderId="29" xfId="0" quotePrefix="1" applyNumberFormat="1" applyFont="1" applyFill="1" applyBorder="1" applyAlignment="1">
      <alignment vertical="center"/>
    </xf>
    <xf numFmtId="2" fontId="17" fillId="0" borderId="20" xfId="0" quotePrefix="1" applyNumberFormat="1" applyFont="1" applyFill="1" applyBorder="1" applyAlignment="1">
      <alignment vertical="center"/>
    </xf>
    <xf numFmtId="2" fontId="17" fillId="0" borderId="19" xfId="0" quotePrefix="1" applyNumberFormat="1" applyFont="1" applyFill="1" applyBorder="1" applyAlignment="1">
      <alignment vertical="center"/>
    </xf>
    <xf numFmtId="2" fontId="17" fillId="0" borderId="16" xfId="0" quotePrefix="1" applyNumberFormat="1" applyFont="1" applyFill="1" applyBorder="1" applyAlignment="1">
      <alignment vertical="center"/>
    </xf>
    <xf numFmtId="9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vertical="center"/>
    </xf>
    <xf numFmtId="0" fontId="10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65" fontId="5" fillId="0" borderId="0" xfId="0" applyNumberFormat="1" applyFont="1" applyFill="1"/>
    <xf numFmtId="3" fontId="1" fillId="0" borderId="0" xfId="0" applyNumberFormat="1" applyFont="1" applyFill="1"/>
    <xf numFmtId="0" fontId="19" fillId="0" borderId="0" xfId="0" applyFont="1" applyFill="1"/>
    <xf numFmtId="0" fontId="1" fillId="0" borderId="0" xfId="0" applyFont="1" applyFill="1" applyBorder="1"/>
    <xf numFmtId="0" fontId="1" fillId="0" borderId="2" xfId="0" applyFont="1" applyFill="1" applyBorder="1"/>
    <xf numFmtId="171" fontId="6" fillId="0" borderId="11" xfId="2" applyNumberFormat="1" applyFont="1" applyFill="1" applyBorder="1" applyAlignment="1"/>
    <xf numFmtId="0" fontId="1" fillId="0" borderId="6" xfId="0" applyFont="1" applyFill="1" applyBorder="1"/>
    <xf numFmtId="171" fontId="6" fillId="0" borderId="13" xfId="2" applyNumberFormat="1" applyFont="1" applyFill="1" applyBorder="1" applyAlignment="1">
      <alignment horizontal="center" vertical="center"/>
    </xf>
    <xf numFmtId="171" fontId="6" fillId="0" borderId="10" xfId="2" applyNumberFormat="1" applyFont="1" applyFill="1" applyBorder="1" applyAlignment="1">
      <alignment horizontal="center"/>
    </xf>
    <xf numFmtId="171" fontId="6" fillId="0" borderId="6" xfId="2" applyNumberFormat="1" applyFont="1" applyFill="1" applyBorder="1" applyAlignment="1">
      <alignment horizontal="center"/>
    </xf>
    <xf numFmtId="171" fontId="6" fillId="0" borderId="32" xfId="2" applyNumberFormat="1" applyFont="1" applyFill="1" applyBorder="1" applyAlignment="1">
      <alignment horizontal="center"/>
    </xf>
    <xf numFmtId="0" fontId="19" fillId="0" borderId="0" xfId="0" applyFont="1" applyFill="1" applyBorder="1"/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30" xfId="0" applyNumberFormat="1" applyFont="1" applyFill="1" applyBorder="1" applyAlignment="1">
      <alignment horizontal="center"/>
    </xf>
    <xf numFmtId="43" fontId="1" fillId="0" borderId="0" xfId="0" applyNumberFormat="1" applyFont="1" applyFill="1"/>
    <xf numFmtId="164" fontId="1" fillId="0" borderId="22" xfId="0" applyNumberFormat="1" applyFont="1" applyFill="1" applyBorder="1" applyAlignment="1">
      <alignment horizontal="center"/>
    </xf>
    <xf numFmtId="0" fontId="1" fillId="0" borderId="14" xfId="0" applyFont="1" applyFill="1" applyBorder="1"/>
    <xf numFmtId="0" fontId="11" fillId="0" borderId="0" xfId="0" applyFont="1" applyFill="1" applyAlignment="1">
      <alignment vertical="center"/>
    </xf>
    <xf numFmtId="165" fontId="6" fillId="0" borderId="0" xfId="0" applyNumberFormat="1" applyFont="1" applyFill="1" applyAlignment="1">
      <alignment horizontal="center"/>
    </xf>
    <xf numFmtId="0" fontId="5" fillId="0" borderId="16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165" fontId="5" fillId="0" borderId="7" xfId="0" applyNumberFormat="1" applyFont="1" applyFill="1" applyBorder="1" applyAlignment="1">
      <alignment horizontal="center"/>
    </xf>
    <xf numFmtId="0" fontId="6" fillId="0" borderId="15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left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/>
    <xf numFmtId="0" fontId="6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9" xfId="0" applyFont="1" applyFill="1" applyBorder="1"/>
    <xf numFmtId="175" fontId="1" fillId="0" borderId="30" xfId="2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/>
    </xf>
    <xf numFmtId="175" fontId="1" fillId="0" borderId="0" xfId="2" applyNumberFormat="1" applyFont="1" applyFill="1" applyBorder="1" applyAlignment="1">
      <alignment horizontal="center" vertical="center"/>
    </xf>
    <xf numFmtId="175" fontId="1" fillId="0" borderId="19" xfId="2" applyNumberFormat="1" applyFont="1" applyFill="1" applyBorder="1" applyAlignment="1">
      <alignment horizontal="center" vertical="center"/>
    </xf>
    <xf numFmtId="43" fontId="1" fillId="0" borderId="0" xfId="2" applyFont="1" applyFill="1" applyBorder="1" applyAlignment="1">
      <alignment horizontal="center"/>
    </xf>
    <xf numFmtId="175" fontId="1" fillId="0" borderId="19" xfId="2" applyNumberFormat="1" applyFont="1" applyFill="1" applyBorder="1" applyAlignment="1">
      <alignment horizontal="left" vertical="center"/>
    </xf>
    <xf numFmtId="43" fontId="1" fillId="0" borderId="0" xfId="2" applyFont="1" applyFill="1" applyBorder="1"/>
    <xf numFmtId="0" fontId="1" fillId="0" borderId="20" xfId="0" applyFont="1" applyFill="1" applyBorder="1"/>
    <xf numFmtId="175" fontId="1" fillId="0" borderId="22" xfId="2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/>
    </xf>
    <xf numFmtId="175" fontId="1" fillId="0" borderId="6" xfId="2" applyNumberFormat="1" applyFont="1" applyFill="1" applyBorder="1" applyAlignment="1">
      <alignment horizontal="center" vertical="center"/>
    </xf>
    <xf numFmtId="175" fontId="1" fillId="0" borderId="20" xfId="2" applyNumberFormat="1" applyFont="1" applyFill="1" applyBorder="1" applyAlignment="1">
      <alignment horizontal="left" vertical="center"/>
    </xf>
    <xf numFmtId="43" fontId="1" fillId="0" borderId="6" xfId="2" applyFont="1" applyFill="1" applyBorder="1" applyAlignment="1">
      <alignment horizontal="center"/>
    </xf>
    <xf numFmtId="176" fontId="1" fillId="0" borderId="0" xfId="2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/>
    </xf>
    <xf numFmtId="164" fontId="1" fillId="0" borderId="0" xfId="0" applyNumberFormat="1" applyFont="1" applyFill="1"/>
    <xf numFmtId="0" fontId="2" fillId="0" borderId="0" xfId="0" applyFont="1" applyFill="1"/>
    <xf numFmtId="2" fontId="1" fillId="0" borderId="22" xfId="0" applyNumberFormat="1" applyFont="1" applyFill="1" applyBorder="1"/>
    <xf numFmtId="2" fontId="1" fillId="0" borderId="30" xfId="0" applyNumberFormat="1" applyFont="1" applyFill="1" applyBorder="1"/>
    <xf numFmtId="0" fontId="1" fillId="0" borderId="29" xfId="0" applyFont="1" applyFill="1" applyBorder="1"/>
    <xf numFmtId="1" fontId="1" fillId="0" borderId="0" xfId="0" applyNumberFormat="1" applyFont="1" applyFill="1" applyBorder="1"/>
    <xf numFmtId="1" fontId="1" fillId="0" borderId="0" xfId="0" applyNumberFormat="1" applyFont="1" applyFill="1"/>
    <xf numFmtId="1" fontId="1" fillId="0" borderId="22" xfId="0" applyNumberFormat="1" applyFont="1" applyFill="1" applyBorder="1"/>
    <xf numFmtId="0" fontId="5" fillId="0" borderId="2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left" vertical="center"/>
    </xf>
    <xf numFmtId="0" fontId="5" fillId="0" borderId="35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4" xfId="0" applyFont="1" applyFill="1" applyBorder="1"/>
    <xf numFmtId="0" fontId="6" fillId="0" borderId="14" xfId="0" applyFont="1" applyFill="1" applyBorder="1" applyAlignment="1">
      <alignment horizontal="center"/>
    </xf>
    <xf numFmtId="172" fontId="1" fillId="0" borderId="0" xfId="0" applyNumberFormat="1" applyFont="1" applyFill="1"/>
    <xf numFmtId="2" fontId="1" fillId="0" borderId="0" xfId="0" applyNumberFormat="1" applyFont="1" applyFill="1"/>
    <xf numFmtId="173" fontId="1" fillId="0" borderId="0" xfId="0" applyNumberFormat="1" applyFont="1" applyFill="1"/>
    <xf numFmtId="0" fontId="1" fillId="0" borderId="31" xfId="0" applyFont="1" applyFill="1" applyBorder="1"/>
    <xf numFmtId="0" fontId="1" fillId="0" borderId="16" xfId="0" applyFont="1" applyFill="1" applyBorder="1"/>
    <xf numFmtId="43" fontId="1" fillId="0" borderId="16" xfId="2" applyFont="1" applyFill="1" applyBorder="1"/>
    <xf numFmtId="0" fontId="1" fillId="0" borderId="0" xfId="0" applyFont="1" applyFill="1" applyBorder="1" applyAlignment="1">
      <alignment horizontal="center"/>
    </xf>
    <xf numFmtId="170" fontId="1" fillId="0" borderId="34" xfId="2" applyNumberFormat="1" applyFont="1" applyFill="1" applyBorder="1" applyAlignment="1">
      <alignment horizontal="center" vertical="center"/>
    </xf>
    <xf numFmtId="0" fontId="1" fillId="0" borderId="30" xfId="0" applyFont="1" applyFill="1" applyBorder="1"/>
    <xf numFmtId="43" fontId="1" fillId="0" borderId="19" xfId="2" applyFont="1" applyFill="1" applyBorder="1"/>
    <xf numFmtId="170" fontId="1" fillId="0" borderId="35" xfId="2" applyNumberFormat="1" applyFont="1" applyFill="1" applyBorder="1" applyAlignment="1">
      <alignment horizontal="center" vertical="center"/>
    </xf>
    <xf numFmtId="0" fontId="1" fillId="0" borderId="22" xfId="0" applyFont="1" applyFill="1" applyBorder="1"/>
    <xf numFmtId="43" fontId="1" fillId="0" borderId="20" xfId="2" applyFont="1" applyFill="1" applyBorder="1"/>
    <xf numFmtId="170" fontId="1" fillId="0" borderId="36" xfId="2" applyNumberFormat="1" applyFont="1" applyFill="1" applyBorder="1" applyAlignment="1">
      <alignment horizontal="center" vertical="center"/>
    </xf>
    <xf numFmtId="170" fontId="1" fillId="0" borderId="37" xfId="2" applyNumberFormat="1" applyFont="1" applyFill="1" applyBorder="1" applyAlignment="1">
      <alignment horizontal="center" vertical="center"/>
    </xf>
    <xf numFmtId="171" fontId="1" fillId="0" borderId="35" xfId="2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/>
    <xf numFmtId="2" fontId="1" fillId="0" borderId="33" xfId="0" applyNumberFormat="1" applyFont="1" applyFill="1" applyBorder="1"/>
    <xf numFmtId="2" fontId="1" fillId="0" borderId="6" xfId="0" applyNumberFormat="1" applyFont="1" applyFill="1" applyBorder="1"/>
    <xf numFmtId="43" fontId="1" fillId="0" borderId="2" xfId="2" applyNumberFormat="1" applyFont="1" applyFill="1" applyBorder="1"/>
    <xf numFmtId="43" fontId="1" fillId="0" borderId="0" xfId="2" applyNumberFormat="1" applyFont="1" applyFill="1" applyBorder="1"/>
    <xf numFmtId="43" fontId="1" fillId="0" borderId="6" xfId="2" applyNumberFormat="1" applyFont="1" applyFill="1" applyBorder="1"/>
    <xf numFmtId="0" fontId="5" fillId="0" borderId="37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/>
    </xf>
    <xf numFmtId="0" fontId="5" fillId="0" borderId="35" xfId="0" applyFont="1" applyFill="1" applyBorder="1" applyAlignment="1">
      <alignment horizontal="left" vertical="center"/>
    </xf>
    <xf numFmtId="165" fontId="6" fillId="0" borderId="3" xfId="0" applyNumberFormat="1" applyFont="1" applyFill="1" applyBorder="1" applyAlignment="1">
      <alignment horizontal="left" vertical="center"/>
    </xf>
    <xf numFmtId="165" fontId="6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164" fontId="1" fillId="0" borderId="35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/>
    </xf>
    <xf numFmtId="170" fontId="1" fillId="0" borderId="14" xfId="2" applyNumberFormat="1" applyFont="1" applyFill="1" applyBorder="1" applyAlignment="1">
      <alignment horizontal="center" vertical="center"/>
    </xf>
    <xf numFmtId="170" fontId="1" fillId="0" borderId="16" xfId="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/>
    </xf>
    <xf numFmtId="170" fontId="1" fillId="0" borderId="0" xfId="2" applyNumberFormat="1" applyFont="1" applyFill="1" applyBorder="1" applyAlignment="1">
      <alignment horizontal="center" vertical="center"/>
    </xf>
    <xf numFmtId="170" fontId="1" fillId="0" borderId="19" xfId="2" applyNumberFormat="1" applyFont="1" applyFill="1" applyBorder="1" applyAlignment="1">
      <alignment horizontal="center" vertical="center"/>
    </xf>
    <xf numFmtId="43" fontId="1" fillId="0" borderId="36" xfId="2" applyFont="1" applyFill="1" applyBorder="1"/>
    <xf numFmtId="0" fontId="1" fillId="0" borderId="22" xfId="0" applyFont="1" applyFill="1" applyBorder="1" applyAlignment="1">
      <alignment horizontal="center"/>
    </xf>
    <xf numFmtId="170" fontId="1" fillId="0" borderId="6" xfId="2" applyNumberFormat="1" applyFont="1" applyFill="1" applyBorder="1" applyAlignment="1">
      <alignment horizontal="center" vertical="center"/>
    </xf>
    <xf numFmtId="170" fontId="1" fillId="0" borderId="20" xfId="2" applyNumberFormat="1" applyFont="1" applyFill="1" applyBorder="1" applyAlignment="1">
      <alignment horizontal="center" vertical="center"/>
    </xf>
    <xf numFmtId="179" fontId="1" fillId="0" borderId="0" xfId="0" applyNumberFormat="1" applyFont="1" applyFill="1"/>
    <xf numFmtId="171" fontId="1" fillId="0" borderId="33" xfId="2" applyNumberFormat="1" applyFont="1" applyFill="1" applyBorder="1" applyAlignment="1">
      <alignment horizontal="center"/>
    </xf>
    <xf numFmtId="171" fontId="1" fillId="0" borderId="30" xfId="2" applyNumberFormat="1" applyFont="1" applyFill="1" applyBorder="1" applyAlignment="1">
      <alignment horizontal="center"/>
    </xf>
    <xf numFmtId="171" fontId="1" fillId="0" borderId="22" xfId="2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2" fontId="1" fillId="0" borderId="22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vertical="center"/>
    </xf>
    <xf numFmtId="43" fontId="1" fillId="0" borderId="0" xfId="2" applyFont="1" applyFill="1"/>
    <xf numFmtId="43" fontId="1" fillId="0" borderId="2" xfId="2" applyFont="1" applyFill="1" applyBorder="1" applyAlignment="1">
      <alignment horizontal="center"/>
    </xf>
    <xf numFmtId="171" fontId="1" fillId="0" borderId="0" xfId="2" applyNumberFormat="1" applyFont="1" applyFill="1" applyAlignment="1">
      <alignment horizontal="center"/>
    </xf>
    <xf numFmtId="175" fontId="1" fillId="0" borderId="0" xfId="2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Border="1"/>
    <xf numFmtId="178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  <xf numFmtId="182" fontId="1" fillId="0" borderId="0" xfId="0" applyNumberFormat="1" applyFont="1" applyFill="1" applyAlignment="1">
      <alignment horizontal="center"/>
    </xf>
    <xf numFmtId="178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0" fontId="5" fillId="0" borderId="14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left" wrapText="1"/>
    </xf>
    <xf numFmtId="0" fontId="6" fillId="0" borderId="18" xfId="0" applyFont="1" applyFill="1" applyBorder="1" applyAlignment="1">
      <alignment horizontal="center" wrapText="1"/>
    </xf>
    <xf numFmtId="0" fontId="6" fillId="0" borderId="21" xfId="0" applyFont="1" applyFill="1" applyBorder="1" applyAlignment="1">
      <alignment horizontal="right" wrapText="1"/>
    </xf>
    <xf numFmtId="0" fontId="6" fillId="0" borderId="19" xfId="0" applyFont="1" applyFill="1" applyBorder="1"/>
    <xf numFmtId="0" fontId="6" fillId="0" borderId="20" xfId="0" applyFont="1" applyFill="1" applyBorder="1"/>
    <xf numFmtId="0" fontId="6" fillId="0" borderId="0" xfId="0" applyFont="1" applyFill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24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wrapText="1"/>
    </xf>
    <xf numFmtId="165" fontId="5" fillId="0" borderId="14" xfId="0" applyNumberFormat="1" applyFont="1" applyFill="1" applyBorder="1"/>
    <xf numFmtId="165" fontId="5" fillId="0" borderId="14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center" vertical="center" wrapText="1"/>
    </xf>
    <xf numFmtId="165" fontId="6" fillId="0" borderId="15" xfId="0" applyNumberFormat="1" applyFont="1" applyFill="1" applyBorder="1" applyAlignment="1">
      <alignment horizontal="center" vertical="center" wrapText="1"/>
    </xf>
  </cellXfs>
  <cellStyles count="5">
    <cellStyle name="Accent2" xfId="1" builtinId="33"/>
    <cellStyle name="Comma" xfId="2" builtinId="3"/>
    <cellStyle name="Good" xfId="3" builtinId="26"/>
    <cellStyle name="Normal" xfId="0" builtinId="0"/>
    <cellStyle name="Percent" xfId="4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45"/>
  <sheetViews>
    <sheetView zoomScale="85" zoomScaleNormal="85" workbookViewId="0">
      <pane xSplit="7" ySplit="2" topLeftCell="H3" activePane="bottomRight" state="frozen"/>
      <selection activeCell="O50" sqref="O50"/>
      <selection pane="topRight" activeCell="O50" sqref="O50"/>
      <selection pane="bottomLeft" activeCell="O50" sqref="O50"/>
      <selection pane="bottomRight" sqref="A1:XFD1048576"/>
    </sheetView>
  </sheetViews>
  <sheetFormatPr defaultRowHeight="13.2" x14ac:dyDescent="0.25"/>
  <cols>
    <col min="1" max="16384" width="8.88671875" style="45"/>
  </cols>
  <sheetData>
    <row r="1" spans="1:76" ht="16.5" customHeight="1" thickBot="1" x14ac:dyDescent="0.3">
      <c r="A1" s="38"/>
      <c r="B1" s="38"/>
      <c r="C1" s="39"/>
      <c r="D1" s="39"/>
      <c r="E1" s="39"/>
      <c r="F1" s="40"/>
      <c r="G1" s="40"/>
      <c r="H1" s="41" t="s">
        <v>108</v>
      </c>
      <c r="I1" s="41">
        <v>2000</v>
      </c>
      <c r="J1" s="41">
        <v>2115</v>
      </c>
      <c r="K1" s="41">
        <v>2116</v>
      </c>
      <c r="L1" s="41">
        <v>2117</v>
      </c>
      <c r="M1" s="41">
        <v>2118</v>
      </c>
      <c r="N1" s="41">
        <v>2210</v>
      </c>
      <c r="O1" s="41">
        <v>2112</v>
      </c>
      <c r="P1" s="41">
        <v>2121</v>
      </c>
      <c r="Q1" s="41">
        <v>2122</v>
      </c>
      <c r="R1" s="41">
        <v>2130</v>
      </c>
      <c r="S1" s="41">
        <v>2230</v>
      </c>
      <c r="T1" s="41">
        <v>2310</v>
      </c>
      <c r="U1" s="41">
        <v>2330</v>
      </c>
      <c r="V1" s="41">
        <v>2410</v>
      </c>
      <c r="W1" s="41">
        <v>3000</v>
      </c>
      <c r="X1" s="41">
        <v>3105</v>
      </c>
      <c r="Y1" s="41">
        <v>3106</v>
      </c>
      <c r="Z1" s="41">
        <v>3191</v>
      </c>
      <c r="AA1" s="41">
        <v>3192</v>
      </c>
      <c r="AB1" s="41">
        <v>3193</v>
      </c>
      <c r="AC1" s="41">
        <v>3214</v>
      </c>
      <c r="AD1" s="41">
        <v>3215</v>
      </c>
      <c r="AE1" s="41">
        <v>3220</v>
      </c>
      <c r="AF1" s="41">
        <v>3234</v>
      </c>
      <c r="AG1" s="41">
        <v>3235</v>
      </c>
      <c r="AH1" s="41">
        <v>3246</v>
      </c>
      <c r="AI1" s="41">
        <v>3247</v>
      </c>
      <c r="AJ1" s="41">
        <v>3244</v>
      </c>
      <c r="AK1" s="41">
        <v>3250</v>
      </c>
      <c r="AL1" s="41">
        <v>3260</v>
      </c>
      <c r="AM1" s="41" t="s">
        <v>109</v>
      </c>
      <c r="AN1" s="41">
        <v>3281</v>
      </c>
      <c r="AO1" s="41">
        <v>3282</v>
      </c>
      <c r="AP1" s="41">
        <v>3283</v>
      </c>
      <c r="AQ1" s="41">
        <v>3285</v>
      </c>
      <c r="AR1" s="41">
        <v>3286</v>
      </c>
      <c r="AS1" s="41">
        <v>3295</v>
      </c>
      <c r="AT1" s="41">
        <v>4000</v>
      </c>
      <c r="AU1" s="41">
        <v>4100</v>
      </c>
      <c r="AV1" s="41">
        <v>4210</v>
      </c>
      <c r="AW1" s="41">
        <v>4220</v>
      </c>
      <c r="AX1" s="41">
        <v>4230</v>
      </c>
      <c r="AY1" s="41">
        <v>4240</v>
      </c>
      <c r="AZ1" s="41">
        <v>5500</v>
      </c>
      <c r="BA1" s="41">
        <v>5510</v>
      </c>
      <c r="BB1" s="41">
        <v>5520</v>
      </c>
      <c r="BC1" s="41">
        <v>5535</v>
      </c>
      <c r="BD1" s="41">
        <v>5532</v>
      </c>
      <c r="BE1" s="41">
        <v>5534</v>
      </c>
      <c r="BF1" s="41">
        <v>5541</v>
      </c>
      <c r="BG1" s="42" t="s">
        <v>340</v>
      </c>
      <c r="BH1" s="43"/>
      <c r="BI1" s="43"/>
      <c r="BJ1" s="44"/>
      <c r="BK1" s="41">
        <v>5544</v>
      </c>
      <c r="BL1" s="41">
        <v>5542</v>
      </c>
      <c r="BM1" s="41">
        <v>55431</v>
      </c>
      <c r="BN1" s="41">
        <v>5546</v>
      </c>
      <c r="BO1" s="41">
        <v>5547</v>
      </c>
      <c r="BP1" s="41">
        <v>5549</v>
      </c>
      <c r="BQ1" s="41">
        <v>5548</v>
      </c>
      <c r="BR1" s="41">
        <v>5550</v>
      </c>
      <c r="BS1" s="41">
        <v>7200</v>
      </c>
      <c r="BT1" s="41">
        <v>7100</v>
      </c>
      <c r="BU1" s="41">
        <v>55432</v>
      </c>
      <c r="BV1" s="41">
        <v>5100</v>
      </c>
      <c r="BW1" s="41">
        <v>5200</v>
      </c>
      <c r="BX1" s="41">
        <v>6000</v>
      </c>
    </row>
    <row r="2" spans="1:76" ht="30" customHeight="1" x14ac:dyDescent="0.25">
      <c r="A2" s="46" t="s">
        <v>471</v>
      </c>
      <c r="B2" s="46"/>
      <c r="C2" s="46"/>
      <c r="D2" s="46"/>
      <c r="E2" s="46"/>
      <c r="F2" s="47">
        <v>2017</v>
      </c>
      <c r="G2" s="48"/>
      <c r="H2" s="49" t="s">
        <v>110</v>
      </c>
      <c r="I2" s="50" t="s">
        <v>111</v>
      </c>
      <c r="J2" s="48" t="s">
        <v>378</v>
      </c>
      <c r="K2" s="48" t="s">
        <v>341</v>
      </c>
      <c r="L2" s="49" t="s">
        <v>53</v>
      </c>
      <c r="M2" s="49" t="s">
        <v>342</v>
      </c>
      <c r="N2" s="49" t="s">
        <v>112</v>
      </c>
      <c r="O2" s="49" t="s">
        <v>343</v>
      </c>
      <c r="P2" s="49" t="s">
        <v>54</v>
      </c>
      <c r="Q2" s="48" t="s">
        <v>344</v>
      </c>
      <c r="R2" s="48" t="s">
        <v>55</v>
      </c>
      <c r="S2" s="48" t="s">
        <v>113</v>
      </c>
      <c r="T2" s="48" t="s">
        <v>345</v>
      </c>
      <c r="U2" s="49" t="s">
        <v>346</v>
      </c>
      <c r="V2" s="49" t="s">
        <v>347</v>
      </c>
      <c r="W2" s="50" t="s">
        <v>114</v>
      </c>
      <c r="X2" s="49" t="s">
        <v>115</v>
      </c>
      <c r="Y2" s="49" t="s">
        <v>116</v>
      </c>
      <c r="Z2" s="49" t="s">
        <v>117</v>
      </c>
      <c r="AA2" s="49" t="s">
        <v>118</v>
      </c>
      <c r="AB2" s="49" t="s">
        <v>119</v>
      </c>
      <c r="AC2" s="49" t="s">
        <v>58</v>
      </c>
      <c r="AD2" s="49" t="s">
        <v>348</v>
      </c>
      <c r="AE2" s="49" t="s">
        <v>120</v>
      </c>
      <c r="AF2" s="49" t="s">
        <v>121</v>
      </c>
      <c r="AG2" s="49" t="s">
        <v>63</v>
      </c>
      <c r="AH2" s="49" t="s">
        <v>122</v>
      </c>
      <c r="AI2" s="49" t="s">
        <v>123</v>
      </c>
      <c r="AJ2" s="49" t="s">
        <v>124</v>
      </c>
      <c r="AK2" s="49" t="s">
        <v>68</v>
      </c>
      <c r="AL2" s="49" t="s">
        <v>125</v>
      </c>
      <c r="AM2" s="49" t="s">
        <v>126</v>
      </c>
      <c r="AN2" s="49" t="s">
        <v>127</v>
      </c>
      <c r="AO2" s="49" t="s">
        <v>71</v>
      </c>
      <c r="AP2" s="49" t="s">
        <v>70</v>
      </c>
      <c r="AQ2" s="49" t="s">
        <v>69</v>
      </c>
      <c r="AR2" s="49" t="s">
        <v>128</v>
      </c>
      <c r="AS2" s="49" t="s">
        <v>129</v>
      </c>
      <c r="AT2" s="50" t="s">
        <v>130</v>
      </c>
      <c r="AU2" s="49" t="s">
        <v>131</v>
      </c>
      <c r="AV2" s="49" t="s">
        <v>132</v>
      </c>
      <c r="AW2" s="49" t="s">
        <v>133</v>
      </c>
      <c r="AX2" s="49" t="s">
        <v>349</v>
      </c>
      <c r="AY2" s="49" t="s">
        <v>350</v>
      </c>
      <c r="AZ2" s="51" t="s">
        <v>134</v>
      </c>
      <c r="BA2" s="49" t="s">
        <v>135</v>
      </c>
      <c r="BB2" s="49" t="s">
        <v>136</v>
      </c>
      <c r="BC2" s="49" t="s">
        <v>351</v>
      </c>
      <c r="BD2" s="49" t="s">
        <v>137</v>
      </c>
      <c r="BE2" s="49" t="s">
        <v>138</v>
      </c>
      <c r="BF2" s="49" t="s">
        <v>139</v>
      </c>
      <c r="BG2" s="51" t="s">
        <v>352</v>
      </c>
      <c r="BH2" s="49" t="s">
        <v>353</v>
      </c>
      <c r="BI2" s="49" t="s">
        <v>354</v>
      </c>
      <c r="BJ2" s="52" t="s">
        <v>355</v>
      </c>
      <c r="BK2" s="49" t="s">
        <v>87</v>
      </c>
      <c r="BL2" s="49" t="s">
        <v>140</v>
      </c>
      <c r="BM2" s="49" t="s">
        <v>141</v>
      </c>
      <c r="BN2" s="49" t="s">
        <v>356</v>
      </c>
      <c r="BO2" s="49" t="s">
        <v>80</v>
      </c>
      <c r="BP2" s="49" t="s">
        <v>357</v>
      </c>
      <c r="BQ2" s="49" t="s">
        <v>358</v>
      </c>
      <c r="BR2" s="49" t="s">
        <v>142</v>
      </c>
      <c r="BS2" s="51" t="s">
        <v>143</v>
      </c>
      <c r="BT2" s="49" t="s">
        <v>144</v>
      </c>
      <c r="BU2" s="49" t="s">
        <v>145</v>
      </c>
      <c r="BV2" s="51" t="s">
        <v>359</v>
      </c>
      <c r="BW2" s="51" t="s">
        <v>146</v>
      </c>
      <c r="BX2" s="50" t="s">
        <v>147</v>
      </c>
    </row>
    <row r="3" spans="1:76" ht="11.25" customHeight="1" x14ac:dyDescent="0.25">
      <c r="A3" s="53" t="s">
        <v>148</v>
      </c>
      <c r="B3" s="53"/>
      <c r="C3" s="53"/>
      <c r="D3" s="53"/>
      <c r="E3" s="53"/>
      <c r="F3" s="54" t="s">
        <v>149</v>
      </c>
      <c r="G3" s="54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</row>
    <row r="4" spans="1:76" hidden="1" x14ac:dyDescent="0.25">
      <c r="A4" s="56" t="s">
        <v>150</v>
      </c>
      <c r="B4" s="56"/>
      <c r="C4" s="56"/>
      <c r="D4" s="56"/>
      <c r="E4" s="56"/>
      <c r="F4" s="57" t="s">
        <v>151</v>
      </c>
      <c r="G4" s="57"/>
      <c r="H4" s="58">
        <v>1.9281159999999999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1.551304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58">
        <v>0</v>
      </c>
      <c r="AG4" s="58">
        <v>0</v>
      </c>
      <c r="AH4" s="58">
        <v>0</v>
      </c>
      <c r="AI4" s="58">
        <v>0</v>
      </c>
      <c r="AJ4" s="58">
        <v>0</v>
      </c>
      <c r="AK4" s="58">
        <v>0</v>
      </c>
      <c r="AL4" s="58">
        <v>0</v>
      </c>
      <c r="AM4" s="58">
        <v>0</v>
      </c>
      <c r="AN4" s="58">
        <v>0</v>
      </c>
      <c r="AO4" s="58">
        <v>0.379</v>
      </c>
      <c r="AP4" s="58">
        <v>1.172304</v>
      </c>
      <c r="AQ4" s="58">
        <v>0</v>
      </c>
      <c r="AR4" s="58">
        <v>0</v>
      </c>
      <c r="AS4" s="58">
        <v>0</v>
      </c>
      <c r="AT4" s="58">
        <v>0</v>
      </c>
      <c r="AU4" s="58">
        <v>0</v>
      </c>
      <c r="AV4" s="58">
        <v>0</v>
      </c>
      <c r="AW4" s="58">
        <v>0</v>
      </c>
      <c r="AX4" s="58">
        <v>0</v>
      </c>
      <c r="AY4" s="58">
        <v>0</v>
      </c>
      <c r="AZ4" s="58">
        <v>0.37681200000000004</v>
      </c>
      <c r="BA4" s="58">
        <v>0</v>
      </c>
      <c r="BB4" s="58">
        <v>0</v>
      </c>
      <c r="BC4" s="58">
        <v>0</v>
      </c>
      <c r="BD4" s="58">
        <v>0</v>
      </c>
      <c r="BE4" s="58">
        <v>0</v>
      </c>
      <c r="BF4" s="58">
        <v>0.37681200000000004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0</v>
      </c>
      <c r="BW4" s="58">
        <v>0</v>
      </c>
      <c r="BX4" s="58">
        <v>0</v>
      </c>
    </row>
    <row r="5" spans="1:76" hidden="1" x14ac:dyDescent="0.25">
      <c r="A5" s="59" t="s">
        <v>152</v>
      </c>
      <c r="B5" s="60" t="s">
        <v>153</v>
      </c>
      <c r="C5" s="60"/>
      <c r="D5" s="60"/>
      <c r="E5" s="60"/>
      <c r="F5" s="61" t="s">
        <v>154</v>
      </c>
      <c r="G5" s="61"/>
      <c r="H5" s="62">
        <v>0</v>
      </c>
      <c r="I5" s="62">
        <v>0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  <c r="P5" s="62">
        <v>0</v>
      </c>
      <c r="Q5" s="62">
        <v>0</v>
      </c>
      <c r="R5" s="62">
        <v>0</v>
      </c>
      <c r="S5" s="62">
        <v>0</v>
      </c>
      <c r="T5" s="62">
        <v>0</v>
      </c>
      <c r="U5" s="62">
        <v>0</v>
      </c>
      <c r="V5" s="62">
        <v>0</v>
      </c>
      <c r="W5" s="62">
        <v>0</v>
      </c>
      <c r="X5" s="62">
        <v>0</v>
      </c>
      <c r="Y5" s="62">
        <v>0</v>
      </c>
      <c r="Z5" s="62">
        <v>0</v>
      </c>
      <c r="AA5" s="62">
        <v>0</v>
      </c>
      <c r="AB5" s="62">
        <v>0</v>
      </c>
      <c r="AC5" s="62">
        <v>0</v>
      </c>
      <c r="AD5" s="62">
        <v>0</v>
      </c>
      <c r="AE5" s="62">
        <v>0</v>
      </c>
      <c r="AF5" s="62">
        <v>0</v>
      </c>
      <c r="AG5" s="62">
        <v>0</v>
      </c>
      <c r="AH5" s="62">
        <v>0</v>
      </c>
      <c r="AI5" s="62">
        <v>0</v>
      </c>
      <c r="AJ5" s="62">
        <v>0</v>
      </c>
      <c r="AK5" s="62">
        <v>0</v>
      </c>
      <c r="AL5" s="62">
        <v>0</v>
      </c>
      <c r="AM5" s="62">
        <v>0</v>
      </c>
      <c r="AN5" s="62">
        <v>0</v>
      </c>
      <c r="AO5" s="62">
        <v>0</v>
      </c>
      <c r="AP5" s="62">
        <v>0</v>
      </c>
      <c r="AQ5" s="62">
        <v>0</v>
      </c>
      <c r="AR5" s="62">
        <v>0</v>
      </c>
      <c r="AS5" s="62">
        <v>0</v>
      </c>
      <c r="AT5" s="62">
        <v>0</v>
      </c>
      <c r="AU5" s="62">
        <v>0</v>
      </c>
      <c r="AV5" s="62">
        <v>0</v>
      </c>
      <c r="AW5" s="62">
        <v>0</v>
      </c>
      <c r="AX5" s="62">
        <v>0</v>
      </c>
      <c r="AY5" s="62">
        <v>0</v>
      </c>
      <c r="AZ5" s="62">
        <v>0</v>
      </c>
      <c r="BA5" s="62">
        <v>0</v>
      </c>
      <c r="BB5" s="62">
        <v>0</v>
      </c>
      <c r="BC5" s="62">
        <v>0</v>
      </c>
      <c r="BD5" s="62">
        <v>0</v>
      </c>
      <c r="BE5" s="62">
        <v>0</v>
      </c>
      <c r="BF5" s="62">
        <v>0</v>
      </c>
      <c r="BG5" s="62">
        <v>0</v>
      </c>
      <c r="BH5" s="62">
        <v>0</v>
      </c>
      <c r="BI5" s="62">
        <v>0</v>
      </c>
      <c r="BJ5" s="62">
        <v>0</v>
      </c>
      <c r="BK5" s="62">
        <v>0</v>
      </c>
      <c r="BL5" s="62">
        <v>0</v>
      </c>
      <c r="BM5" s="62">
        <v>0</v>
      </c>
      <c r="BN5" s="62">
        <v>0</v>
      </c>
      <c r="BO5" s="62">
        <v>0</v>
      </c>
      <c r="BP5" s="62">
        <v>0</v>
      </c>
      <c r="BQ5" s="62">
        <v>0</v>
      </c>
      <c r="BR5" s="62">
        <v>0</v>
      </c>
      <c r="BS5" s="62">
        <v>0</v>
      </c>
      <c r="BT5" s="62">
        <v>0</v>
      </c>
      <c r="BU5" s="62">
        <v>0</v>
      </c>
      <c r="BV5" s="62">
        <v>0</v>
      </c>
      <c r="BW5" s="62">
        <v>0</v>
      </c>
      <c r="BX5" s="62">
        <v>0</v>
      </c>
    </row>
    <row r="6" spans="1:76" hidden="1" x14ac:dyDescent="0.25">
      <c r="A6" s="63" t="s">
        <v>152</v>
      </c>
      <c r="B6" s="64" t="s">
        <v>155</v>
      </c>
      <c r="C6" s="64"/>
      <c r="D6" s="64"/>
      <c r="E6" s="64"/>
      <c r="F6" s="65" t="s">
        <v>156</v>
      </c>
      <c r="G6" s="65"/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  <c r="BU6" s="46">
        <v>0</v>
      </c>
      <c r="BV6" s="46">
        <v>0</v>
      </c>
      <c r="BW6" s="46">
        <v>0</v>
      </c>
      <c r="BX6" s="46">
        <v>0</v>
      </c>
    </row>
    <row r="7" spans="1:76" hidden="1" x14ac:dyDescent="0.25">
      <c r="A7" s="63" t="s">
        <v>152</v>
      </c>
      <c r="B7" s="64" t="s">
        <v>157</v>
      </c>
      <c r="C7" s="64"/>
      <c r="D7" s="64"/>
      <c r="E7" s="64"/>
      <c r="F7" s="65" t="s">
        <v>158</v>
      </c>
      <c r="G7" s="65"/>
      <c r="H7" s="46">
        <v>1.5491160000000002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1.172304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1.172304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0.37681200000000004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0.37681200000000004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  <c r="BU7" s="46">
        <v>0</v>
      </c>
      <c r="BV7" s="46">
        <v>0</v>
      </c>
      <c r="BW7" s="46">
        <v>0</v>
      </c>
      <c r="BX7" s="46">
        <v>0</v>
      </c>
    </row>
    <row r="8" spans="1:76" hidden="1" x14ac:dyDescent="0.25">
      <c r="A8" s="66"/>
      <c r="B8" s="67"/>
      <c r="C8" s="67" t="s">
        <v>159</v>
      </c>
      <c r="D8" s="67"/>
      <c r="E8" s="67"/>
      <c r="F8" s="68" t="s">
        <v>160</v>
      </c>
      <c r="G8" s="68"/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69">
        <v>0</v>
      </c>
      <c r="V8" s="69">
        <v>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69">
        <v>0</v>
      </c>
      <c r="AD8" s="69">
        <v>0</v>
      </c>
      <c r="AE8" s="69">
        <v>0</v>
      </c>
      <c r="AF8" s="69">
        <v>0</v>
      </c>
      <c r="AG8" s="69">
        <v>0</v>
      </c>
      <c r="AH8" s="69">
        <v>0</v>
      </c>
      <c r="AI8" s="69">
        <v>0</v>
      </c>
      <c r="AJ8" s="69">
        <v>0</v>
      </c>
      <c r="AK8" s="69">
        <v>0</v>
      </c>
      <c r="AL8" s="69">
        <v>0</v>
      </c>
      <c r="AM8" s="69">
        <v>0</v>
      </c>
      <c r="AN8" s="69">
        <v>0</v>
      </c>
      <c r="AO8" s="69">
        <v>0</v>
      </c>
      <c r="AP8" s="69">
        <v>0</v>
      </c>
      <c r="AQ8" s="69">
        <v>0</v>
      </c>
      <c r="AR8" s="69">
        <v>0</v>
      </c>
      <c r="AS8" s="69">
        <v>0</v>
      </c>
      <c r="AT8" s="69">
        <v>0</v>
      </c>
      <c r="AU8" s="69">
        <v>0</v>
      </c>
      <c r="AV8" s="69">
        <v>0</v>
      </c>
      <c r="AW8" s="69">
        <v>0</v>
      </c>
      <c r="AX8" s="69">
        <v>0</v>
      </c>
      <c r="AY8" s="69">
        <v>0</v>
      </c>
      <c r="AZ8" s="69">
        <v>0</v>
      </c>
      <c r="BA8" s="69">
        <v>0</v>
      </c>
      <c r="BB8" s="69">
        <v>0</v>
      </c>
      <c r="BC8" s="69">
        <v>0</v>
      </c>
      <c r="BD8" s="69">
        <v>0</v>
      </c>
      <c r="BE8" s="69">
        <v>0</v>
      </c>
      <c r="BF8" s="69">
        <v>0</v>
      </c>
      <c r="BG8" s="69">
        <v>0</v>
      </c>
      <c r="BH8" s="69">
        <v>0</v>
      </c>
      <c r="BI8" s="69">
        <v>0</v>
      </c>
      <c r="BJ8" s="69">
        <v>0</v>
      </c>
      <c r="BK8" s="69">
        <v>0</v>
      </c>
      <c r="BL8" s="69">
        <v>0</v>
      </c>
      <c r="BM8" s="69">
        <v>0</v>
      </c>
      <c r="BN8" s="69">
        <v>0</v>
      </c>
      <c r="BO8" s="69">
        <v>0</v>
      </c>
      <c r="BP8" s="69">
        <v>0</v>
      </c>
      <c r="BQ8" s="69">
        <v>0</v>
      </c>
      <c r="BR8" s="69">
        <v>0</v>
      </c>
      <c r="BS8" s="69">
        <v>0</v>
      </c>
      <c r="BT8" s="69">
        <v>0</v>
      </c>
      <c r="BU8" s="69">
        <v>0</v>
      </c>
      <c r="BV8" s="69">
        <v>0</v>
      </c>
      <c r="BW8" s="69">
        <v>0</v>
      </c>
      <c r="BX8" s="69">
        <v>0</v>
      </c>
    </row>
    <row r="9" spans="1:76" hidden="1" x14ac:dyDescent="0.25">
      <c r="A9" s="63" t="s">
        <v>152</v>
      </c>
      <c r="B9" s="64" t="s">
        <v>161</v>
      </c>
      <c r="C9" s="64"/>
      <c r="D9" s="64"/>
      <c r="E9" s="64"/>
      <c r="F9" s="65" t="s">
        <v>162</v>
      </c>
      <c r="G9" s="65"/>
      <c r="H9" s="46">
        <v>0.379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0.379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0.379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  <c r="BU9" s="46">
        <v>0</v>
      </c>
      <c r="BV9" s="46">
        <v>0</v>
      </c>
      <c r="BW9" s="46">
        <v>0</v>
      </c>
      <c r="BX9" s="46">
        <v>0</v>
      </c>
    </row>
    <row r="10" spans="1:76" hidden="1" x14ac:dyDescent="0.25">
      <c r="A10" s="63" t="s">
        <v>152</v>
      </c>
      <c r="B10" s="64" t="s">
        <v>163</v>
      </c>
      <c r="C10" s="64"/>
      <c r="D10" s="64"/>
      <c r="E10" s="64"/>
      <c r="F10" s="65" t="s">
        <v>164</v>
      </c>
      <c r="G10" s="65"/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  <c r="BU10" s="46">
        <v>0</v>
      </c>
      <c r="BV10" s="46">
        <v>0</v>
      </c>
      <c r="BW10" s="46">
        <v>0</v>
      </c>
      <c r="BX10" s="46">
        <v>0</v>
      </c>
    </row>
    <row r="11" spans="1:76" hidden="1" x14ac:dyDescent="0.25">
      <c r="A11" s="70" t="s">
        <v>152</v>
      </c>
      <c r="B11" s="71" t="s">
        <v>165</v>
      </c>
      <c r="C11" s="71"/>
      <c r="D11" s="71"/>
      <c r="E11" s="71"/>
      <c r="F11" s="72" t="s">
        <v>166</v>
      </c>
      <c r="G11" s="72"/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73">
        <v>0</v>
      </c>
      <c r="X11" s="73">
        <v>0</v>
      </c>
      <c r="Y11" s="73">
        <v>0</v>
      </c>
      <c r="Z11" s="73">
        <v>0</v>
      </c>
      <c r="AA11" s="73">
        <v>0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3">
        <v>0</v>
      </c>
      <c r="AO11" s="73">
        <v>0</v>
      </c>
      <c r="AP11" s="73">
        <v>0</v>
      </c>
      <c r="AQ11" s="73">
        <v>0</v>
      </c>
      <c r="AR11" s="73">
        <v>0</v>
      </c>
      <c r="AS11" s="73">
        <v>0</v>
      </c>
      <c r="AT11" s="73">
        <v>0</v>
      </c>
      <c r="AU11" s="73">
        <v>0</v>
      </c>
      <c r="AV11" s="73">
        <v>0</v>
      </c>
      <c r="AW11" s="73">
        <v>0</v>
      </c>
      <c r="AX11" s="73">
        <v>0</v>
      </c>
      <c r="AY11" s="73">
        <v>0</v>
      </c>
      <c r="AZ11" s="73">
        <v>0</v>
      </c>
      <c r="BA11" s="73">
        <v>0</v>
      </c>
      <c r="BB11" s="73">
        <v>0</v>
      </c>
      <c r="BC11" s="73">
        <v>0</v>
      </c>
      <c r="BD11" s="73">
        <v>0</v>
      </c>
      <c r="BE11" s="73">
        <v>0</v>
      </c>
      <c r="BF11" s="73">
        <v>0</v>
      </c>
      <c r="BG11" s="73">
        <v>0</v>
      </c>
      <c r="BH11" s="73">
        <v>0</v>
      </c>
      <c r="BI11" s="73">
        <v>0</v>
      </c>
      <c r="BJ11" s="73">
        <v>0</v>
      </c>
      <c r="BK11" s="73">
        <v>0</v>
      </c>
      <c r="BL11" s="73">
        <v>0</v>
      </c>
      <c r="BM11" s="73">
        <v>0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3">
        <v>0</v>
      </c>
      <c r="BT11" s="73">
        <v>0</v>
      </c>
      <c r="BU11" s="73">
        <v>0</v>
      </c>
      <c r="BV11" s="73">
        <v>0</v>
      </c>
      <c r="BW11" s="73">
        <v>0</v>
      </c>
      <c r="BX11" s="73">
        <v>0</v>
      </c>
    </row>
    <row r="12" spans="1:76" hidden="1" x14ac:dyDescent="0.25">
      <c r="A12" s="56" t="s">
        <v>167</v>
      </c>
      <c r="B12" s="56"/>
      <c r="C12" s="56"/>
      <c r="D12" s="56"/>
      <c r="E12" s="56"/>
      <c r="F12" s="57" t="s">
        <v>168</v>
      </c>
      <c r="G12" s="57"/>
      <c r="H12" s="58">
        <v>105.98782000000001</v>
      </c>
      <c r="I12" s="58">
        <v>3.2302119999999999</v>
      </c>
      <c r="J12" s="58">
        <v>2.0506440000000001</v>
      </c>
      <c r="K12" s="58">
        <v>0</v>
      </c>
      <c r="L12" s="58">
        <v>1.0120960000000001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0.16747200000000001</v>
      </c>
      <c r="T12" s="58">
        <v>0</v>
      </c>
      <c r="U12" s="58">
        <v>0</v>
      </c>
      <c r="V12" s="58">
        <v>0</v>
      </c>
      <c r="W12" s="58">
        <v>35.284471999999994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3.5300199999999999</v>
      </c>
      <c r="AF12" s="58">
        <v>7.2569999999999997</v>
      </c>
      <c r="AG12" s="58">
        <v>0</v>
      </c>
      <c r="AH12" s="58">
        <v>0</v>
      </c>
      <c r="AI12" s="58">
        <v>1.3800000000000001</v>
      </c>
      <c r="AJ12" s="58">
        <v>0</v>
      </c>
      <c r="AK12" s="58">
        <v>0</v>
      </c>
      <c r="AL12" s="58">
        <v>22.85</v>
      </c>
      <c r="AM12" s="58">
        <v>8.3736000000000005E-2</v>
      </c>
      <c r="AN12" s="58">
        <v>0</v>
      </c>
      <c r="AO12" s="58">
        <v>0</v>
      </c>
      <c r="AP12" s="58">
        <v>0</v>
      </c>
      <c r="AQ12" s="58">
        <v>0.129</v>
      </c>
      <c r="AR12" s="58">
        <v>0</v>
      </c>
      <c r="AS12" s="58">
        <v>0</v>
      </c>
      <c r="AT12" s="58">
        <v>17.395047999999999</v>
      </c>
      <c r="AU12" s="58">
        <v>17.395047999999999</v>
      </c>
      <c r="AV12" s="58">
        <v>0</v>
      </c>
      <c r="AW12" s="58">
        <v>0</v>
      </c>
      <c r="AX12" s="58">
        <v>0</v>
      </c>
      <c r="AY12" s="58">
        <v>0</v>
      </c>
      <c r="AZ12" s="58">
        <v>28.035955999999999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28.016956</v>
      </c>
      <c r="BG12" s="58">
        <v>2.8000000000000001E-2</v>
      </c>
      <c r="BH12" s="58">
        <v>0</v>
      </c>
      <c r="BI12" s="58">
        <v>0</v>
      </c>
      <c r="BJ12" s="58">
        <v>0</v>
      </c>
      <c r="BK12" s="58">
        <v>1.9E-2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8.963000000000001</v>
      </c>
      <c r="BX12" s="58">
        <v>13.017548</v>
      </c>
    </row>
    <row r="13" spans="1:76" hidden="1" x14ac:dyDescent="0.25">
      <c r="A13" s="59" t="s">
        <v>152</v>
      </c>
      <c r="B13" s="60" t="s">
        <v>169</v>
      </c>
      <c r="C13" s="60"/>
      <c r="D13" s="60"/>
      <c r="E13" s="60"/>
      <c r="F13" s="61" t="s">
        <v>170</v>
      </c>
      <c r="G13" s="61"/>
      <c r="H13" s="62">
        <v>8.7123280000000012</v>
      </c>
      <c r="I13" s="62">
        <v>1.172304</v>
      </c>
      <c r="J13" s="62">
        <v>8.3736000000000005E-2</v>
      </c>
      <c r="K13" s="62">
        <v>0</v>
      </c>
      <c r="L13" s="62">
        <v>0.92109600000000003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0.16747200000000001</v>
      </c>
      <c r="T13" s="62">
        <v>0</v>
      </c>
      <c r="U13" s="62">
        <v>0</v>
      </c>
      <c r="V13" s="62">
        <v>0</v>
      </c>
      <c r="W13" s="62">
        <v>0.42673599999999995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>
        <v>0</v>
      </c>
      <c r="AE13" s="62">
        <v>0</v>
      </c>
      <c r="AF13" s="62">
        <v>0</v>
      </c>
      <c r="AG13" s="62">
        <v>0</v>
      </c>
      <c r="AH13" s="62">
        <v>0</v>
      </c>
      <c r="AI13" s="62">
        <v>0</v>
      </c>
      <c r="AJ13" s="62">
        <v>0</v>
      </c>
      <c r="AK13" s="62">
        <v>0</v>
      </c>
      <c r="AL13" s="62">
        <v>0.214</v>
      </c>
      <c r="AM13" s="62">
        <v>8.3736000000000005E-2</v>
      </c>
      <c r="AN13" s="62">
        <v>0</v>
      </c>
      <c r="AO13" s="62">
        <v>0</v>
      </c>
      <c r="AP13" s="62">
        <v>0</v>
      </c>
      <c r="AQ13" s="62">
        <v>0.129</v>
      </c>
      <c r="AR13" s="62">
        <v>0</v>
      </c>
      <c r="AS13" s="62">
        <v>0</v>
      </c>
      <c r="AT13" s="62">
        <v>2.4997400000000001</v>
      </c>
      <c r="AU13" s="62">
        <v>2.4997400000000001</v>
      </c>
      <c r="AV13" s="62">
        <v>0</v>
      </c>
      <c r="AW13" s="62">
        <v>0</v>
      </c>
      <c r="AX13" s="62">
        <v>0</v>
      </c>
      <c r="AY13" s="62">
        <v>0</v>
      </c>
      <c r="AZ13" s="62">
        <v>4.2999999999999997E-2</v>
      </c>
      <c r="BA13" s="62">
        <v>0</v>
      </c>
      <c r="BB13" s="62">
        <v>0</v>
      </c>
      <c r="BC13" s="62">
        <v>0</v>
      </c>
      <c r="BD13" s="62">
        <v>0</v>
      </c>
      <c r="BE13" s="62">
        <v>0</v>
      </c>
      <c r="BF13" s="62">
        <v>4.2999999999999997E-2</v>
      </c>
      <c r="BG13" s="62">
        <v>2.8000000000000001E-2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62">
        <v>0</v>
      </c>
      <c r="BQ13" s="62">
        <v>0</v>
      </c>
      <c r="BR13" s="62">
        <v>0</v>
      </c>
      <c r="BS13" s="62">
        <v>0</v>
      </c>
      <c r="BT13" s="62">
        <v>0</v>
      </c>
      <c r="BU13" s="62">
        <v>0</v>
      </c>
      <c r="BV13" s="62">
        <v>0</v>
      </c>
      <c r="BW13" s="62">
        <v>1.8880000000000001</v>
      </c>
      <c r="BX13" s="62">
        <v>2.6825479999999997</v>
      </c>
    </row>
    <row r="14" spans="1:76" hidden="1" x14ac:dyDescent="0.25">
      <c r="A14" s="74"/>
      <c r="B14" s="63" t="s">
        <v>152</v>
      </c>
      <c r="C14" s="64" t="s">
        <v>171</v>
      </c>
      <c r="D14" s="64"/>
      <c r="E14" s="64"/>
      <c r="F14" s="65" t="s">
        <v>172</v>
      </c>
      <c r="G14" s="65"/>
      <c r="H14" s="46">
        <v>7.0000000000000001E-3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7.0000000000000001E-3</v>
      </c>
    </row>
    <row r="15" spans="1:76" hidden="1" x14ac:dyDescent="0.25">
      <c r="A15" s="74"/>
      <c r="B15" s="63" t="s">
        <v>152</v>
      </c>
      <c r="C15" s="64" t="s">
        <v>173</v>
      </c>
      <c r="D15" s="64"/>
      <c r="E15" s="64"/>
      <c r="F15" s="65" t="s">
        <v>174</v>
      </c>
      <c r="G15" s="65"/>
      <c r="H15" s="46">
        <v>0.21099999999999999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0</v>
      </c>
      <c r="AQ15" s="46">
        <v>0</v>
      </c>
      <c r="AR15" s="46">
        <v>0</v>
      </c>
      <c r="AS15" s="46">
        <v>0</v>
      </c>
      <c r="AT15" s="46">
        <v>2.4999999999999998E-2</v>
      </c>
      <c r="AU15" s="46">
        <v>2.4999999999999998E-2</v>
      </c>
      <c r="AV15" s="46">
        <v>0</v>
      </c>
      <c r="AW15" s="46">
        <v>0</v>
      </c>
      <c r="AX15" s="46">
        <v>0</v>
      </c>
      <c r="AY15" s="46">
        <v>0</v>
      </c>
      <c r="AZ15" s="46">
        <v>5.0000000000000001E-3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5.0000000000000001E-3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  <c r="BU15" s="46">
        <v>0</v>
      </c>
      <c r="BV15" s="46">
        <v>0</v>
      </c>
      <c r="BW15" s="46">
        <v>1.9E-2</v>
      </c>
      <c r="BX15" s="46">
        <v>0.16200000000000001</v>
      </c>
    </row>
    <row r="16" spans="1:76" hidden="1" x14ac:dyDescent="0.25">
      <c r="A16" s="74"/>
      <c r="B16" s="63" t="s">
        <v>152</v>
      </c>
      <c r="C16" s="64" t="s">
        <v>175</v>
      </c>
      <c r="D16" s="64"/>
      <c r="E16" s="64"/>
      <c r="F16" s="65" t="s">
        <v>176</v>
      </c>
      <c r="G16" s="65"/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0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  <c r="BU16" s="46">
        <v>0</v>
      </c>
      <c r="BV16" s="46">
        <v>0</v>
      </c>
      <c r="BW16" s="46">
        <v>0</v>
      </c>
      <c r="BX16" s="46">
        <v>0</v>
      </c>
    </row>
    <row r="17" spans="1:76" hidden="1" x14ac:dyDescent="0.25">
      <c r="A17" s="74"/>
      <c r="B17" s="63" t="s">
        <v>152</v>
      </c>
      <c r="C17" s="64" t="s">
        <v>177</v>
      </c>
      <c r="D17" s="64"/>
      <c r="E17" s="64"/>
      <c r="F17" s="65" t="s">
        <v>178</v>
      </c>
      <c r="G17" s="65"/>
      <c r="H17" s="46">
        <v>3.1057600000000001</v>
      </c>
      <c r="I17" s="46">
        <v>1.088568</v>
      </c>
      <c r="J17" s="46">
        <v>0</v>
      </c>
      <c r="K17" s="46">
        <v>0</v>
      </c>
      <c r="L17" s="46">
        <v>0.92109600000000003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0.16747200000000001</v>
      </c>
      <c r="T17" s="46">
        <v>0</v>
      </c>
      <c r="U17" s="46">
        <v>0</v>
      </c>
      <c r="V17" s="46">
        <v>0</v>
      </c>
      <c r="W17" s="46">
        <v>0.17199999999999999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4.2999999999999997E-2</v>
      </c>
      <c r="AM17" s="46">
        <v>0</v>
      </c>
      <c r="AN17" s="46">
        <v>0</v>
      </c>
      <c r="AO17" s="46">
        <v>0</v>
      </c>
      <c r="AP17" s="46">
        <v>0</v>
      </c>
      <c r="AQ17" s="46">
        <v>0.129</v>
      </c>
      <c r="AR17" s="46">
        <v>0</v>
      </c>
      <c r="AS17" s="46">
        <v>0</v>
      </c>
      <c r="AT17" s="46">
        <v>1.3816440000000001</v>
      </c>
      <c r="AU17" s="46">
        <v>1.3816440000000001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  <c r="BU17" s="46">
        <v>0</v>
      </c>
      <c r="BV17" s="46">
        <v>0</v>
      </c>
      <c r="BW17" s="46">
        <v>3.0000000000000001E-3</v>
      </c>
      <c r="BX17" s="46">
        <v>0.46054800000000001</v>
      </c>
    </row>
    <row r="18" spans="1:76" hidden="1" x14ac:dyDescent="0.25">
      <c r="A18" s="74"/>
      <c r="B18" s="63" t="s">
        <v>152</v>
      </c>
      <c r="C18" s="64" t="s">
        <v>179</v>
      </c>
      <c r="D18" s="64"/>
      <c r="E18" s="64"/>
      <c r="F18" s="65" t="s">
        <v>180</v>
      </c>
      <c r="G18" s="65"/>
      <c r="H18" s="46">
        <v>1.3000000000000001E-2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1E-3</v>
      </c>
      <c r="AU18" s="46">
        <v>1E-3</v>
      </c>
      <c r="AV18" s="46">
        <v>0</v>
      </c>
      <c r="AW18" s="46">
        <v>0</v>
      </c>
      <c r="AX18" s="46">
        <v>0</v>
      </c>
      <c r="AY18" s="46">
        <v>0</v>
      </c>
      <c r="AZ18" s="46">
        <v>1E-3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1E-3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  <c r="BU18" s="46">
        <v>0</v>
      </c>
      <c r="BV18" s="46">
        <v>0</v>
      </c>
      <c r="BW18" s="46">
        <v>0</v>
      </c>
      <c r="BX18" s="46">
        <v>1.1000000000000001E-2</v>
      </c>
    </row>
    <row r="19" spans="1:76" hidden="1" x14ac:dyDescent="0.25">
      <c r="A19" s="74"/>
      <c r="B19" s="63" t="s">
        <v>152</v>
      </c>
      <c r="C19" s="64" t="s">
        <v>181</v>
      </c>
      <c r="D19" s="64"/>
      <c r="E19" s="64"/>
      <c r="F19" s="65" t="s">
        <v>182</v>
      </c>
      <c r="G19" s="65"/>
      <c r="H19" s="46">
        <v>0.185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6">
        <v>0</v>
      </c>
      <c r="AM19" s="46">
        <v>0</v>
      </c>
      <c r="AN19" s="46">
        <v>0</v>
      </c>
      <c r="AO19" s="46">
        <v>0</v>
      </c>
      <c r="AP19" s="46">
        <v>0</v>
      </c>
      <c r="AQ19" s="46">
        <v>0</v>
      </c>
      <c r="AR19" s="46">
        <v>0</v>
      </c>
      <c r="AS19" s="46">
        <v>0</v>
      </c>
      <c r="AT19" s="46">
        <v>1.4999999999999999E-2</v>
      </c>
      <c r="AU19" s="46">
        <v>1.4999999999999999E-2</v>
      </c>
      <c r="AV19" s="46">
        <v>0</v>
      </c>
      <c r="AW19" s="46">
        <v>0</v>
      </c>
      <c r="AX19" s="46">
        <v>0</v>
      </c>
      <c r="AY19" s="46">
        <v>0</v>
      </c>
      <c r="AZ19" s="46">
        <v>0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46">
        <v>0</v>
      </c>
      <c r="BU19" s="46">
        <v>0</v>
      </c>
      <c r="BV19" s="46">
        <v>0</v>
      </c>
      <c r="BW19" s="46">
        <v>4.0000000000000001E-3</v>
      </c>
      <c r="BX19" s="46">
        <v>0.16600000000000001</v>
      </c>
    </row>
    <row r="20" spans="1:76" hidden="1" x14ac:dyDescent="0.25">
      <c r="A20" s="74"/>
      <c r="B20" s="63" t="s">
        <v>152</v>
      </c>
      <c r="C20" s="64" t="s">
        <v>183</v>
      </c>
      <c r="D20" s="64"/>
      <c r="E20" s="64"/>
      <c r="F20" s="65" t="s">
        <v>184</v>
      </c>
      <c r="G20" s="65"/>
      <c r="H20" s="46">
        <v>0.09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4.2999999999999997E-2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4.2999999999999997E-2</v>
      </c>
      <c r="AM20" s="46">
        <v>0</v>
      </c>
      <c r="AN20" s="46">
        <v>0</v>
      </c>
      <c r="AO20" s="46">
        <v>0</v>
      </c>
      <c r="AP20" s="46">
        <v>0</v>
      </c>
      <c r="AQ20" s="4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0</v>
      </c>
      <c r="AZ20" s="46">
        <v>0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  <c r="BU20" s="46">
        <v>0</v>
      </c>
      <c r="BV20" s="46">
        <v>0</v>
      </c>
      <c r="BW20" s="46">
        <v>0</v>
      </c>
      <c r="BX20" s="46">
        <v>4.7000000000000007E-2</v>
      </c>
    </row>
    <row r="21" spans="1:76" hidden="1" x14ac:dyDescent="0.25">
      <c r="A21" s="74"/>
      <c r="B21" s="63" t="s">
        <v>152</v>
      </c>
      <c r="C21" s="64" t="s">
        <v>185</v>
      </c>
      <c r="D21" s="64"/>
      <c r="E21" s="64"/>
      <c r="F21" s="65" t="s">
        <v>186</v>
      </c>
      <c r="G21" s="65"/>
      <c r="H21" s="46">
        <v>4.3035680000000003</v>
      </c>
      <c r="I21" s="46">
        <v>8.3736000000000005E-2</v>
      </c>
      <c r="J21" s="46">
        <v>8.3736000000000005E-2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8.3736000000000005E-2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8.3736000000000005E-2</v>
      </c>
      <c r="AN21" s="46">
        <v>0</v>
      </c>
      <c r="AO21" s="46">
        <v>0</v>
      </c>
      <c r="AP21" s="46">
        <v>0</v>
      </c>
      <c r="AQ21" s="46">
        <v>0</v>
      </c>
      <c r="AR21" s="46">
        <v>0</v>
      </c>
      <c r="AS21" s="46">
        <v>0</v>
      </c>
      <c r="AT21" s="46">
        <v>0.92109600000000003</v>
      </c>
      <c r="AU21" s="46">
        <v>0.92109600000000003</v>
      </c>
      <c r="AV21" s="46">
        <v>0</v>
      </c>
      <c r="AW21" s="46">
        <v>0</v>
      </c>
      <c r="AX21" s="46">
        <v>0</v>
      </c>
      <c r="AY21" s="46">
        <v>0</v>
      </c>
      <c r="AZ21" s="46">
        <v>2.8000000000000001E-2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2.8000000000000001E-2</v>
      </c>
      <c r="BG21" s="46">
        <v>2.8000000000000001E-2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0</v>
      </c>
      <c r="BR21" s="46">
        <v>0</v>
      </c>
      <c r="BS21" s="46">
        <v>0</v>
      </c>
      <c r="BT21" s="46">
        <v>0</v>
      </c>
      <c r="BU21" s="46">
        <v>0</v>
      </c>
      <c r="BV21" s="46">
        <v>0</v>
      </c>
      <c r="BW21" s="46">
        <v>1.7610000000000001</v>
      </c>
      <c r="BX21" s="46">
        <v>1.4260000000000002</v>
      </c>
    </row>
    <row r="22" spans="1:76" hidden="1" x14ac:dyDescent="0.25">
      <c r="A22" s="74"/>
      <c r="B22" s="63" t="s">
        <v>152</v>
      </c>
      <c r="C22" s="64" t="s">
        <v>187</v>
      </c>
      <c r="D22" s="64"/>
      <c r="E22" s="64"/>
      <c r="F22" s="65" t="s">
        <v>188</v>
      </c>
      <c r="G22" s="65"/>
      <c r="H22" s="46">
        <v>0.10200000000000001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46">
        <v>0</v>
      </c>
      <c r="AQ22" s="46">
        <v>0</v>
      </c>
      <c r="AR22" s="46">
        <v>0</v>
      </c>
      <c r="AS22" s="46">
        <v>0</v>
      </c>
      <c r="AT22" s="46">
        <v>4.4000000000000004E-2</v>
      </c>
      <c r="AU22" s="46">
        <v>4.4000000000000004E-2</v>
      </c>
      <c r="AV22" s="46">
        <v>0</v>
      </c>
      <c r="AW22" s="46">
        <v>0</v>
      </c>
      <c r="AX22" s="46">
        <v>0</v>
      </c>
      <c r="AY22" s="46">
        <v>0</v>
      </c>
      <c r="AZ22" s="46">
        <v>0</v>
      </c>
      <c r="BA22" s="46">
        <v>0</v>
      </c>
      <c r="BB22" s="46">
        <v>0</v>
      </c>
      <c r="BC22" s="46">
        <v>0</v>
      </c>
      <c r="BD22" s="46">
        <v>0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0</v>
      </c>
      <c r="BO22" s="46">
        <v>0</v>
      </c>
      <c r="BP22" s="46">
        <v>0</v>
      </c>
      <c r="BQ22" s="46">
        <v>0</v>
      </c>
      <c r="BR22" s="46">
        <v>0</v>
      </c>
      <c r="BS22" s="46">
        <v>0</v>
      </c>
      <c r="BT22" s="46">
        <v>0</v>
      </c>
      <c r="BU22" s="46">
        <v>0</v>
      </c>
      <c r="BV22" s="46">
        <v>0</v>
      </c>
      <c r="BW22" s="46">
        <v>2.6000000000000002E-2</v>
      </c>
      <c r="BX22" s="46">
        <v>3.2000000000000001E-2</v>
      </c>
    </row>
    <row r="23" spans="1:76" hidden="1" x14ac:dyDescent="0.25">
      <c r="A23" s="74"/>
      <c r="B23" s="63" t="s">
        <v>152</v>
      </c>
      <c r="C23" s="64" t="s">
        <v>189</v>
      </c>
      <c r="D23" s="64"/>
      <c r="E23" s="64"/>
      <c r="F23" s="65" t="s">
        <v>190</v>
      </c>
      <c r="G23" s="65"/>
      <c r="H23" s="46">
        <v>0.14899999999999999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5.0000000000000001E-3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5.0000000000000001E-3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0</v>
      </c>
      <c r="BX23" s="46">
        <v>0.14399999999999999</v>
      </c>
    </row>
    <row r="24" spans="1:76" hidden="1" x14ac:dyDescent="0.25">
      <c r="A24" s="74"/>
      <c r="B24" s="63" t="s">
        <v>152</v>
      </c>
      <c r="C24" s="64" t="s">
        <v>191</v>
      </c>
      <c r="D24" s="64"/>
      <c r="E24" s="64"/>
      <c r="F24" s="65" t="s">
        <v>192</v>
      </c>
      <c r="G24" s="65"/>
      <c r="H24" s="46">
        <v>0.16899999999999998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0.128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0.128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1.6E-2</v>
      </c>
      <c r="AU24" s="46">
        <v>1.6E-2</v>
      </c>
      <c r="AV24" s="46">
        <v>0</v>
      </c>
      <c r="AW24" s="46">
        <v>0</v>
      </c>
      <c r="AX24" s="46">
        <v>0</v>
      </c>
      <c r="AY24" s="46">
        <v>0</v>
      </c>
      <c r="AZ24" s="46">
        <v>2E-3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2E-3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0</v>
      </c>
      <c r="BO24" s="46">
        <v>0</v>
      </c>
      <c r="BP24" s="46">
        <v>0</v>
      </c>
      <c r="BQ24" s="46">
        <v>0</v>
      </c>
      <c r="BR24" s="46">
        <v>0</v>
      </c>
      <c r="BS24" s="46">
        <v>0</v>
      </c>
      <c r="BT24" s="46">
        <v>0</v>
      </c>
      <c r="BU24" s="46">
        <v>0</v>
      </c>
      <c r="BV24" s="46">
        <v>0</v>
      </c>
      <c r="BW24" s="46">
        <v>1E-3</v>
      </c>
      <c r="BX24" s="46">
        <v>2.2000000000000002E-2</v>
      </c>
    </row>
    <row r="25" spans="1:76" hidden="1" x14ac:dyDescent="0.25">
      <c r="A25" s="74"/>
      <c r="B25" s="63" t="s">
        <v>152</v>
      </c>
      <c r="C25" s="64" t="s">
        <v>193</v>
      </c>
      <c r="D25" s="64"/>
      <c r="E25" s="64"/>
      <c r="F25" s="65" t="s">
        <v>194</v>
      </c>
      <c r="G25" s="65"/>
      <c r="H25" s="46">
        <v>0.23600000000000002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  <c r="AN25" s="46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0.03</v>
      </c>
      <c r="AU25" s="46">
        <v>0.03</v>
      </c>
      <c r="AV25" s="46">
        <v>0</v>
      </c>
      <c r="AW25" s="46">
        <v>0</v>
      </c>
      <c r="AX25" s="46">
        <v>0</v>
      </c>
      <c r="AY25" s="46">
        <v>0</v>
      </c>
      <c r="AZ25" s="46">
        <v>1E-3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1E-3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46">
        <v>0</v>
      </c>
      <c r="BT25" s="46">
        <v>0</v>
      </c>
      <c r="BU25" s="46">
        <v>0</v>
      </c>
      <c r="BV25" s="46">
        <v>0</v>
      </c>
      <c r="BW25" s="46">
        <v>6.8000000000000005E-2</v>
      </c>
      <c r="BX25" s="46">
        <v>0.13699999999999998</v>
      </c>
    </row>
    <row r="26" spans="1:76" hidden="1" x14ac:dyDescent="0.25">
      <c r="A26" s="74"/>
      <c r="B26" s="63" t="s">
        <v>152</v>
      </c>
      <c r="C26" s="64" t="s">
        <v>195</v>
      </c>
      <c r="D26" s="64"/>
      <c r="E26" s="64"/>
      <c r="F26" s="65" t="s">
        <v>196</v>
      </c>
      <c r="G26" s="65"/>
      <c r="H26" s="46">
        <v>0.14100000000000001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  <c r="AG26" s="46">
        <v>0</v>
      </c>
      <c r="AH26" s="46">
        <v>0</v>
      </c>
      <c r="AI26" s="46">
        <v>0</v>
      </c>
      <c r="AJ26" s="46">
        <v>0</v>
      </c>
      <c r="AK26" s="46">
        <v>0</v>
      </c>
      <c r="AL26" s="46">
        <v>0</v>
      </c>
      <c r="AM26" s="46">
        <v>0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0</v>
      </c>
      <c r="AT26" s="46">
        <v>6.6000000000000003E-2</v>
      </c>
      <c r="AU26" s="46">
        <v>6.6000000000000003E-2</v>
      </c>
      <c r="AV26" s="46">
        <v>0</v>
      </c>
      <c r="AW26" s="46">
        <v>0</v>
      </c>
      <c r="AX26" s="46">
        <v>0</v>
      </c>
      <c r="AY26" s="46">
        <v>0</v>
      </c>
      <c r="AZ26" s="46">
        <v>1E-3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1E-3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0</v>
      </c>
      <c r="BR26" s="46">
        <v>0</v>
      </c>
      <c r="BS26" s="46">
        <v>0</v>
      </c>
      <c r="BT26" s="46">
        <v>0</v>
      </c>
      <c r="BU26" s="46">
        <v>0</v>
      </c>
      <c r="BV26" s="46">
        <v>0</v>
      </c>
      <c r="BW26" s="46">
        <v>6.0000000000000001E-3</v>
      </c>
      <c r="BX26" s="46">
        <v>6.8000000000000005E-2</v>
      </c>
    </row>
    <row r="27" spans="1:76" hidden="1" x14ac:dyDescent="0.25">
      <c r="A27" s="63" t="s">
        <v>152</v>
      </c>
      <c r="B27" s="64" t="s">
        <v>197</v>
      </c>
      <c r="C27" s="64"/>
      <c r="D27" s="64"/>
      <c r="E27" s="64"/>
      <c r="F27" s="65" t="s">
        <v>198</v>
      </c>
      <c r="G27" s="65"/>
      <c r="H27" s="46">
        <v>30.010584000000001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28.765999999999998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0.54428399999999999</v>
      </c>
      <c r="AF27" s="46">
        <v>7.2569999999999997</v>
      </c>
      <c r="AG27" s="46">
        <v>0</v>
      </c>
      <c r="AH27" s="46">
        <v>0</v>
      </c>
      <c r="AI27" s="46">
        <v>1.3800000000000001</v>
      </c>
      <c r="AJ27" s="46">
        <v>0</v>
      </c>
      <c r="AK27" s="46">
        <v>0</v>
      </c>
      <c r="AL27" s="46">
        <v>19.53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0.96</v>
      </c>
      <c r="AU27" s="46">
        <v>0.96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0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0.223</v>
      </c>
    </row>
    <row r="28" spans="1:76" hidden="1" x14ac:dyDescent="0.25">
      <c r="A28" s="74"/>
      <c r="B28" s="63" t="s">
        <v>152</v>
      </c>
      <c r="C28" s="64" t="s">
        <v>199</v>
      </c>
      <c r="D28" s="64"/>
      <c r="E28" s="64"/>
      <c r="F28" s="65" t="s">
        <v>200</v>
      </c>
      <c r="G28" s="65"/>
      <c r="H28" s="46">
        <v>0.55299999999999994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0.55299999999999994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0.55299999999999994</v>
      </c>
      <c r="AM28" s="46">
        <v>0</v>
      </c>
      <c r="AN28" s="46">
        <v>0</v>
      </c>
      <c r="AO28" s="46">
        <v>0</v>
      </c>
      <c r="AP28" s="46">
        <v>0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0</v>
      </c>
      <c r="AZ28" s="46">
        <v>0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0</v>
      </c>
      <c r="BO28" s="46">
        <v>0</v>
      </c>
      <c r="BP28" s="46">
        <v>0</v>
      </c>
      <c r="BQ28" s="46">
        <v>0</v>
      </c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</row>
    <row r="29" spans="1:76" hidden="1" x14ac:dyDescent="0.25">
      <c r="A29" s="74"/>
      <c r="B29" s="63" t="s">
        <v>152</v>
      </c>
      <c r="C29" s="64" t="s">
        <v>201</v>
      </c>
      <c r="D29" s="64"/>
      <c r="E29" s="64"/>
      <c r="F29" s="65" t="s">
        <v>202</v>
      </c>
      <c r="G29" s="65"/>
      <c r="H29" s="46">
        <v>27.688584000000002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26.725619999999999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0.54428399999999999</v>
      </c>
      <c r="AF29" s="46">
        <v>7.2569999999999997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18.924336</v>
      </c>
      <c r="AM29" s="46">
        <v>0</v>
      </c>
      <c r="AN29" s="46">
        <v>0</v>
      </c>
      <c r="AO29" s="46">
        <v>0</v>
      </c>
      <c r="AP29" s="46">
        <v>0</v>
      </c>
      <c r="AQ29" s="46">
        <v>0</v>
      </c>
      <c r="AR29" s="46">
        <v>0</v>
      </c>
      <c r="AS29" s="46">
        <v>0</v>
      </c>
      <c r="AT29" s="46">
        <v>0.79549200000000009</v>
      </c>
      <c r="AU29" s="46">
        <v>0.79549200000000009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0</v>
      </c>
      <c r="BO29" s="46">
        <v>0</v>
      </c>
      <c r="BP29" s="46">
        <v>0</v>
      </c>
      <c r="BQ29" s="46">
        <v>0</v>
      </c>
      <c r="BR29" s="46">
        <v>0</v>
      </c>
      <c r="BS29" s="46">
        <v>0</v>
      </c>
      <c r="BT29" s="46">
        <v>0</v>
      </c>
      <c r="BU29" s="46">
        <v>0</v>
      </c>
      <c r="BV29" s="46">
        <v>0</v>
      </c>
      <c r="BW29" s="46">
        <v>0</v>
      </c>
      <c r="BX29" s="46">
        <v>0.16747200000000001</v>
      </c>
    </row>
    <row r="30" spans="1:76" hidden="1" x14ac:dyDescent="0.25">
      <c r="A30" s="74"/>
      <c r="B30" s="63" t="s">
        <v>152</v>
      </c>
      <c r="C30" s="64" t="s">
        <v>203</v>
      </c>
      <c r="D30" s="64"/>
      <c r="E30" s="64"/>
      <c r="F30" s="65" t="s">
        <v>204</v>
      </c>
      <c r="G30" s="65"/>
      <c r="H30" s="46">
        <v>1.3800000000000001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1.3800000000000001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1.3800000000000001</v>
      </c>
      <c r="AJ30" s="46">
        <v>0</v>
      </c>
      <c r="AK30" s="46">
        <v>0</v>
      </c>
      <c r="AL30" s="46">
        <v>0</v>
      </c>
      <c r="AM30" s="46">
        <v>0</v>
      </c>
      <c r="AN30" s="46">
        <v>0</v>
      </c>
      <c r="AO30" s="46">
        <v>0</v>
      </c>
      <c r="AP30" s="46">
        <v>0</v>
      </c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0</v>
      </c>
      <c r="AZ30" s="46">
        <v>0</v>
      </c>
      <c r="BA30" s="46">
        <v>0</v>
      </c>
      <c r="BB30" s="46">
        <v>0</v>
      </c>
      <c r="BC30" s="46">
        <v>0</v>
      </c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>
        <v>0</v>
      </c>
      <c r="BR30" s="46">
        <v>0</v>
      </c>
      <c r="BS30" s="46">
        <v>0</v>
      </c>
      <c r="BT30" s="46">
        <v>0</v>
      </c>
      <c r="BU30" s="46">
        <v>0</v>
      </c>
      <c r="BV30" s="46">
        <v>0</v>
      </c>
      <c r="BW30" s="46">
        <v>0</v>
      </c>
      <c r="BX30" s="46">
        <v>0</v>
      </c>
    </row>
    <row r="31" spans="1:76" hidden="1" x14ac:dyDescent="0.25">
      <c r="A31" s="74"/>
      <c r="B31" s="63" t="s">
        <v>152</v>
      </c>
      <c r="C31" s="64" t="s">
        <v>205</v>
      </c>
      <c r="D31" s="64"/>
      <c r="E31" s="64"/>
      <c r="F31" s="65" t="s">
        <v>206</v>
      </c>
      <c r="G31" s="65"/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46">
        <v>0</v>
      </c>
      <c r="AQ31" s="46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0</v>
      </c>
      <c r="AZ31" s="46">
        <v>0</v>
      </c>
      <c r="BA31" s="46">
        <v>0</v>
      </c>
      <c r="BB31" s="46">
        <v>0</v>
      </c>
      <c r="BC31" s="46">
        <v>0</v>
      </c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>
        <v>0</v>
      </c>
      <c r="BR31" s="46">
        <v>0</v>
      </c>
      <c r="BS31" s="46">
        <v>0</v>
      </c>
      <c r="BT31" s="46">
        <v>0</v>
      </c>
      <c r="BU31" s="46">
        <v>0</v>
      </c>
      <c r="BV31" s="46">
        <v>0</v>
      </c>
      <c r="BW31" s="46">
        <v>0</v>
      </c>
      <c r="BX31" s="46">
        <v>0</v>
      </c>
    </row>
    <row r="32" spans="1:76" hidden="1" x14ac:dyDescent="0.25">
      <c r="A32" s="74"/>
      <c r="B32" s="63" t="s">
        <v>152</v>
      </c>
      <c r="C32" s="64" t="s">
        <v>207</v>
      </c>
      <c r="D32" s="64"/>
      <c r="E32" s="64"/>
      <c r="F32" s="65" t="s">
        <v>208</v>
      </c>
      <c r="G32" s="65"/>
      <c r="H32" s="46">
        <v>4.2999999999999997E-2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4.2999999999999997E-2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46">
        <v>0</v>
      </c>
      <c r="AE32" s="46">
        <v>0</v>
      </c>
      <c r="AF32" s="46">
        <v>0</v>
      </c>
      <c r="AG32" s="46">
        <v>0</v>
      </c>
      <c r="AH32" s="46">
        <v>0</v>
      </c>
      <c r="AI32" s="46">
        <v>0</v>
      </c>
      <c r="AJ32" s="46">
        <v>0</v>
      </c>
      <c r="AK32" s="46">
        <v>0</v>
      </c>
      <c r="AL32" s="46">
        <v>4.2999999999999997E-2</v>
      </c>
      <c r="AM32" s="46">
        <v>0</v>
      </c>
      <c r="AN32" s="46">
        <v>0</v>
      </c>
      <c r="AO32" s="46">
        <v>0</v>
      </c>
      <c r="AP32" s="46">
        <v>0</v>
      </c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6">
        <v>0</v>
      </c>
      <c r="BA32" s="46">
        <v>0</v>
      </c>
      <c r="BB32" s="46">
        <v>0</v>
      </c>
      <c r="BC32" s="46">
        <v>0</v>
      </c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46">
        <v>0</v>
      </c>
      <c r="BO32" s="46">
        <v>0</v>
      </c>
      <c r="BP32" s="46">
        <v>0</v>
      </c>
      <c r="BQ32" s="46">
        <v>0</v>
      </c>
      <c r="BR32" s="46">
        <v>0</v>
      </c>
      <c r="BS32" s="46">
        <v>0</v>
      </c>
      <c r="BT32" s="46">
        <v>0</v>
      </c>
      <c r="BU32" s="46">
        <v>0</v>
      </c>
      <c r="BV32" s="46">
        <v>0</v>
      </c>
      <c r="BW32" s="46">
        <v>0</v>
      </c>
      <c r="BX32" s="46">
        <v>0</v>
      </c>
    </row>
    <row r="33" spans="1:88" hidden="1" x14ac:dyDescent="0.25">
      <c r="A33" s="74"/>
      <c r="B33" s="63" t="s">
        <v>152</v>
      </c>
      <c r="C33" s="64" t="s">
        <v>209</v>
      </c>
      <c r="D33" s="64"/>
      <c r="E33" s="64"/>
      <c r="F33" s="65" t="s">
        <v>210</v>
      </c>
      <c r="G33" s="65"/>
      <c r="H33" s="46">
        <v>0.30299999999999999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>
        <v>0</v>
      </c>
      <c r="AD33" s="46">
        <v>0</v>
      </c>
      <c r="AE33" s="46">
        <v>0</v>
      </c>
      <c r="AF33" s="46">
        <v>0</v>
      </c>
      <c r="AG33" s="46">
        <v>0</v>
      </c>
      <c r="AH33" s="46">
        <v>0</v>
      </c>
      <c r="AI33" s="46">
        <v>0</v>
      </c>
      <c r="AJ33" s="46">
        <v>0</v>
      </c>
      <c r="AK33" s="46">
        <v>0</v>
      </c>
      <c r="AL33" s="46">
        <v>0</v>
      </c>
      <c r="AM33" s="46">
        <v>0</v>
      </c>
      <c r="AN33" s="46">
        <v>0</v>
      </c>
      <c r="AO33" s="46">
        <v>0</v>
      </c>
      <c r="AP33" s="46">
        <v>0</v>
      </c>
      <c r="AQ33" s="46">
        <v>0</v>
      </c>
      <c r="AR33" s="46">
        <v>0</v>
      </c>
      <c r="AS33" s="46">
        <v>0</v>
      </c>
      <c r="AT33" s="46">
        <v>0.23099999999999998</v>
      </c>
      <c r="AU33" s="46">
        <v>0.23099999999999998</v>
      </c>
      <c r="AV33" s="46">
        <v>0</v>
      </c>
      <c r="AW33" s="46">
        <v>0</v>
      </c>
      <c r="AX33" s="46">
        <v>0</v>
      </c>
      <c r="AY33" s="46">
        <v>0</v>
      </c>
      <c r="AZ33" s="46">
        <v>0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>
        <v>0</v>
      </c>
      <c r="BR33" s="46">
        <v>0</v>
      </c>
      <c r="BS33" s="46">
        <v>0</v>
      </c>
      <c r="BT33" s="46">
        <v>0</v>
      </c>
      <c r="BU33" s="46">
        <v>0</v>
      </c>
      <c r="BV33" s="46">
        <v>0</v>
      </c>
      <c r="BW33" s="46">
        <v>0</v>
      </c>
      <c r="BX33" s="46">
        <v>7.1999999999999995E-2</v>
      </c>
    </row>
    <row r="34" spans="1:88" hidden="1" x14ac:dyDescent="0.25">
      <c r="A34" s="74"/>
      <c r="B34" s="63" t="s">
        <v>152</v>
      </c>
      <c r="C34" s="64" t="s">
        <v>211</v>
      </c>
      <c r="D34" s="64"/>
      <c r="E34" s="64"/>
      <c r="F34" s="65" t="s">
        <v>212</v>
      </c>
      <c r="G34" s="65"/>
      <c r="H34" s="46">
        <v>4.2999999999999997E-2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4.2999999999999997E-2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  <c r="AD34" s="46">
        <v>0</v>
      </c>
      <c r="AE34" s="46">
        <v>0</v>
      </c>
      <c r="AF34" s="46">
        <v>0</v>
      </c>
      <c r="AG34" s="46">
        <v>0</v>
      </c>
      <c r="AH34" s="46">
        <v>0</v>
      </c>
      <c r="AI34" s="46">
        <v>0</v>
      </c>
      <c r="AJ34" s="46">
        <v>0</v>
      </c>
      <c r="AK34" s="46">
        <v>0</v>
      </c>
      <c r="AL34" s="46">
        <v>4.2999999999999997E-2</v>
      </c>
      <c r="AM34" s="46">
        <v>0</v>
      </c>
      <c r="AN34" s="46">
        <v>0</v>
      </c>
      <c r="AO34" s="46">
        <v>0</v>
      </c>
      <c r="AP34" s="46">
        <v>0</v>
      </c>
      <c r="AQ34" s="4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46">
        <v>0</v>
      </c>
      <c r="BO34" s="46">
        <v>0</v>
      </c>
      <c r="BP34" s="46">
        <v>0</v>
      </c>
      <c r="BQ34" s="46">
        <v>0</v>
      </c>
      <c r="BR34" s="46">
        <v>0</v>
      </c>
      <c r="BS34" s="46">
        <v>0</v>
      </c>
      <c r="BT34" s="46">
        <v>0</v>
      </c>
      <c r="BU34" s="46">
        <v>0</v>
      </c>
      <c r="BV34" s="46">
        <v>0</v>
      </c>
      <c r="BW34" s="46">
        <v>0</v>
      </c>
      <c r="BX34" s="46">
        <v>0</v>
      </c>
    </row>
    <row r="35" spans="1:88" x14ac:dyDescent="0.25">
      <c r="A35" s="63" t="s">
        <v>152</v>
      </c>
      <c r="B35" s="64" t="s">
        <v>213</v>
      </c>
      <c r="C35" s="64"/>
      <c r="D35" s="64"/>
      <c r="E35" s="64"/>
      <c r="F35" s="65" t="s">
        <v>214</v>
      </c>
      <c r="G35" s="6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</row>
    <row r="36" spans="1:88" x14ac:dyDescent="0.25">
      <c r="A36" s="74"/>
      <c r="B36" s="63" t="s">
        <v>152</v>
      </c>
      <c r="C36" s="64" t="s">
        <v>215</v>
      </c>
      <c r="D36" s="64"/>
      <c r="E36" s="64"/>
      <c r="F36" s="65" t="s">
        <v>216</v>
      </c>
      <c r="G36" s="65"/>
      <c r="H36" s="46"/>
      <c r="I36" s="46">
        <f>SUM(J36:V36)</f>
        <v>717</v>
      </c>
      <c r="J36" s="46"/>
      <c r="K36" s="46"/>
      <c r="L36" s="75">
        <v>683</v>
      </c>
      <c r="M36" s="75"/>
      <c r="N36" s="75">
        <v>34</v>
      </c>
      <c r="O36" s="75"/>
      <c r="P36" s="75"/>
      <c r="Q36" s="75"/>
      <c r="R36" s="75"/>
      <c r="S36" s="75"/>
      <c r="T36" s="75"/>
      <c r="U36" s="75"/>
      <c r="V36" s="75"/>
      <c r="W36" s="75">
        <f>SUM(X36:AS36)</f>
        <v>414</v>
      </c>
      <c r="X36" s="75"/>
      <c r="Y36" s="75"/>
      <c r="Z36" s="75"/>
      <c r="AA36" s="75"/>
      <c r="AB36" s="75"/>
      <c r="AC36" s="75"/>
      <c r="AD36" s="75"/>
      <c r="AE36" s="75">
        <v>12</v>
      </c>
      <c r="AF36" s="75"/>
      <c r="AG36" s="75"/>
      <c r="AH36" s="75"/>
      <c r="AI36" s="75"/>
      <c r="AJ36" s="75"/>
      <c r="AK36" s="75"/>
      <c r="AL36" s="75">
        <v>212</v>
      </c>
      <c r="AM36" s="75">
        <v>190</v>
      </c>
      <c r="AN36" s="75"/>
      <c r="AO36" s="75"/>
      <c r="AP36" s="75"/>
      <c r="AQ36" s="75"/>
      <c r="AR36" s="75"/>
      <c r="AS36" s="75"/>
      <c r="AT36" s="75">
        <f>SUM(AU36:AY36)</f>
        <v>1063.06</v>
      </c>
      <c r="AU36" s="75">
        <v>1063.06</v>
      </c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>
        <v>2104</v>
      </c>
      <c r="BX36" s="75">
        <v>466.12</v>
      </c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</row>
    <row r="37" spans="1:88" x14ac:dyDescent="0.25">
      <c r="A37" s="74"/>
      <c r="B37" s="63" t="s">
        <v>152</v>
      </c>
      <c r="C37" s="64" t="s">
        <v>217</v>
      </c>
      <c r="D37" s="64"/>
      <c r="E37" s="64"/>
      <c r="F37" s="65" t="s">
        <v>218</v>
      </c>
      <c r="G37" s="6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</row>
    <row r="38" spans="1:88" x14ac:dyDescent="0.25">
      <c r="A38" s="74"/>
      <c r="B38" s="63" t="s">
        <v>152</v>
      </c>
      <c r="C38" s="64" t="s">
        <v>219</v>
      </c>
      <c r="D38" s="64"/>
      <c r="E38" s="64"/>
      <c r="F38" s="65" t="s">
        <v>220</v>
      </c>
      <c r="G38" s="6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</row>
    <row r="39" spans="1:88" x14ac:dyDescent="0.25">
      <c r="A39" s="74"/>
      <c r="B39" s="63" t="s">
        <v>152</v>
      </c>
      <c r="C39" s="64" t="s">
        <v>221</v>
      </c>
      <c r="D39" s="64"/>
      <c r="E39" s="64"/>
      <c r="F39" s="65" t="s">
        <v>222</v>
      </c>
      <c r="G39" s="6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</row>
    <row r="40" spans="1:88" x14ac:dyDescent="0.25">
      <c r="A40" s="77"/>
      <c r="B40" s="78" t="s">
        <v>152</v>
      </c>
      <c r="C40" s="79" t="s">
        <v>223</v>
      </c>
      <c r="D40" s="79"/>
      <c r="E40" s="79"/>
      <c r="F40" s="80" t="s">
        <v>224</v>
      </c>
      <c r="G40" s="80"/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</v>
      </c>
      <c r="U40" s="81">
        <v>0</v>
      </c>
      <c r="V40" s="81">
        <v>0</v>
      </c>
      <c r="W40" s="81">
        <v>0</v>
      </c>
      <c r="X40" s="81">
        <v>0</v>
      </c>
      <c r="Y40" s="81">
        <v>0</v>
      </c>
      <c r="Z40" s="81">
        <v>0</v>
      </c>
      <c r="AA40" s="81">
        <v>0</v>
      </c>
      <c r="AB40" s="81">
        <v>0</v>
      </c>
      <c r="AC40" s="81">
        <v>0</v>
      </c>
      <c r="AD40" s="81">
        <v>0</v>
      </c>
      <c r="AE40" s="81">
        <v>0</v>
      </c>
      <c r="AF40" s="81">
        <v>0</v>
      </c>
      <c r="AG40" s="81">
        <v>0</v>
      </c>
      <c r="AH40" s="81">
        <v>0</v>
      </c>
      <c r="AI40" s="81">
        <v>0</v>
      </c>
      <c r="AJ40" s="81">
        <v>0</v>
      </c>
      <c r="AK40" s="81">
        <v>0</v>
      </c>
      <c r="AL40" s="81">
        <v>0</v>
      </c>
      <c r="AM40" s="81">
        <v>0</v>
      </c>
      <c r="AN40" s="81">
        <v>0</v>
      </c>
      <c r="AO40" s="81">
        <v>0</v>
      </c>
      <c r="AP40" s="81">
        <v>0</v>
      </c>
      <c r="AQ40" s="81">
        <v>0</v>
      </c>
      <c r="AR40" s="81">
        <v>0</v>
      </c>
      <c r="AS40" s="81">
        <v>0</v>
      </c>
      <c r="AT40" s="81">
        <v>0</v>
      </c>
      <c r="AU40" s="81">
        <v>0</v>
      </c>
      <c r="AV40" s="81">
        <v>0</v>
      </c>
      <c r="AW40" s="81">
        <v>0</v>
      </c>
      <c r="AX40" s="81">
        <v>0</v>
      </c>
      <c r="AY40" s="81">
        <v>0</v>
      </c>
      <c r="AZ40" s="81">
        <v>0</v>
      </c>
      <c r="BA40" s="81">
        <v>0</v>
      </c>
      <c r="BB40" s="81">
        <v>0</v>
      </c>
      <c r="BC40" s="81">
        <v>0</v>
      </c>
      <c r="BD40" s="81">
        <v>0</v>
      </c>
      <c r="BE40" s="81">
        <v>0</v>
      </c>
      <c r="BF40" s="81">
        <v>0</v>
      </c>
      <c r="BG40" s="81">
        <v>0</v>
      </c>
      <c r="BH40" s="81">
        <v>0</v>
      </c>
      <c r="BI40" s="81">
        <v>0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</row>
    <row r="41" spans="1:88" x14ac:dyDescent="0.25">
      <c r="A41" s="56" t="s">
        <v>225</v>
      </c>
      <c r="B41" s="56"/>
      <c r="C41" s="56"/>
      <c r="D41" s="56"/>
      <c r="E41" s="56"/>
      <c r="F41" s="57" t="s">
        <v>226</v>
      </c>
      <c r="G41" s="57"/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>
        <v>0</v>
      </c>
      <c r="AR41" s="58">
        <v>0</v>
      </c>
      <c r="AS41" s="58">
        <v>0</v>
      </c>
      <c r="AT41" s="58">
        <v>0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8">
        <v>0</v>
      </c>
      <c r="BA41" s="58">
        <v>0</v>
      </c>
      <c r="BB41" s="58">
        <v>0</v>
      </c>
      <c r="BC41" s="58">
        <v>0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0</v>
      </c>
      <c r="BK41" s="58">
        <v>0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</row>
    <row r="42" spans="1:88" x14ac:dyDescent="0.25">
      <c r="A42" s="82"/>
      <c r="B42" s="82"/>
      <c r="C42" s="82"/>
      <c r="D42" s="82"/>
      <c r="E42" s="82"/>
      <c r="F42" s="83"/>
      <c r="G42" s="83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</row>
    <row r="43" spans="1:88" s="85" customFormat="1" ht="11.25" customHeight="1" x14ac:dyDescent="0.2">
      <c r="C43" s="86" t="s">
        <v>385</v>
      </c>
      <c r="F43" s="87">
        <v>0.4</v>
      </c>
      <c r="G43" s="54"/>
      <c r="H43" s="88"/>
      <c r="I43" s="88">
        <f>I36*0.4/1000*41.868</f>
        <v>12.0077424</v>
      </c>
      <c r="J43" s="88"/>
      <c r="K43" s="88"/>
      <c r="L43" s="88">
        <f>L36*0.4/1000*41.868</f>
        <v>11.438337600000001</v>
      </c>
      <c r="M43" s="88"/>
      <c r="N43" s="88">
        <f>N36*0.4/1000*41.868</f>
        <v>0.56940480000000004</v>
      </c>
      <c r="O43" s="88"/>
      <c r="P43" s="88"/>
      <c r="Q43" s="88"/>
      <c r="R43" s="88"/>
      <c r="S43" s="88"/>
      <c r="T43" s="88"/>
      <c r="U43" s="88"/>
      <c r="V43" s="88"/>
      <c r="W43" s="88">
        <f>W36*0.4/1000*41.868</f>
        <v>6.9333408000000016</v>
      </c>
      <c r="X43" s="88"/>
      <c r="Y43" s="88"/>
      <c r="Z43" s="88"/>
      <c r="AA43" s="88"/>
      <c r="AB43" s="88"/>
      <c r="AC43" s="88"/>
      <c r="AD43" s="88"/>
      <c r="AE43" s="88">
        <f>AE36*0.4/1000*41.868</f>
        <v>0.20096640000000002</v>
      </c>
      <c r="AF43" s="88"/>
      <c r="AG43" s="88"/>
      <c r="AH43" s="88"/>
      <c r="AI43" s="88"/>
      <c r="AJ43" s="88"/>
      <c r="AK43" s="88"/>
      <c r="AL43" s="88">
        <f t="shared" ref="AL43:AM43" si="0">AL36*0.4/1000*41.868</f>
        <v>3.5504064000000009</v>
      </c>
      <c r="AM43" s="88">
        <f t="shared" si="0"/>
        <v>3.1819679999999999</v>
      </c>
      <c r="AN43" s="88"/>
      <c r="AO43" s="88"/>
      <c r="AP43" s="88"/>
      <c r="AQ43" s="88"/>
      <c r="AR43" s="88"/>
      <c r="AS43" s="88">
        <f t="shared" ref="AS43:AU43" si="1">AS36*0.4/1000*41.868</f>
        <v>0</v>
      </c>
      <c r="AT43" s="88">
        <f t="shared" si="1"/>
        <v>17.803278431999999</v>
      </c>
      <c r="AU43" s="88">
        <f t="shared" si="1"/>
        <v>17.803278431999999</v>
      </c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>
        <f t="shared" ref="BW43:BX43" si="2">BW36*0.4/1000*41.868</f>
        <v>35.236108800000004</v>
      </c>
      <c r="BX43" s="88">
        <f t="shared" si="2"/>
        <v>7.8062048640000006</v>
      </c>
      <c r="BZ43" s="89">
        <f>SUM(AU43:BX43,X43:AS43,J43:V43)</f>
        <v>79.786675295999999</v>
      </c>
    </row>
    <row r="44" spans="1:88" s="85" customFormat="1" ht="11.25" customHeight="1" x14ac:dyDescent="0.2">
      <c r="C44" s="86" t="s">
        <v>379</v>
      </c>
      <c r="F44" s="90">
        <v>0.6</v>
      </c>
      <c r="G44" s="54"/>
      <c r="H44" s="88"/>
      <c r="I44" s="88">
        <f>I36/1000*41.868-I43</f>
        <v>18.011613600000004</v>
      </c>
      <c r="J44" s="88"/>
      <c r="K44" s="88"/>
      <c r="L44" s="88">
        <f>L36/1000*41.868-L43</f>
        <v>17.157506400000003</v>
      </c>
      <c r="M44" s="88"/>
      <c r="N44" s="88">
        <f>N36/1000*41.868-N43</f>
        <v>0.85410720000000007</v>
      </c>
      <c r="O44" s="88"/>
      <c r="P44" s="88"/>
      <c r="Q44" s="88"/>
      <c r="R44" s="88"/>
      <c r="S44" s="88"/>
      <c r="T44" s="88"/>
      <c r="U44" s="88"/>
      <c r="V44" s="88"/>
      <c r="W44" s="88">
        <f>W36/1000*41.868-W43</f>
        <v>10.4000112</v>
      </c>
      <c r="X44" s="88"/>
      <c r="Y44" s="88"/>
      <c r="Z44" s="88"/>
      <c r="AA44" s="88"/>
      <c r="AB44" s="88"/>
      <c r="AC44" s="88"/>
      <c r="AD44" s="88"/>
      <c r="AE44" s="88">
        <f>AE36/1000*41.868-AE43</f>
        <v>0.3014496000000001</v>
      </c>
      <c r="AF44" s="88"/>
      <c r="AG44" s="88"/>
      <c r="AH44" s="88"/>
      <c r="AI44" s="88"/>
      <c r="AJ44" s="88"/>
      <c r="AK44" s="88"/>
      <c r="AL44" s="88">
        <f>AL36/1000*41.868-AL43</f>
        <v>5.3256095999999991</v>
      </c>
      <c r="AM44" s="88">
        <f>AM36/1000*41.868-AM43</f>
        <v>4.7729520000000001</v>
      </c>
      <c r="AN44" s="88"/>
      <c r="AO44" s="88"/>
      <c r="AP44" s="88"/>
      <c r="AQ44" s="88"/>
      <c r="AR44" s="88"/>
      <c r="AS44" s="88">
        <f>AS36/1000*41.868-AS43</f>
        <v>0</v>
      </c>
      <c r="AT44" s="88">
        <f>AT36/1000*41.868-AT43</f>
        <v>26.704917647999999</v>
      </c>
      <c r="AU44" s="88">
        <f>AU36/1000*41.868-AU43</f>
        <v>26.704917647999999</v>
      </c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>
        <f>BW36/1000*41.868-BW43</f>
        <v>52.854163200000009</v>
      </c>
      <c r="BX44" s="88">
        <f>BX36/1000*41.868-BX43</f>
        <v>11.709307295999999</v>
      </c>
      <c r="BZ44" s="89">
        <f>SUM(AU44:BX44,X44:AS44,J44:V44)</f>
        <v>119.680012944</v>
      </c>
    </row>
    <row r="45" spans="1:88" x14ac:dyDescent="0.25">
      <c r="C45" s="91" t="s">
        <v>472</v>
      </c>
      <c r="F45" s="45" t="s">
        <v>584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2:R11"/>
  <sheetViews>
    <sheetView zoomScale="70" zoomScaleNormal="70" workbookViewId="0">
      <selection activeCell="O34" sqref="O34"/>
    </sheetView>
  </sheetViews>
  <sheetFormatPr defaultColWidth="9.109375" defaultRowHeight="17.25" customHeight="1" x14ac:dyDescent="0.25"/>
  <cols>
    <col min="1" max="1" width="9.109375" style="6"/>
    <col min="2" max="2" width="13.44140625" style="6" bestFit="1" customWidth="1"/>
    <col min="3" max="3" width="13.44140625" style="6" customWidth="1"/>
    <col min="4" max="4" width="13.44140625" style="6" bestFit="1" customWidth="1"/>
    <col min="5" max="5" width="14.5546875" style="6" bestFit="1" customWidth="1"/>
    <col min="6" max="7" width="13.109375" style="6" bestFit="1" customWidth="1"/>
    <col min="8" max="8" width="13.44140625" style="6" bestFit="1" customWidth="1"/>
    <col min="9" max="9" width="14.88671875" style="6" bestFit="1" customWidth="1"/>
    <col min="10" max="10" width="14" style="6" bestFit="1" customWidth="1"/>
    <col min="11" max="11" width="13.6640625" style="6" bestFit="1" customWidth="1"/>
    <col min="12" max="12" width="13.109375" style="6" bestFit="1" customWidth="1"/>
    <col min="13" max="13" width="13.88671875" style="6" bestFit="1" customWidth="1"/>
    <col min="14" max="15" width="13.44140625" style="6" bestFit="1" customWidth="1"/>
    <col min="16" max="16" width="13.6640625" style="6" bestFit="1" customWidth="1"/>
    <col min="17" max="17" width="9.109375" style="6"/>
    <col min="18" max="18" width="93.44140625" style="6" bestFit="1" customWidth="1"/>
    <col min="19" max="16384" width="9.109375" style="6"/>
  </cols>
  <sheetData>
    <row r="2" spans="1:18" ht="17.25" customHeight="1" x14ac:dyDescent="0.25">
      <c r="B2" s="169" t="s">
        <v>18</v>
      </c>
      <c r="C2" s="169"/>
    </row>
    <row r="3" spans="1:18" ht="17.25" customHeight="1" x14ac:dyDescent="0.25">
      <c r="B3" s="321" t="s">
        <v>0</v>
      </c>
      <c r="C3" s="322" t="str">
        <f>COM_En_Balance!D7</f>
        <v>TERCOASUB</v>
      </c>
      <c r="D3" s="322" t="str">
        <f>COM_En_Balance!E7</f>
        <v>TERCOABIC</v>
      </c>
      <c r="E3" s="322" t="str">
        <f>Commodities!D31</f>
        <v>TERCOABKB</v>
      </c>
      <c r="F3" s="322" t="str">
        <f>Commodities!D32</f>
        <v>TEROILDSL</v>
      </c>
      <c r="G3" s="322" t="str">
        <f>Commodities!D34</f>
        <v>TEROILLPG</v>
      </c>
      <c r="H3" s="322" t="str">
        <f>Commodities!D36</f>
        <v>TEROILKER</v>
      </c>
      <c r="I3" s="322" t="str">
        <f>Commodities!D35</f>
        <v>TEROILHFO</v>
      </c>
      <c r="J3" s="322" t="str">
        <f>Commodities!D37</f>
        <v>TERGASNAT</v>
      </c>
      <c r="K3" s="322" t="str">
        <f>Commodities!D38</f>
        <v>TERBIOLOG</v>
      </c>
      <c r="L3" s="322" t="str">
        <f>Commodities!D42</f>
        <v>TERBIOPLT</v>
      </c>
      <c r="M3" s="322" t="str">
        <f>Commodities!D43</f>
        <v>TERBIOCHR</v>
      </c>
      <c r="N3" s="322" t="str">
        <f>Commodities!D40</f>
        <v>TERBIOETH</v>
      </c>
      <c r="O3" s="322" t="str">
        <f>Commodities!D39</f>
        <v>TERBIODSL</v>
      </c>
      <c r="P3" s="322" t="str">
        <f>Commodities!D41</f>
        <v>TERBIOBGS</v>
      </c>
      <c r="R3" s="322" t="s">
        <v>275</v>
      </c>
    </row>
    <row r="4" spans="1:18" ht="17.25" customHeight="1" thickBot="1" x14ac:dyDescent="0.3">
      <c r="B4" s="323" t="s">
        <v>49</v>
      </c>
      <c r="C4" s="111" t="str">
        <f>General!$D$17</f>
        <v>kg/GJ</v>
      </c>
      <c r="D4" s="111" t="str">
        <f>General!$D$17</f>
        <v>kg/GJ</v>
      </c>
      <c r="E4" s="111" t="str">
        <f>General!$D$17</f>
        <v>kg/GJ</v>
      </c>
      <c r="F4" s="111" t="str">
        <f>General!$D$17</f>
        <v>kg/GJ</v>
      </c>
      <c r="G4" s="111" t="str">
        <f>General!$D$17</f>
        <v>kg/GJ</v>
      </c>
      <c r="H4" s="111" t="str">
        <f>General!$D$17</f>
        <v>kg/GJ</v>
      </c>
      <c r="I4" s="111" t="str">
        <f>General!$D$17</f>
        <v>kg/GJ</v>
      </c>
      <c r="J4" s="111" t="str">
        <f>General!$D$17</f>
        <v>kg/GJ</v>
      </c>
      <c r="K4" s="111" t="str">
        <f>General!$D$17</f>
        <v>kg/GJ</v>
      </c>
      <c r="L4" s="111" t="str">
        <f>General!$D$17</f>
        <v>kg/GJ</v>
      </c>
      <c r="M4" s="111" t="str">
        <f>General!$D$17</f>
        <v>kg/GJ</v>
      </c>
      <c r="N4" s="111" t="str">
        <f>General!$D$17</f>
        <v>kg/GJ</v>
      </c>
      <c r="O4" s="111" t="str">
        <f>General!$D$17</f>
        <v>kg/GJ</v>
      </c>
      <c r="P4" s="111" t="str">
        <f>General!$D$17</f>
        <v>kg/GJ</v>
      </c>
      <c r="R4" s="111"/>
    </row>
    <row r="5" spans="1:18" ht="17.25" customHeight="1" x14ac:dyDescent="0.25">
      <c r="B5" s="317" t="str">
        <f>Commodities!O7</f>
        <v>TERCO2</v>
      </c>
      <c r="C5" s="6">
        <v>98.3</v>
      </c>
      <c r="D5" s="6">
        <v>94.6</v>
      </c>
      <c r="E5" s="6">
        <v>97.5</v>
      </c>
      <c r="F5" s="6">
        <v>74.099999999999994</v>
      </c>
      <c r="G5" s="6">
        <v>63.1</v>
      </c>
      <c r="H5" s="6">
        <v>71.900000000000006</v>
      </c>
      <c r="I5" s="6">
        <v>77.400000000000006</v>
      </c>
      <c r="J5" s="6">
        <v>56.1</v>
      </c>
      <c r="K5" s="6">
        <v>0</v>
      </c>
      <c r="L5" s="6">
        <v>0</v>
      </c>
      <c r="M5" s="6">
        <v>112</v>
      </c>
      <c r="N5" s="6">
        <v>0</v>
      </c>
      <c r="O5" s="6">
        <v>0</v>
      </c>
      <c r="P5" s="6">
        <v>0</v>
      </c>
      <c r="R5" s="6" t="s">
        <v>332</v>
      </c>
    </row>
    <row r="6" spans="1:18" ht="17.25" customHeight="1" x14ac:dyDescent="0.25">
      <c r="B6" s="317" t="str">
        <f>Commodities!O8</f>
        <v>TERCH4</v>
      </c>
      <c r="C6" s="6">
        <f>(10/1000)*28</f>
        <v>0.28000000000000003</v>
      </c>
      <c r="D6" s="6">
        <f>(10/1000)*28</f>
        <v>0.28000000000000003</v>
      </c>
      <c r="E6" s="6">
        <f>(10/1000)*28</f>
        <v>0.28000000000000003</v>
      </c>
      <c r="F6" s="6">
        <f>(10/1000)*28</f>
        <v>0.28000000000000003</v>
      </c>
      <c r="G6" s="6">
        <f>(5/1000)*28</f>
        <v>0.14000000000000001</v>
      </c>
      <c r="H6" s="6">
        <f>(10/1000)*28</f>
        <v>0.28000000000000003</v>
      </c>
      <c r="I6" s="6">
        <f>(10/1000)*28</f>
        <v>0.28000000000000003</v>
      </c>
      <c r="J6" s="6">
        <f>(5/1000)*28</f>
        <v>0.14000000000000001</v>
      </c>
      <c r="K6" s="6">
        <f>(300/1000)*28</f>
        <v>8.4</v>
      </c>
      <c r="L6" s="6">
        <f>(300/1000)*28</f>
        <v>8.4</v>
      </c>
      <c r="M6" s="6">
        <f>(200/1000)*28</f>
        <v>5.6000000000000005</v>
      </c>
      <c r="N6" s="6">
        <f>(10/1000)*28</f>
        <v>0.28000000000000003</v>
      </c>
      <c r="O6" s="6">
        <f>(10/1000)*28</f>
        <v>0.28000000000000003</v>
      </c>
      <c r="P6" s="6">
        <f>(5/1000)*28</f>
        <v>0.14000000000000001</v>
      </c>
      <c r="R6" s="6">
        <v>28</v>
      </c>
    </row>
    <row r="7" spans="1:18" ht="17.25" customHeight="1" x14ac:dyDescent="0.25">
      <c r="A7" s="9"/>
      <c r="B7" s="317" t="str">
        <f>Commodities!O9</f>
        <v>TERN2O</v>
      </c>
      <c r="C7" s="6">
        <f>(1.5/1000)*265</f>
        <v>0.39750000000000002</v>
      </c>
      <c r="D7" s="6">
        <f>(1.5/1000)*265</f>
        <v>0.39750000000000002</v>
      </c>
      <c r="E7" s="6">
        <f>(1.5/1000)*265</f>
        <v>0.39750000000000002</v>
      </c>
      <c r="F7" s="6">
        <f>(0.6/1000)*265</f>
        <v>0.15899999999999997</v>
      </c>
      <c r="G7" s="6">
        <f>(0.1/1000)*265</f>
        <v>2.6500000000000003E-2</v>
      </c>
      <c r="H7" s="6">
        <f>(0.6/1000)*265</f>
        <v>0.15899999999999997</v>
      </c>
      <c r="I7" s="6">
        <f>(0.6/1000)*265</f>
        <v>0.15899999999999997</v>
      </c>
      <c r="J7" s="6">
        <f>(0.1/1000)*265</f>
        <v>2.6500000000000003E-2</v>
      </c>
      <c r="K7" s="6">
        <f>(4/1000)*265</f>
        <v>1.06</v>
      </c>
      <c r="L7" s="6">
        <f>(4/1000)*265</f>
        <v>1.06</v>
      </c>
      <c r="M7" s="6">
        <f>(1/1000)*265</f>
        <v>0.26500000000000001</v>
      </c>
      <c r="N7" s="6">
        <f>(0.6/1000)*265</f>
        <v>0.15899999999999997</v>
      </c>
      <c r="O7" s="6">
        <f>(0.6/1000)*265</f>
        <v>0.15899999999999997</v>
      </c>
      <c r="P7" s="6">
        <f>(0.1/1000)*265</f>
        <v>2.6500000000000003E-2</v>
      </c>
      <c r="R7" s="6">
        <v>265</v>
      </c>
    </row>
    <row r="8" spans="1:18" ht="17.25" customHeight="1" x14ac:dyDescent="0.25">
      <c r="A8" s="9"/>
      <c r="B8" s="8"/>
    </row>
    <row r="9" spans="1:18" ht="17.25" customHeight="1" x14ac:dyDescent="0.25">
      <c r="A9" s="9"/>
      <c r="B9" s="9"/>
    </row>
    <row r="10" spans="1:18" ht="17.25" customHeight="1" x14ac:dyDescent="0.25">
      <c r="A10" s="9"/>
      <c r="B10" s="9"/>
      <c r="C10" s="9"/>
    </row>
    <row r="11" spans="1:18" ht="17.25" customHeight="1" x14ac:dyDescent="0.25">
      <c r="A11" s="9"/>
      <c r="B11" s="9"/>
      <c r="C11" s="9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F51"/>
  <sheetViews>
    <sheetView tabSelected="1" zoomScale="55" zoomScaleNormal="55" workbookViewId="0">
      <selection sqref="A1:XFD1048576"/>
    </sheetView>
  </sheetViews>
  <sheetFormatPr defaultColWidth="9.109375" defaultRowHeight="13.8" x14ac:dyDescent="0.25"/>
  <cols>
    <col min="1" max="1" width="9.109375" style="6"/>
    <col min="2" max="2" width="15.6640625" style="6" customWidth="1"/>
    <col min="3" max="3" width="15.109375" style="6" customWidth="1"/>
    <col min="4" max="4" width="22" style="6" customWidth="1"/>
    <col min="5" max="5" width="55.5546875" style="6" customWidth="1"/>
    <col min="6" max="6" width="8.88671875" style="6" customWidth="1"/>
    <col min="7" max="7" width="24.33203125" style="6" bestFit="1" customWidth="1"/>
    <col min="8" max="8" width="13.6640625" style="6" bestFit="1" customWidth="1"/>
    <col min="9" max="9" width="14.5546875" style="6" bestFit="1" customWidth="1"/>
    <col min="10" max="10" width="14.88671875" style="6" customWidth="1"/>
    <col min="11" max="11" width="3.6640625" style="6" customWidth="1"/>
    <col min="12" max="12" width="9.109375" style="6"/>
    <col min="13" max="13" width="8.6640625" style="6" customWidth="1"/>
    <col min="14" max="14" width="13.44140625" style="6" bestFit="1" customWidth="1"/>
    <col min="15" max="15" width="17.33203125" style="6" bestFit="1" customWidth="1"/>
    <col min="16" max="16" width="24.109375" style="6" bestFit="1" customWidth="1"/>
    <col min="17" max="17" width="7.6640625" style="6" bestFit="1" customWidth="1"/>
    <col min="18" max="21" width="12.33203125" style="6" customWidth="1"/>
    <col min="22" max="23" width="9.109375" style="6"/>
    <col min="24" max="24" width="16.109375" style="6" customWidth="1"/>
    <col min="25" max="25" width="13.44140625" style="6" bestFit="1" customWidth="1"/>
    <col min="26" max="26" width="28.88671875" style="6" customWidth="1"/>
    <col min="27" max="27" width="52" style="6" customWidth="1"/>
    <col min="28" max="28" width="13.88671875" style="6" bestFit="1" customWidth="1"/>
    <col min="29" max="29" width="15.5546875" style="6" customWidth="1"/>
    <col min="30" max="31" width="12.5546875" style="6" customWidth="1"/>
    <col min="32" max="32" width="9" style="6" customWidth="1"/>
    <col min="33" max="16384" width="9.109375" style="6"/>
  </cols>
  <sheetData>
    <row r="1" spans="2:32" x14ac:dyDescent="0.25">
      <c r="B1" s="92" t="s">
        <v>51</v>
      </c>
    </row>
    <row r="4" spans="2:32" x14ac:dyDescent="0.25">
      <c r="B4" s="170" t="s">
        <v>16</v>
      </c>
      <c r="C4" s="170"/>
      <c r="D4" s="142"/>
      <c r="E4" s="142"/>
      <c r="F4" s="142"/>
      <c r="G4" s="142"/>
      <c r="H4" s="142"/>
      <c r="I4" s="142"/>
      <c r="J4" s="142"/>
      <c r="M4" s="170" t="s">
        <v>16</v>
      </c>
      <c r="N4" s="170"/>
      <c r="O4" s="142"/>
      <c r="P4" s="142"/>
      <c r="Q4" s="142"/>
      <c r="R4" s="142"/>
      <c r="S4" s="142"/>
      <c r="T4" s="142"/>
      <c r="U4" s="142"/>
      <c r="X4" s="170" t="s">
        <v>16</v>
      </c>
      <c r="Y4" s="170"/>
      <c r="Z4" s="142"/>
      <c r="AA4" s="142"/>
      <c r="AB4" s="142"/>
      <c r="AC4" s="142"/>
      <c r="AD4" s="142"/>
      <c r="AE4" s="142"/>
      <c r="AF4" s="142"/>
    </row>
    <row r="5" spans="2:32" x14ac:dyDescent="0.25">
      <c r="B5" s="324" t="s">
        <v>9</v>
      </c>
      <c r="C5" s="147" t="s">
        <v>34</v>
      </c>
      <c r="D5" s="324" t="s">
        <v>0</v>
      </c>
      <c r="E5" s="324" t="s">
        <v>4</v>
      </c>
      <c r="F5" s="325" t="s">
        <v>5</v>
      </c>
      <c r="G5" s="325" t="s">
        <v>10</v>
      </c>
      <c r="H5" s="325" t="s">
        <v>11</v>
      </c>
      <c r="I5" s="325" t="s">
        <v>12</v>
      </c>
      <c r="J5" s="325" t="s">
        <v>14</v>
      </c>
      <c r="M5" s="324" t="s">
        <v>9</v>
      </c>
      <c r="N5" s="147" t="s">
        <v>34</v>
      </c>
      <c r="O5" s="324" t="s">
        <v>0</v>
      </c>
      <c r="P5" s="324" t="s">
        <v>4</v>
      </c>
      <c r="Q5" s="325" t="s">
        <v>5</v>
      </c>
      <c r="R5" s="325" t="s">
        <v>10</v>
      </c>
      <c r="S5" s="325" t="s">
        <v>11</v>
      </c>
      <c r="T5" s="325" t="s">
        <v>12</v>
      </c>
      <c r="U5" s="325" t="s">
        <v>14</v>
      </c>
      <c r="X5" s="324" t="s">
        <v>9</v>
      </c>
      <c r="Y5" s="147" t="s">
        <v>34</v>
      </c>
      <c r="Z5" s="324" t="s">
        <v>0</v>
      </c>
      <c r="AA5" s="324" t="s">
        <v>4</v>
      </c>
      <c r="AB5" s="325" t="s">
        <v>5</v>
      </c>
      <c r="AC5" s="325" t="s">
        <v>10</v>
      </c>
      <c r="AD5" s="325" t="s">
        <v>11</v>
      </c>
      <c r="AE5" s="325" t="s">
        <v>12</v>
      </c>
      <c r="AF5" s="325" t="s">
        <v>14</v>
      </c>
    </row>
    <row r="6" spans="2:32" s="326" customFormat="1" ht="42.75" customHeight="1" thickBot="1" x14ac:dyDescent="0.3">
      <c r="B6" s="327" t="s">
        <v>43</v>
      </c>
      <c r="C6" s="203" t="s">
        <v>35</v>
      </c>
      <c r="D6" s="327" t="s">
        <v>30</v>
      </c>
      <c r="E6" s="327" t="s">
        <v>31</v>
      </c>
      <c r="F6" s="327" t="s">
        <v>5</v>
      </c>
      <c r="G6" s="327" t="s">
        <v>45</v>
      </c>
      <c r="H6" s="327" t="s">
        <v>46</v>
      </c>
      <c r="I6" s="327" t="s">
        <v>32</v>
      </c>
      <c r="J6" s="327" t="s">
        <v>33</v>
      </c>
      <c r="M6" s="327" t="s">
        <v>43</v>
      </c>
      <c r="N6" s="203" t="s">
        <v>35</v>
      </c>
      <c r="O6" s="327" t="s">
        <v>30</v>
      </c>
      <c r="P6" s="327" t="s">
        <v>31</v>
      </c>
      <c r="Q6" s="327" t="s">
        <v>5</v>
      </c>
      <c r="R6" s="327" t="s">
        <v>45</v>
      </c>
      <c r="S6" s="327" t="s">
        <v>46</v>
      </c>
      <c r="T6" s="327" t="s">
        <v>32</v>
      </c>
      <c r="U6" s="327" t="s">
        <v>33</v>
      </c>
      <c r="X6" s="327" t="s">
        <v>43</v>
      </c>
      <c r="Y6" s="203" t="s">
        <v>35</v>
      </c>
      <c r="Z6" s="327" t="s">
        <v>30</v>
      </c>
      <c r="AA6" s="327" t="s">
        <v>31</v>
      </c>
      <c r="AB6" s="327" t="s">
        <v>5</v>
      </c>
      <c r="AC6" s="327" t="s">
        <v>45</v>
      </c>
      <c r="AD6" s="327" t="s">
        <v>46</v>
      </c>
      <c r="AE6" s="327" t="s">
        <v>32</v>
      </c>
      <c r="AF6" s="327" t="s">
        <v>33</v>
      </c>
    </row>
    <row r="7" spans="2:32" x14ac:dyDescent="0.25">
      <c r="B7" s="6" t="s">
        <v>52</v>
      </c>
      <c r="D7" s="6" t="s">
        <v>386</v>
      </c>
      <c r="E7" s="6" t="s">
        <v>387</v>
      </c>
      <c r="F7" s="33" t="str">
        <f>General!$B$2</f>
        <v>PJ</v>
      </c>
      <c r="M7" s="6" t="s">
        <v>98</v>
      </c>
      <c r="O7" s="6" t="s">
        <v>481</v>
      </c>
      <c r="P7" s="6" t="s">
        <v>482</v>
      </c>
      <c r="Q7" s="33" t="str">
        <f>General!$B$4</f>
        <v>Gg</v>
      </c>
      <c r="X7" s="92" t="s">
        <v>233</v>
      </c>
      <c r="Z7" s="6" t="s">
        <v>487</v>
      </c>
      <c r="AA7" s="6" t="s">
        <v>385</v>
      </c>
      <c r="AB7" s="33" t="str">
        <f>General!$D$22</f>
        <v>000m2</v>
      </c>
    </row>
    <row r="8" spans="2:32" x14ac:dyDescent="0.25">
      <c r="D8" s="6" t="s">
        <v>56</v>
      </c>
      <c r="E8" s="6" t="s">
        <v>57</v>
      </c>
      <c r="F8" s="33" t="str">
        <f>General!$B$2</f>
        <v>PJ</v>
      </c>
      <c r="O8" s="6" t="s">
        <v>483</v>
      </c>
      <c r="P8" s="6" t="s">
        <v>484</v>
      </c>
      <c r="Q8" s="33" t="str">
        <f>General!$B$4</f>
        <v>Gg</v>
      </c>
      <c r="Z8" s="6" t="s">
        <v>488</v>
      </c>
      <c r="AA8" s="6" t="s">
        <v>379</v>
      </c>
      <c r="AB8" s="33" t="str">
        <f>General!$D$22</f>
        <v>000m2</v>
      </c>
    </row>
    <row r="9" spans="2:32" x14ac:dyDescent="0.25">
      <c r="D9" s="6" t="s">
        <v>59</v>
      </c>
      <c r="E9" s="6" t="s">
        <v>60</v>
      </c>
      <c r="F9" s="33" t="str">
        <f>General!$B$2</f>
        <v>PJ</v>
      </c>
      <c r="O9" s="6" t="s">
        <v>485</v>
      </c>
      <c r="P9" s="6" t="s">
        <v>486</v>
      </c>
      <c r="Q9" s="33" t="str">
        <f>General!$B$4</f>
        <v>Gg</v>
      </c>
      <c r="X9" s="204"/>
      <c r="Y9" s="204"/>
      <c r="Z9" s="204" t="s">
        <v>489</v>
      </c>
      <c r="AA9" s="204" t="s">
        <v>314</v>
      </c>
      <c r="AB9" s="120" t="str">
        <f>General!$D$24</f>
        <v>000lamps</v>
      </c>
      <c r="AC9" s="204"/>
      <c r="AD9" s="204"/>
      <c r="AE9" s="204"/>
      <c r="AF9" s="204"/>
    </row>
    <row r="10" spans="2:32" x14ac:dyDescent="0.25">
      <c r="D10" s="6" t="s">
        <v>61</v>
      </c>
      <c r="E10" s="6" t="s">
        <v>62</v>
      </c>
      <c r="F10" s="33" t="str">
        <f>General!$B$2</f>
        <v>PJ</v>
      </c>
      <c r="X10" s="92" t="s">
        <v>52</v>
      </c>
      <c r="Z10" s="6" t="str">
        <f>Z7&amp;"_SH"</f>
        <v>TER_TP_SH</v>
      </c>
      <c r="AA10" s="6" t="s">
        <v>388</v>
      </c>
      <c r="AB10" s="33" t="str">
        <f>General!$B$2</f>
        <v>PJ</v>
      </c>
    </row>
    <row r="11" spans="2:32" x14ac:dyDescent="0.25">
      <c r="D11" s="6" t="s">
        <v>64</v>
      </c>
      <c r="E11" s="6" t="s">
        <v>65</v>
      </c>
      <c r="F11" s="33" t="str">
        <f>General!$B$2</f>
        <v>PJ</v>
      </c>
      <c r="Z11" s="6" t="str">
        <f>Z8&amp;"_SH"</f>
        <v>TER_TS_SH</v>
      </c>
      <c r="AA11" s="6" t="s">
        <v>395</v>
      </c>
      <c r="AB11" s="33" t="str">
        <f>General!$B$2</f>
        <v>PJ</v>
      </c>
    </row>
    <row r="12" spans="2:32" x14ac:dyDescent="0.25">
      <c r="D12" s="6" t="s">
        <v>66</v>
      </c>
      <c r="E12" s="6" t="s">
        <v>67</v>
      </c>
      <c r="F12" s="33" t="str">
        <f>General!$B$2</f>
        <v>PJ</v>
      </c>
      <c r="X12" s="92"/>
      <c r="Z12" s="6" t="str">
        <f>Z7&amp;"_WH"</f>
        <v>TER_TP_WH</v>
      </c>
      <c r="AA12" s="6" t="s">
        <v>389</v>
      </c>
      <c r="AB12" s="33" t="str">
        <f>General!$B$2</f>
        <v>PJ</v>
      </c>
    </row>
    <row r="13" spans="2:32" x14ac:dyDescent="0.25">
      <c r="D13" s="6" t="s">
        <v>72</v>
      </c>
      <c r="E13" s="6" t="s">
        <v>73</v>
      </c>
      <c r="F13" s="33" t="str">
        <f>General!$B$2</f>
        <v>PJ</v>
      </c>
      <c r="Z13" s="6" t="str">
        <f>Z8&amp;"_WH"</f>
        <v>TER_TS_WH</v>
      </c>
      <c r="AA13" s="6" t="s">
        <v>396</v>
      </c>
      <c r="AB13" s="33" t="str">
        <f>General!$B$2</f>
        <v>PJ</v>
      </c>
    </row>
    <row r="14" spans="2:32" x14ac:dyDescent="0.25">
      <c r="D14" s="6" t="s">
        <v>74</v>
      </c>
      <c r="E14" s="6" t="s">
        <v>75</v>
      </c>
      <c r="F14" s="33" t="str">
        <f>General!$B$2</f>
        <v>PJ</v>
      </c>
      <c r="H14" s="6" t="s">
        <v>337</v>
      </c>
      <c r="X14" s="92"/>
      <c r="Z14" s="6" t="str">
        <f>Z7&amp;"_SC"</f>
        <v>TER_TP_SC</v>
      </c>
      <c r="AA14" s="6" t="s">
        <v>390</v>
      </c>
      <c r="AB14" s="33" t="str">
        <f>General!$B$2</f>
        <v>PJ</v>
      </c>
    </row>
    <row r="15" spans="2:32" x14ac:dyDescent="0.25">
      <c r="D15" s="6" t="s">
        <v>76</v>
      </c>
      <c r="E15" s="6" t="s">
        <v>77</v>
      </c>
      <c r="F15" s="33" t="str">
        <f>General!$B$2</f>
        <v>PJ</v>
      </c>
      <c r="X15" s="92"/>
      <c r="Z15" s="6" t="str">
        <f>Z8&amp;"_SC"</f>
        <v>TER_TS_SC</v>
      </c>
      <c r="AA15" s="6" t="s">
        <v>397</v>
      </c>
      <c r="AB15" s="33" t="str">
        <f>General!$B$2</f>
        <v>PJ</v>
      </c>
    </row>
    <row r="16" spans="2:32" x14ac:dyDescent="0.25">
      <c r="D16" s="6" t="s">
        <v>79</v>
      </c>
      <c r="E16" s="6" t="s">
        <v>80</v>
      </c>
      <c r="F16" s="33" t="str">
        <f>General!$B$2</f>
        <v>PJ</v>
      </c>
      <c r="X16" s="92"/>
      <c r="Z16" s="6" t="str">
        <f>Z7&amp;"_CK"</f>
        <v>TER_TP_CK</v>
      </c>
      <c r="AA16" s="6" t="s">
        <v>391</v>
      </c>
      <c r="AB16" s="33" t="s">
        <v>262</v>
      </c>
    </row>
    <row r="17" spans="2:32" x14ac:dyDescent="0.25">
      <c r="D17" s="6" t="s">
        <v>78</v>
      </c>
      <c r="E17" s="6" t="s">
        <v>81</v>
      </c>
      <c r="F17" s="33" t="str">
        <f>General!$B$2</f>
        <v>PJ</v>
      </c>
      <c r="X17" s="204"/>
      <c r="Y17" s="204"/>
      <c r="Z17" s="204" t="str">
        <f>Z8&amp;"_CK"</f>
        <v>TER_TS_CK</v>
      </c>
      <c r="AA17" s="204" t="s">
        <v>398</v>
      </c>
      <c r="AB17" s="120" t="s">
        <v>262</v>
      </c>
      <c r="AC17" s="204"/>
      <c r="AD17" s="204"/>
      <c r="AE17" s="204"/>
      <c r="AF17" s="204"/>
    </row>
    <row r="18" spans="2:32" x14ac:dyDescent="0.25">
      <c r="D18" s="6" t="s">
        <v>82</v>
      </c>
      <c r="E18" s="6" t="s">
        <v>83</v>
      </c>
      <c r="F18" s="33" t="str">
        <f>General!$B$2</f>
        <v>PJ</v>
      </c>
      <c r="X18" s="7" t="s">
        <v>282</v>
      </c>
      <c r="Y18" s="9"/>
      <c r="Z18" s="9" t="str">
        <f>Z7&amp;"_LI"</f>
        <v>TER_TP_LI</v>
      </c>
      <c r="AA18" s="6" t="s">
        <v>392</v>
      </c>
      <c r="AB18" s="12" t="str">
        <f>General!$D$24</f>
        <v>000lamps</v>
      </c>
      <c r="AC18" s="9"/>
      <c r="AE18" s="9"/>
      <c r="AF18" s="9"/>
    </row>
    <row r="19" spans="2:32" x14ac:dyDescent="0.25">
      <c r="D19" s="6" t="s">
        <v>84</v>
      </c>
      <c r="E19" s="6" t="s">
        <v>85</v>
      </c>
      <c r="F19" s="33" t="str">
        <f>General!$B$2</f>
        <v>PJ</v>
      </c>
      <c r="X19" s="204"/>
      <c r="Y19" s="204"/>
      <c r="Z19" s="204" t="str">
        <f>Z8&amp;"_LI"</f>
        <v>TER_TS_LI</v>
      </c>
      <c r="AA19" s="204" t="s">
        <v>399</v>
      </c>
      <c r="AB19" s="120" t="str">
        <f>General!$D$24</f>
        <v>000lamps</v>
      </c>
      <c r="AC19" s="204"/>
      <c r="AD19" s="204"/>
      <c r="AE19" s="204"/>
      <c r="AF19" s="204"/>
    </row>
    <row r="20" spans="2:32" x14ac:dyDescent="0.25">
      <c r="D20" s="6" t="s">
        <v>86</v>
      </c>
      <c r="E20" s="6" t="s">
        <v>87</v>
      </c>
      <c r="F20" s="33" t="str">
        <f>General!$B$2</f>
        <v>PJ</v>
      </c>
      <c r="X20" s="7"/>
      <c r="Y20" s="9"/>
      <c r="Z20" s="9" t="str">
        <f>Z7&amp;"_RF"</f>
        <v>TER_TP_RF</v>
      </c>
      <c r="AA20" s="6" t="s">
        <v>393</v>
      </c>
      <c r="AB20" s="12" t="s">
        <v>281</v>
      </c>
      <c r="AC20" s="9"/>
      <c r="AE20" s="9"/>
      <c r="AF20" s="9"/>
    </row>
    <row r="21" spans="2:32" x14ac:dyDescent="0.25">
      <c r="D21" s="6" t="s">
        <v>88</v>
      </c>
      <c r="E21" s="6" t="s">
        <v>89</v>
      </c>
      <c r="F21" s="33" t="str">
        <f>General!$B$2</f>
        <v>PJ</v>
      </c>
      <c r="X21" s="7"/>
      <c r="Y21" s="9"/>
      <c r="Z21" s="9" t="str">
        <f>Z8&amp;"_RF"</f>
        <v>TER_TS_RF</v>
      </c>
      <c r="AA21" s="6" t="s">
        <v>400</v>
      </c>
      <c r="AB21" s="12" t="s">
        <v>281</v>
      </c>
      <c r="AC21" s="9"/>
      <c r="AE21" s="9"/>
      <c r="AF21" s="9"/>
    </row>
    <row r="22" spans="2:32" x14ac:dyDescent="0.25">
      <c r="D22" s="6" t="s">
        <v>90</v>
      </c>
      <c r="E22" s="6" t="s">
        <v>91</v>
      </c>
      <c r="F22" s="33" t="str">
        <f>General!$B$2</f>
        <v>PJ</v>
      </c>
      <c r="X22" s="7"/>
      <c r="Y22" s="9"/>
      <c r="Z22" s="9" t="str">
        <f>Z7&amp;"_AP"</f>
        <v>TER_TP_AP</v>
      </c>
      <c r="AA22" s="6" t="s">
        <v>394</v>
      </c>
      <c r="AB22" s="12" t="s">
        <v>281</v>
      </c>
      <c r="AC22" s="9"/>
      <c r="AE22" s="9"/>
      <c r="AF22" s="9"/>
    </row>
    <row r="23" spans="2:32" x14ac:dyDescent="0.25">
      <c r="B23" s="6" t="s">
        <v>107</v>
      </c>
      <c r="D23" s="6" t="s">
        <v>589</v>
      </c>
      <c r="E23" s="6" t="s">
        <v>590</v>
      </c>
      <c r="F23" s="33" t="str">
        <f>General!$B$2</f>
        <v>PJ</v>
      </c>
      <c r="X23" s="7"/>
      <c r="Y23" s="9"/>
      <c r="Z23" s="9" t="str">
        <f>Z8&amp;"_AP"</f>
        <v>TER_TS_AP</v>
      </c>
      <c r="AA23" s="6" t="s">
        <v>401</v>
      </c>
      <c r="AB23" s="12" t="s">
        <v>281</v>
      </c>
      <c r="AC23" s="9"/>
      <c r="AE23" s="9"/>
      <c r="AF23" s="9"/>
    </row>
    <row r="24" spans="2:32" x14ac:dyDescent="0.25">
      <c r="B24" s="6" t="s">
        <v>107</v>
      </c>
      <c r="D24" s="6" t="s">
        <v>591</v>
      </c>
      <c r="E24" s="6" t="s">
        <v>592</v>
      </c>
      <c r="F24" s="33" t="str">
        <f>General!$B$2</f>
        <v>PJ</v>
      </c>
      <c r="X24" s="9"/>
    </row>
    <row r="25" spans="2:32" x14ac:dyDescent="0.25">
      <c r="B25" s="6" t="s">
        <v>107</v>
      </c>
      <c r="D25" s="6" t="s">
        <v>593</v>
      </c>
      <c r="E25" s="6" t="s">
        <v>594</v>
      </c>
      <c r="F25" s="33" t="str">
        <f>General!$B$2</f>
        <v>PJ</v>
      </c>
    </row>
    <row r="26" spans="2:32" x14ac:dyDescent="0.25">
      <c r="B26" s="6" t="s">
        <v>107</v>
      </c>
      <c r="D26" s="6" t="s">
        <v>595</v>
      </c>
      <c r="E26" s="6" t="s">
        <v>596</v>
      </c>
      <c r="F26" s="33" t="str">
        <f>General!$B$2</f>
        <v>PJ</v>
      </c>
      <c r="H26" s="6" t="s">
        <v>337</v>
      </c>
    </row>
    <row r="27" spans="2:32" x14ac:dyDescent="0.25">
      <c r="B27" s="6" t="s">
        <v>107</v>
      </c>
      <c r="D27" s="6" t="s">
        <v>597</v>
      </c>
      <c r="E27" s="6" t="s">
        <v>598</v>
      </c>
      <c r="F27" s="33" t="str">
        <f>General!$B$2</f>
        <v>PJ</v>
      </c>
    </row>
    <row r="28" spans="2:32" x14ac:dyDescent="0.25">
      <c r="D28" s="6" t="s">
        <v>490</v>
      </c>
      <c r="E28" s="6" t="s">
        <v>558</v>
      </c>
      <c r="F28" s="33" t="str">
        <f>General!$B$2</f>
        <v>PJ</v>
      </c>
    </row>
    <row r="29" spans="2:32" x14ac:dyDescent="0.25">
      <c r="D29" s="6" t="s">
        <v>492</v>
      </c>
      <c r="E29" s="6" t="s">
        <v>559</v>
      </c>
      <c r="F29" s="33" t="str">
        <f>General!$B$2</f>
        <v>PJ</v>
      </c>
    </row>
    <row r="30" spans="2:32" x14ac:dyDescent="0.25">
      <c r="D30" s="6" t="s">
        <v>494</v>
      </c>
      <c r="E30" s="6" t="s">
        <v>560</v>
      </c>
      <c r="F30" s="33" t="str">
        <f>General!$B$2</f>
        <v>PJ</v>
      </c>
    </row>
    <row r="31" spans="2:32" x14ac:dyDescent="0.25">
      <c r="D31" s="6" t="s">
        <v>496</v>
      </c>
      <c r="E31" s="6" t="s">
        <v>561</v>
      </c>
      <c r="F31" s="33" t="str">
        <f>General!$B$2</f>
        <v>PJ</v>
      </c>
    </row>
    <row r="32" spans="2:32" x14ac:dyDescent="0.25">
      <c r="D32" s="6" t="s">
        <v>498</v>
      </c>
      <c r="E32" s="6" t="s">
        <v>562</v>
      </c>
      <c r="F32" s="33" t="str">
        <f>General!$B$2</f>
        <v>PJ</v>
      </c>
    </row>
    <row r="33" spans="2:10" x14ac:dyDescent="0.25">
      <c r="D33" s="6" t="s">
        <v>551</v>
      </c>
      <c r="E33" s="6" t="s">
        <v>563</v>
      </c>
      <c r="F33" s="33" t="str">
        <f>General!$B$2</f>
        <v>PJ</v>
      </c>
    </row>
    <row r="34" spans="2:10" x14ac:dyDescent="0.25">
      <c r="D34" s="6" t="s">
        <v>510</v>
      </c>
      <c r="E34" s="6" t="s">
        <v>564</v>
      </c>
      <c r="F34" s="33" t="str">
        <f>General!$B$2</f>
        <v>PJ</v>
      </c>
    </row>
    <row r="35" spans="2:10" x14ac:dyDescent="0.25">
      <c r="D35" s="6" t="s">
        <v>500</v>
      </c>
      <c r="E35" s="6" t="s">
        <v>565</v>
      </c>
      <c r="F35" s="33" t="str">
        <f>General!$B$2</f>
        <v>PJ</v>
      </c>
    </row>
    <row r="36" spans="2:10" x14ac:dyDescent="0.25">
      <c r="D36" s="6" t="s">
        <v>552</v>
      </c>
      <c r="E36" s="6" t="s">
        <v>566</v>
      </c>
      <c r="F36" s="33" t="str">
        <f>General!$B$2</f>
        <v>PJ</v>
      </c>
    </row>
    <row r="37" spans="2:10" x14ac:dyDescent="0.25">
      <c r="D37" s="6" t="s">
        <v>502</v>
      </c>
      <c r="E37" s="6" t="s">
        <v>567</v>
      </c>
      <c r="F37" s="33" t="str">
        <f>General!$B$2</f>
        <v>PJ</v>
      </c>
      <c r="H37" s="6" t="s">
        <v>337</v>
      </c>
    </row>
    <row r="38" spans="2:10" x14ac:dyDescent="0.25">
      <c r="D38" s="6" t="s">
        <v>506</v>
      </c>
      <c r="E38" s="6" t="s">
        <v>568</v>
      </c>
      <c r="F38" s="33" t="str">
        <f>General!$B$2</f>
        <v>PJ</v>
      </c>
    </row>
    <row r="39" spans="2:10" x14ac:dyDescent="0.25">
      <c r="D39" s="6" t="s">
        <v>553</v>
      </c>
      <c r="E39" s="6" t="s">
        <v>569</v>
      </c>
      <c r="F39" s="33" t="str">
        <f>General!$B$2</f>
        <v>PJ</v>
      </c>
    </row>
    <row r="40" spans="2:10" x14ac:dyDescent="0.25">
      <c r="D40" s="6" t="s">
        <v>554</v>
      </c>
      <c r="E40" s="6" t="s">
        <v>570</v>
      </c>
      <c r="F40" s="33" t="str">
        <f>General!$B$2</f>
        <v>PJ</v>
      </c>
    </row>
    <row r="41" spans="2:10" x14ac:dyDescent="0.25">
      <c r="D41" s="6" t="s">
        <v>555</v>
      </c>
      <c r="E41" s="6" t="s">
        <v>571</v>
      </c>
      <c r="F41" s="33" t="str">
        <f>General!$B$2</f>
        <v>PJ</v>
      </c>
    </row>
    <row r="42" spans="2:10" x14ac:dyDescent="0.25">
      <c r="D42" s="6" t="s">
        <v>556</v>
      </c>
      <c r="E42" s="6" t="s">
        <v>572</v>
      </c>
      <c r="F42" s="33" t="str">
        <f>General!$B$2</f>
        <v>PJ</v>
      </c>
    </row>
    <row r="43" spans="2:10" x14ac:dyDescent="0.25">
      <c r="D43" s="6" t="s">
        <v>543</v>
      </c>
      <c r="E43" s="6" t="s">
        <v>573</v>
      </c>
      <c r="F43" s="33" t="str">
        <f>General!$B$2</f>
        <v>PJ</v>
      </c>
    </row>
    <row r="44" spans="2:10" x14ac:dyDescent="0.25">
      <c r="D44" s="6" t="s">
        <v>557</v>
      </c>
      <c r="E44" s="6" t="s">
        <v>574</v>
      </c>
      <c r="F44" s="33" t="str">
        <f>General!$B$2</f>
        <v>PJ</v>
      </c>
    </row>
    <row r="45" spans="2:10" x14ac:dyDescent="0.25">
      <c r="D45" s="6" t="s">
        <v>522</v>
      </c>
      <c r="E45" s="6" t="s">
        <v>575</v>
      </c>
      <c r="F45" s="33" t="str">
        <f>General!$B$2</f>
        <v>PJ</v>
      </c>
    </row>
    <row r="46" spans="2:10" x14ac:dyDescent="0.25">
      <c r="D46" s="6" t="s">
        <v>92</v>
      </c>
      <c r="E46" s="6" t="s">
        <v>95</v>
      </c>
      <c r="F46" s="33" t="str">
        <f>General!$B$2</f>
        <v>PJ</v>
      </c>
      <c r="H46" s="6" t="s">
        <v>93</v>
      </c>
      <c r="J46" s="6" t="s">
        <v>94</v>
      </c>
    </row>
    <row r="47" spans="2:10" x14ac:dyDescent="0.25">
      <c r="D47" s="6" t="s">
        <v>96</v>
      </c>
      <c r="E47" s="6" t="s">
        <v>97</v>
      </c>
      <c r="F47" s="33" t="str">
        <f>General!$B$2</f>
        <v>PJ</v>
      </c>
      <c r="H47" s="6" t="s">
        <v>93</v>
      </c>
      <c r="J47" s="6" t="s">
        <v>94</v>
      </c>
    </row>
    <row r="48" spans="2:10" x14ac:dyDescent="0.25">
      <c r="B48" s="6" t="s">
        <v>107</v>
      </c>
      <c r="D48" s="6" t="s">
        <v>599</v>
      </c>
      <c r="E48" s="6" t="s">
        <v>600</v>
      </c>
      <c r="F48" s="33" t="str">
        <f>General!$B$2</f>
        <v>PJ</v>
      </c>
      <c r="H48" s="6" t="s">
        <v>93</v>
      </c>
      <c r="J48" s="6" t="s">
        <v>94</v>
      </c>
    </row>
    <row r="49" spans="4:10" x14ac:dyDescent="0.25">
      <c r="D49" s="6" t="s">
        <v>508</v>
      </c>
      <c r="E49" s="6" t="s">
        <v>587</v>
      </c>
      <c r="F49" s="33" t="str">
        <f>General!$B$2</f>
        <v>PJ</v>
      </c>
      <c r="H49" s="6" t="s">
        <v>93</v>
      </c>
      <c r="J49" s="6" t="s">
        <v>94</v>
      </c>
    </row>
    <row r="50" spans="4:10" x14ac:dyDescent="0.25">
      <c r="D50" s="6" t="s">
        <v>241</v>
      </c>
      <c r="E50" s="6" t="s">
        <v>242</v>
      </c>
      <c r="F50" s="33" t="str">
        <f>General!$B$2</f>
        <v>PJ</v>
      </c>
      <c r="H50" s="6" t="s">
        <v>93</v>
      </c>
      <c r="J50" s="6" t="s">
        <v>94</v>
      </c>
    </row>
    <row r="51" spans="4:10" x14ac:dyDescent="0.25">
      <c r="D51" s="6" t="s">
        <v>504</v>
      </c>
      <c r="E51" s="6" t="s">
        <v>588</v>
      </c>
      <c r="F51" s="33" t="str">
        <f>General!$B$2</f>
        <v>PJ</v>
      </c>
      <c r="H51" s="6" t="s">
        <v>93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4"/>
  <sheetViews>
    <sheetView zoomScale="85" zoomScaleNormal="85" workbookViewId="0">
      <selection activeCell="O50" sqref="O50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18.44140625" customWidth="1"/>
    <col min="4" max="4" width="13.44140625" bestFit="1" customWidth="1"/>
    <col min="5" max="5" width="14.5546875" bestFit="1" customWidth="1"/>
  </cols>
  <sheetData>
    <row r="1" spans="1:6" ht="16.5" customHeight="1" x14ac:dyDescent="0.3">
      <c r="A1" s="1" t="s">
        <v>100</v>
      </c>
      <c r="B1" s="2"/>
      <c r="E1" s="14" t="s">
        <v>255</v>
      </c>
      <c r="F1" s="15">
        <v>2017</v>
      </c>
    </row>
    <row r="2" spans="1:6" ht="16.5" customHeight="1" x14ac:dyDescent="0.3">
      <c r="A2" s="3" t="s">
        <v>101</v>
      </c>
      <c r="B2" s="4" t="s">
        <v>262</v>
      </c>
      <c r="E2" s="14" t="s">
        <v>256</v>
      </c>
      <c r="F2" s="3">
        <v>2050</v>
      </c>
    </row>
    <row r="3" spans="1:6" ht="16.5" customHeight="1" x14ac:dyDescent="0.3">
      <c r="A3" s="3" t="s">
        <v>102</v>
      </c>
      <c r="B3" s="4" t="s">
        <v>381</v>
      </c>
      <c r="E3" s="14" t="s">
        <v>338</v>
      </c>
      <c r="F3" s="3">
        <v>1</v>
      </c>
    </row>
    <row r="4" spans="1:6" ht="16.5" customHeight="1" x14ac:dyDescent="0.3">
      <c r="A4" s="3" t="s">
        <v>103</v>
      </c>
      <c r="B4" s="4" t="s">
        <v>99</v>
      </c>
    </row>
    <row r="5" spans="1:6" ht="16.5" customHeight="1" x14ac:dyDescent="0.3">
      <c r="A5" s="3" t="s">
        <v>259</v>
      </c>
      <c r="B5" s="4" t="s">
        <v>263</v>
      </c>
      <c r="C5" s="16"/>
    </row>
    <row r="8" spans="1:6" ht="16.5" customHeight="1" x14ac:dyDescent="0.3">
      <c r="A8" s="37" t="s">
        <v>243</v>
      </c>
      <c r="B8" s="37"/>
    </row>
    <row r="10" spans="1:6" ht="16.5" customHeight="1" x14ac:dyDescent="0.3">
      <c r="A10" s="1" t="s">
        <v>227</v>
      </c>
      <c r="B10" s="1" t="s">
        <v>244</v>
      </c>
      <c r="C10" s="1" t="s">
        <v>245</v>
      </c>
      <c r="D10" s="1" t="s">
        <v>246</v>
      </c>
      <c r="E10" s="1" t="s">
        <v>247</v>
      </c>
    </row>
    <row r="11" spans="1:6" ht="16.5" customHeight="1" x14ac:dyDescent="0.3">
      <c r="A11" s="13" t="s">
        <v>248</v>
      </c>
      <c r="B11" s="3" t="s">
        <v>249</v>
      </c>
      <c r="C11" s="3" t="s">
        <v>250</v>
      </c>
      <c r="D11" s="18" t="s">
        <v>50</v>
      </c>
      <c r="E11" s="17"/>
    </row>
    <row r="12" spans="1:6" ht="16.5" customHeight="1" x14ac:dyDescent="0.3">
      <c r="A12" s="13" t="s">
        <v>238</v>
      </c>
      <c r="B12" s="3" t="s">
        <v>251</v>
      </c>
      <c r="C12" s="3" t="s">
        <v>252</v>
      </c>
      <c r="D12" s="17" t="s">
        <v>382</v>
      </c>
      <c r="E12" s="17" t="str">
        <f>B3&amp;"/"&amp;B2</f>
        <v>M$/PJ</v>
      </c>
    </row>
    <row r="13" spans="1:6" ht="16.5" customHeight="1" x14ac:dyDescent="0.3">
      <c r="A13" s="13" t="s">
        <v>236</v>
      </c>
      <c r="B13" s="3" t="s">
        <v>253</v>
      </c>
      <c r="C13" s="3" t="s">
        <v>250</v>
      </c>
      <c r="D13" s="18" t="str">
        <f>B2&amp;"/year"</f>
        <v>PJ/year</v>
      </c>
      <c r="E13" s="17"/>
    </row>
    <row r="14" spans="1:6" ht="16.5" customHeight="1" x14ac:dyDescent="0.3">
      <c r="A14" s="13" t="s">
        <v>3</v>
      </c>
      <c r="B14" s="3" t="s">
        <v>41</v>
      </c>
      <c r="C14" s="3" t="s">
        <v>250</v>
      </c>
      <c r="D14" s="17" t="s">
        <v>383</v>
      </c>
      <c r="E14" s="17" t="str">
        <f>B3&amp;"/"&amp;B2&amp;"/a"</f>
        <v>M$/PJ/a</v>
      </c>
    </row>
    <row r="15" spans="1:6" ht="16.5" customHeight="1" x14ac:dyDescent="0.3">
      <c r="A15" s="13" t="s">
        <v>6</v>
      </c>
      <c r="B15" s="3" t="s">
        <v>40</v>
      </c>
      <c r="C15" s="3" t="s">
        <v>250</v>
      </c>
      <c r="D15" s="17" t="s">
        <v>382</v>
      </c>
      <c r="E15" s="17" t="str">
        <f>B3&amp;"/"&amp;B2</f>
        <v>M$/PJ</v>
      </c>
    </row>
    <row r="16" spans="1:6" ht="16.5" customHeight="1" x14ac:dyDescent="0.3">
      <c r="A16" s="13" t="s">
        <v>239</v>
      </c>
      <c r="B16" s="3" t="s">
        <v>254</v>
      </c>
      <c r="C16" s="3" t="s">
        <v>250</v>
      </c>
      <c r="D16" s="17" t="s">
        <v>260</v>
      </c>
      <c r="E16" s="17" t="str">
        <f>B2&amp;"/"&amp;B5</f>
        <v>PJ/GW</v>
      </c>
    </row>
    <row r="17" spans="1:5" ht="16.5" customHeight="1" x14ac:dyDescent="0.3">
      <c r="A17" s="13" t="s">
        <v>248</v>
      </c>
      <c r="B17" s="3" t="s">
        <v>249</v>
      </c>
      <c r="C17" s="3" t="s">
        <v>250</v>
      </c>
      <c r="D17" s="18" t="s">
        <v>50</v>
      </c>
      <c r="E17" s="17"/>
    </row>
    <row r="18" spans="1:5" ht="16.5" customHeight="1" x14ac:dyDescent="0.3">
      <c r="A18" s="13" t="s">
        <v>228</v>
      </c>
      <c r="B18" s="3" t="s">
        <v>257</v>
      </c>
      <c r="C18" s="3"/>
      <c r="D18" s="18" t="s">
        <v>334</v>
      </c>
      <c r="E18" s="17" t="s">
        <v>281</v>
      </c>
    </row>
    <row r="19" spans="1:5" ht="16.5" customHeight="1" x14ac:dyDescent="0.3">
      <c r="A19" s="13" t="s">
        <v>239</v>
      </c>
      <c r="B19" s="3" t="s">
        <v>258</v>
      </c>
      <c r="C19" s="3"/>
      <c r="D19" s="18" t="str">
        <f>IF(B2="PJ","TJ/unit","GJ/unit")</f>
        <v>TJ/unit</v>
      </c>
      <c r="E19" s="17"/>
    </row>
    <row r="20" spans="1:5" ht="16.5" customHeight="1" x14ac:dyDescent="0.3">
      <c r="A20" s="13" t="s">
        <v>104</v>
      </c>
      <c r="B20" s="3" t="s">
        <v>261</v>
      </c>
      <c r="C20" s="3" t="s">
        <v>250</v>
      </c>
      <c r="D20" s="17" t="s">
        <v>234</v>
      </c>
      <c r="E20" s="17"/>
    </row>
    <row r="21" spans="1:5" ht="16.5" customHeight="1" x14ac:dyDescent="0.3">
      <c r="A21" s="13" t="s">
        <v>228</v>
      </c>
      <c r="B21" s="3" t="s">
        <v>257</v>
      </c>
      <c r="C21" s="3" t="s">
        <v>264</v>
      </c>
      <c r="D21" s="18" t="str">
        <f>B2&amp;"/year"</f>
        <v>PJ/year</v>
      </c>
      <c r="E21" s="17"/>
    </row>
    <row r="22" spans="1:5" ht="16.5" customHeight="1" x14ac:dyDescent="0.3">
      <c r="A22" s="13" t="s">
        <v>20</v>
      </c>
      <c r="B22" s="3" t="s">
        <v>27</v>
      </c>
      <c r="C22" s="3" t="s">
        <v>384</v>
      </c>
      <c r="D22" s="18" t="s">
        <v>311</v>
      </c>
      <c r="E22" s="17"/>
    </row>
    <row r="23" spans="1:5" ht="16.5" customHeight="1" x14ac:dyDescent="0.3">
      <c r="A23" s="13" t="s">
        <v>21</v>
      </c>
      <c r="B23" s="3" t="s">
        <v>278</v>
      </c>
      <c r="C23" s="3" t="s">
        <v>384</v>
      </c>
      <c r="D23" s="18" t="s">
        <v>311</v>
      </c>
      <c r="E23" s="17"/>
    </row>
    <row r="24" spans="1:5" ht="16.5" customHeight="1" x14ac:dyDescent="0.3">
      <c r="A24" s="13" t="s">
        <v>228</v>
      </c>
      <c r="B24" s="3" t="s">
        <v>257</v>
      </c>
      <c r="C24" s="3" t="s">
        <v>312</v>
      </c>
      <c r="D24" s="18" t="s">
        <v>313</v>
      </c>
      <c r="E24" s="17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6"/>
  <sheetViews>
    <sheetView zoomScale="55" zoomScaleNormal="55" workbookViewId="0">
      <pane xSplit="3" ySplit="4" topLeftCell="D5" activePane="bottomRight" state="frozen"/>
      <selection activeCell="O50" sqref="O50"/>
      <selection pane="topRight" activeCell="O50" sqref="O50"/>
      <selection pane="bottomLeft" activeCell="O50" sqref="O50"/>
      <selection pane="bottomRight" sqref="A1:XFD1048576"/>
    </sheetView>
  </sheetViews>
  <sheetFormatPr defaultRowHeight="13.2" x14ac:dyDescent="0.25"/>
  <cols>
    <col min="1" max="1" width="16" style="45" bestFit="1" customWidth="1"/>
    <col min="2" max="2" width="41.44140625" style="45" customWidth="1"/>
    <col min="3" max="3" width="30" style="45" customWidth="1"/>
    <col min="4" max="4" width="20.88671875" style="140" customWidth="1"/>
    <col min="5" max="5" width="22.44140625" style="140" bestFit="1" customWidth="1"/>
    <col min="6" max="6" width="21.44140625" style="140" bestFit="1" customWidth="1"/>
    <col min="7" max="7" width="18.33203125" style="140" bestFit="1" customWidth="1"/>
    <col min="8" max="8" width="16.33203125" style="140" bestFit="1" customWidth="1"/>
    <col min="9" max="9" width="18" style="140" bestFit="1" customWidth="1"/>
    <col min="10" max="10" width="23.44140625" style="140" bestFit="1" customWidth="1"/>
    <col min="11" max="11" width="23.44140625" style="140" customWidth="1"/>
    <col min="12" max="12" width="18" style="140" bestFit="1" customWidth="1"/>
    <col min="13" max="13" width="17" style="140" bestFit="1" customWidth="1"/>
    <col min="14" max="16" width="17.33203125" style="140" bestFit="1" customWidth="1"/>
    <col min="17" max="17" width="17.88671875" style="140" bestFit="1" customWidth="1"/>
    <col min="18" max="18" width="13.44140625" style="140" bestFit="1" customWidth="1"/>
    <col min="19" max="19" width="18.6640625" style="140" customWidth="1"/>
    <col min="20" max="20" width="19.6640625" style="45" customWidth="1"/>
    <col min="21" max="21" width="8.88671875" style="45"/>
    <col min="22" max="22" width="16.109375" style="45" customWidth="1"/>
    <col min="23" max="23" width="24.33203125" style="45" customWidth="1"/>
    <col min="24" max="24" width="15.88671875" style="45" customWidth="1"/>
    <col min="25" max="25" width="12.109375" style="45" customWidth="1"/>
    <col min="26" max="26" width="11" style="45" customWidth="1"/>
    <col min="27" max="27" width="14.109375" style="45" bestFit="1" customWidth="1"/>
    <col min="28" max="28" width="11.6640625" style="45" customWidth="1"/>
    <col min="29" max="16384" width="8.88671875" style="45"/>
  </cols>
  <sheetData>
    <row r="1" spans="1:25" s="22" customFormat="1" ht="17.399999999999999" x14ac:dyDescent="0.3">
      <c r="A1" s="92"/>
      <c r="B1" s="93" t="s">
        <v>310</v>
      </c>
      <c r="C1" s="92"/>
      <c r="D1" s="27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25" s="22" customFormat="1" ht="13.8" x14ac:dyDescent="0.25">
      <c r="A2" s="92"/>
      <c r="B2" s="92"/>
      <c r="C2" s="92"/>
      <c r="D2" s="26"/>
      <c r="E2" s="26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V2" s="45"/>
      <c r="W2" s="45"/>
      <c r="X2" s="45"/>
      <c r="Y2" s="45"/>
    </row>
    <row r="3" spans="1:25" s="22" customFormat="1" ht="13.8" x14ac:dyDescent="0.25">
      <c r="A3" s="94" t="s">
        <v>289</v>
      </c>
      <c r="B3" s="92"/>
      <c r="C3" s="92"/>
      <c r="D3" s="120">
        <v>2115</v>
      </c>
      <c r="E3" s="120">
        <v>2117</v>
      </c>
      <c r="F3" s="120">
        <v>2210</v>
      </c>
      <c r="G3" s="120">
        <v>2230</v>
      </c>
      <c r="H3" s="120">
        <v>3220</v>
      </c>
      <c r="I3" s="120">
        <v>3244</v>
      </c>
      <c r="J3" s="120">
        <v>3260</v>
      </c>
      <c r="K3" s="120" t="s">
        <v>109</v>
      </c>
      <c r="L3" s="120">
        <v>4100</v>
      </c>
      <c r="M3" s="120">
        <v>5541</v>
      </c>
      <c r="N3" s="120">
        <v>5544</v>
      </c>
      <c r="O3" s="120">
        <v>5542</v>
      </c>
      <c r="P3" s="120">
        <v>5532</v>
      </c>
      <c r="Q3" s="120">
        <v>5550</v>
      </c>
      <c r="R3" s="120">
        <v>5200</v>
      </c>
      <c r="S3" s="120">
        <v>6000</v>
      </c>
      <c r="V3" s="45" t="s">
        <v>582</v>
      </c>
      <c r="W3" s="45"/>
      <c r="X3" s="45"/>
      <c r="Y3" s="45"/>
    </row>
    <row r="4" spans="1:25" s="98" customFormat="1" ht="26.25" customHeight="1" thickBot="1" x14ac:dyDescent="0.3">
      <c r="A4" s="95">
        <v>43</v>
      </c>
      <c r="B4" s="95" t="s">
        <v>283</v>
      </c>
      <c r="C4" s="95"/>
      <c r="D4" s="96" t="s">
        <v>378</v>
      </c>
      <c r="E4" s="96" t="s">
        <v>53</v>
      </c>
      <c r="F4" s="96" t="s">
        <v>112</v>
      </c>
      <c r="G4" s="96" t="s">
        <v>113</v>
      </c>
      <c r="H4" s="96" t="s">
        <v>120</v>
      </c>
      <c r="I4" s="96" t="s">
        <v>124</v>
      </c>
      <c r="J4" s="96" t="s">
        <v>125</v>
      </c>
      <c r="K4" s="96" t="s">
        <v>126</v>
      </c>
      <c r="L4" s="96" t="s">
        <v>131</v>
      </c>
      <c r="M4" s="96" t="s">
        <v>139</v>
      </c>
      <c r="N4" s="96" t="s">
        <v>87</v>
      </c>
      <c r="O4" s="96" t="s">
        <v>140</v>
      </c>
      <c r="P4" s="96" t="s">
        <v>137</v>
      </c>
      <c r="Q4" s="96" t="s">
        <v>142</v>
      </c>
      <c r="R4" s="96" t="s">
        <v>146</v>
      </c>
      <c r="S4" s="96" t="s">
        <v>147</v>
      </c>
      <c r="T4" s="97" t="s">
        <v>284</v>
      </c>
      <c r="V4" s="45" t="s">
        <v>583</v>
      </c>
      <c r="W4" s="45"/>
      <c r="X4" s="45"/>
      <c r="Y4" s="45"/>
    </row>
    <row r="5" spans="1:25" s="22" customFormat="1" ht="13.8" x14ac:dyDescent="0.25">
      <c r="A5" s="6">
        <v>0</v>
      </c>
      <c r="B5" s="121" t="str">
        <f>'En.Bal-Final_Energy'!C43</f>
        <v>Private (Commercial)</v>
      </c>
      <c r="C5" s="122" t="str">
        <f>B5</f>
        <v>Private (Commercial)</v>
      </c>
      <c r="D5" s="123">
        <f>HLOOKUP(D$3,'En.Bal-Final_Energy'!$H$1:$BX$45,$A$4+$A5,FALSE)</f>
        <v>0</v>
      </c>
      <c r="E5" s="123">
        <f>HLOOKUP(E$3,'En.Bal-Final_Energy'!$H$1:$BX$45,$A$4+$A5,FALSE)</f>
        <v>11.438337600000001</v>
      </c>
      <c r="F5" s="123">
        <f>HLOOKUP(F$3,'En.Bal-Final_Energy'!$H$1:$BX$45,$A$4+$A5,FALSE)</f>
        <v>0.56940480000000004</v>
      </c>
      <c r="G5" s="123">
        <f>HLOOKUP(G$3,'En.Bal-Final_Energy'!$H$1:$BX$45,$A$4+$A5,FALSE)</f>
        <v>0</v>
      </c>
      <c r="H5" s="123">
        <f>HLOOKUP(H$3,'En.Bal-Final_Energy'!$H$1:$BX$45,$A$4+$A5,FALSE)</f>
        <v>0.20096640000000002</v>
      </c>
      <c r="I5" s="123">
        <f>HLOOKUP(I$3,'En.Bal-Final_Energy'!$H$1:$BX$45,$A$4+$A5,FALSE)</f>
        <v>0</v>
      </c>
      <c r="J5" s="123">
        <f>HLOOKUP(J$3,'En.Bal-Final_Energy'!$H$1:$BX$45,$A$4+$A5,FALSE)</f>
        <v>3.5504064000000009</v>
      </c>
      <c r="K5" s="123">
        <f>HLOOKUP(K$3,'En.Bal-Final_Energy'!$H$1:$BX$45,$A$4+$A5,FALSE)</f>
        <v>3.1819679999999999</v>
      </c>
      <c r="L5" s="123">
        <f>HLOOKUP(L$3,'En.Bal-Final_Energy'!$H$1:$BX$45,$A$4+$A5,FALSE)</f>
        <v>17.803278431999999</v>
      </c>
      <c r="M5" s="123">
        <f>HLOOKUP(M$3,'En.Bal-Final_Energy'!$H$1:$BX$45,$A$4+$A5,FALSE)</f>
        <v>0</v>
      </c>
      <c r="N5" s="123">
        <f>HLOOKUP(N$3,'En.Bal-Final_Energy'!$H$1:$BX$45,$A$4+$A5,FALSE)</f>
        <v>0</v>
      </c>
      <c r="O5" s="123">
        <f>HLOOKUP(O$3,'En.Bal-Final_Energy'!$H$1:$BX$45,$A$4+$A5,FALSE)</f>
        <v>0</v>
      </c>
      <c r="P5" s="123">
        <f>HLOOKUP(P$3,'En.Bal-Final_Energy'!$H$1:$BX$45,$A$4+$A5,FALSE)</f>
        <v>0</v>
      </c>
      <c r="Q5" s="123">
        <f>HLOOKUP(Q$3,'En.Bal-Final_Energy'!$H$1:$BX$45,$A$4+$A5,FALSE)</f>
        <v>0</v>
      </c>
      <c r="R5" s="123">
        <f>HLOOKUP(R$3,'En.Bal-Final_Energy'!$H$1:$BX$45,$A$4+$A5,FALSE)</f>
        <v>35.236108800000004</v>
      </c>
      <c r="S5" s="123">
        <f>HLOOKUP(S$3,'En.Bal-Final_Energy'!$H$1:$BX$45,$A$4+$A5,FALSE)</f>
        <v>7.8062048640000006</v>
      </c>
      <c r="T5" s="124">
        <f>SUM(D5:S5)</f>
        <v>79.786675295999999</v>
      </c>
      <c r="U5" s="99"/>
      <c r="V5" s="125"/>
      <c r="W5" s="45"/>
      <c r="X5" s="45"/>
      <c r="Y5" s="45"/>
    </row>
    <row r="6" spans="1:25" s="6" customFormat="1" ht="13.8" x14ac:dyDescent="0.25">
      <c r="A6" s="6">
        <v>1</v>
      </c>
      <c r="B6" s="121" t="str">
        <f>'En.Bal-Final_Energy'!C44</f>
        <v>Services (Public)</v>
      </c>
      <c r="C6" s="126" t="s">
        <v>380</v>
      </c>
      <c r="D6" s="123">
        <f>HLOOKUP(D$3,'En.Bal-Final_Energy'!$H$1:$BX$45,$A$4+$A6,FALSE)</f>
        <v>0</v>
      </c>
      <c r="E6" s="123">
        <f>HLOOKUP(E$3,'En.Bal-Final_Energy'!$H$1:$BX$45,$A$4+$A6,FALSE)</f>
        <v>17.157506400000003</v>
      </c>
      <c r="F6" s="123">
        <f>HLOOKUP(F$3,'En.Bal-Final_Energy'!$H$1:$BX$45,$A$4+$A6,FALSE)</f>
        <v>0.85410720000000007</v>
      </c>
      <c r="G6" s="123">
        <f>HLOOKUP(G$3,'En.Bal-Final_Energy'!$H$1:$BX$45,$A$4+$A6,FALSE)</f>
        <v>0</v>
      </c>
      <c r="H6" s="123">
        <f>HLOOKUP(H$3,'En.Bal-Final_Energy'!$H$1:$BX$45,$A$4+$A6,FALSE)</f>
        <v>0.3014496000000001</v>
      </c>
      <c r="I6" s="123">
        <f>HLOOKUP(I$3,'En.Bal-Final_Energy'!$H$1:$BX$45,$A$4+$A6,FALSE)</f>
        <v>0</v>
      </c>
      <c r="J6" s="123">
        <f>HLOOKUP(J$3,'En.Bal-Final_Energy'!$H$1:$BX$45,$A$4+$A6,FALSE)</f>
        <v>5.3256095999999991</v>
      </c>
      <c r="K6" s="123">
        <f>HLOOKUP(K$3,'En.Bal-Final_Energy'!$H$1:$BX$45,$A$4+$A6,FALSE)</f>
        <v>4.7729520000000001</v>
      </c>
      <c r="L6" s="123">
        <f>HLOOKUP(L$3,'En.Bal-Final_Energy'!$H$1:$BX$45,$A$4+$A6,FALSE)</f>
        <v>26.704917647999999</v>
      </c>
      <c r="M6" s="123">
        <f>HLOOKUP(M$3,'En.Bal-Final_Energy'!$H$1:$BX$45,$A$4+$A6,FALSE)</f>
        <v>0</v>
      </c>
      <c r="N6" s="123">
        <f>HLOOKUP(N$3,'En.Bal-Final_Energy'!$H$1:$BX$45,$A$4+$A6,FALSE)</f>
        <v>0</v>
      </c>
      <c r="O6" s="123">
        <f>HLOOKUP(O$3,'En.Bal-Final_Energy'!$H$1:$BX$45,$A$4+$A6,FALSE)</f>
        <v>0</v>
      </c>
      <c r="P6" s="123">
        <f>HLOOKUP(P$3,'En.Bal-Final_Energy'!$H$1:$BX$45,$A$4+$A6,FALSE)</f>
        <v>0</v>
      </c>
      <c r="Q6" s="123">
        <f>HLOOKUP(Q$3,'En.Bal-Final_Energy'!$H$1:$BX$45,$A$4+$A6,FALSE)</f>
        <v>0</v>
      </c>
      <c r="R6" s="123">
        <f>HLOOKUP(R$3,'En.Bal-Final_Energy'!$H$1:$BX$45,$A$4+$A6,FALSE)</f>
        <v>52.854163200000009</v>
      </c>
      <c r="S6" s="123">
        <f>HLOOKUP(S$3,'En.Bal-Final_Energy'!$H$1:$BX$45,$A$4+$A6,FALSE)</f>
        <v>11.709307295999999</v>
      </c>
      <c r="T6" s="124">
        <f>SUM(D6:S6)</f>
        <v>119.680012944</v>
      </c>
      <c r="V6" s="45"/>
      <c r="W6" s="45"/>
      <c r="X6" s="45"/>
      <c r="Y6" s="45"/>
    </row>
    <row r="7" spans="1:25" s="33" customFormat="1" ht="14.4" thickBot="1" x14ac:dyDescent="0.3">
      <c r="D7" s="100" t="str">
        <f>Commodities!D28</f>
        <v>TERCOASUB</v>
      </c>
      <c r="E7" s="100" t="str">
        <f>Commodities!D29</f>
        <v>TERCOABIC</v>
      </c>
      <c r="F7" s="100" t="str">
        <f>Commodities!D30</f>
        <v>TERCOABCO</v>
      </c>
      <c r="G7" s="100" t="str">
        <f>Commodities!D31</f>
        <v>TERCOABKB</v>
      </c>
      <c r="H7" s="100" t="str">
        <f>Commodities!D34</f>
        <v>TEROILLPG</v>
      </c>
      <c r="I7" s="100" t="str">
        <f>Commodities!D36</f>
        <v>TEROILKER</v>
      </c>
      <c r="J7" s="100" t="str">
        <f>Commodities!D32</f>
        <v>TEROILDSL</v>
      </c>
      <c r="K7" s="100" t="str">
        <f>Commodities!D35</f>
        <v>TEROILHFO</v>
      </c>
      <c r="L7" s="100" t="str">
        <f>Commodities!D37</f>
        <v>TERGASNAT</v>
      </c>
      <c r="M7" s="100" t="str">
        <f>Commodities!D38</f>
        <v>TERBIOLOG</v>
      </c>
      <c r="N7" s="100" t="str">
        <f>Commodities!D43</f>
        <v>TERBIOCHR</v>
      </c>
      <c r="O7" s="100" t="str">
        <f>Commodities!D41</f>
        <v>TERBIOBGS</v>
      </c>
      <c r="P7" s="100" t="str">
        <f>Commodities!D44</f>
        <v>TERRESSOL</v>
      </c>
      <c r="Q7" s="100" t="str">
        <f>Commodities!D45</f>
        <v>TERRESGEO</v>
      </c>
      <c r="R7" s="100" t="str">
        <f>Commodities!D51</f>
        <v>TERLTH</v>
      </c>
      <c r="S7" s="100" t="str">
        <f>Commodities!D49</f>
        <v>TERELC</v>
      </c>
      <c r="T7" s="101"/>
      <c r="V7" s="45"/>
      <c r="W7" s="45"/>
      <c r="X7" s="45"/>
      <c r="Y7" s="45"/>
    </row>
    <row r="10" spans="1:25" s="6" customFormat="1" ht="13.8" x14ac:dyDescent="0.25">
      <c r="B10" s="23"/>
      <c r="C10" s="24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02"/>
      <c r="U10" s="102"/>
      <c r="V10" s="102"/>
      <c r="W10" s="102"/>
    </row>
    <row r="11" spans="1:25" ht="13.8" x14ac:dyDescent="0.25">
      <c r="D11" s="120">
        <v>2115</v>
      </c>
      <c r="E11" s="120">
        <v>2117</v>
      </c>
      <c r="F11" s="120">
        <v>2210</v>
      </c>
      <c r="G11" s="120">
        <v>2230</v>
      </c>
      <c r="H11" s="120">
        <v>3220</v>
      </c>
      <c r="I11" s="120">
        <v>3244</v>
      </c>
      <c r="J11" s="120">
        <v>3260</v>
      </c>
      <c r="K11" s="120" t="s">
        <v>109</v>
      </c>
      <c r="L11" s="120">
        <v>4100</v>
      </c>
      <c r="M11" s="120">
        <v>5541</v>
      </c>
      <c r="N11" s="120">
        <v>5544</v>
      </c>
      <c r="O11" s="120">
        <v>5542</v>
      </c>
      <c r="P11" s="120">
        <v>5532</v>
      </c>
      <c r="Q11" s="120">
        <v>5550</v>
      </c>
      <c r="R11" s="120">
        <v>5200</v>
      </c>
      <c r="S11" s="120">
        <v>6000</v>
      </c>
      <c r="T11" s="102"/>
      <c r="U11" s="102"/>
      <c r="V11" s="102"/>
      <c r="W11" s="102"/>
    </row>
    <row r="12" spans="1:25" ht="17.399999999999999" x14ac:dyDescent="0.25">
      <c r="A12" s="103"/>
      <c r="B12" s="103" t="s">
        <v>285</v>
      </c>
      <c r="C12" s="104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2"/>
      <c r="U12" s="102"/>
      <c r="V12" s="102"/>
      <c r="W12" s="102"/>
    </row>
    <row r="13" spans="1:25" s="106" customFormat="1" ht="30.75" customHeight="1" thickBot="1" x14ac:dyDescent="0.3">
      <c r="B13" s="107" t="str">
        <f>C5</f>
        <v>Private (Commercial)</v>
      </c>
      <c r="C13" s="108" t="s">
        <v>290</v>
      </c>
      <c r="D13" s="96" t="str">
        <f t="shared" ref="D13:S13" si="0">D4</f>
        <v>Sub-bituminous</v>
      </c>
      <c r="E13" s="96" t="str">
        <f t="shared" si="0"/>
        <v>Other bituminous coal</v>
      </c>
      <c r="F13" s="96" t="str">
        <f t="shared" si="0"/>
        <v>Lignite / Brown Coal</v>
      </c>
      <c r="G13" s="96" t="str">
        <f t="shared" si="0"/>
        <v>BKB</v>
      </c>
      <c r="H13" s="96" t="str">
        <f t="shared" si="0"/>
        <v>LPG</v>
      </c>
      <c r="I13" s="96" t="str">
        <f t="shared" si="0"/>
        <v>Other Kerosene</v>
      </c>
      <c r="J13" s="96" t="str">
        <f t="shared" si="0"/>
        <v>Gas/Diesel Oil (w/o bio)</v>
      </c>
      <c r="K13" s="96" t="str">
        <f t="shared" si="0"/>
        <v>Fuel Oil</v>
      </c>
      <c r="L13" s="96" t="str">
        <f t="shared" si="0"/>
        <v>Natural gas</v>
      </c>
      <c r="M13" s="96" t="str">
        <f t="shared" si="0"/>
        <v>Solid biomass</v>
      </c>
      <c r="N13" s="96" t="str">
        <f t="shared" si="0"/>
        <v>Charcoal</v>
      </c>
      <c r="O13" s="96" t="str">
        <f t="shared" si="0"/>
        <v>Biogas (all)</v>
      </c>
      <c r="P13" s="96" t="str">
        <f t="shared" si="0"/>
        <v>Solar thermal</v>
      </c>
      <c r="Q13" s="96" t="str">
        <f t="shared" si="0"/>
        <v>Geo-thermal</v>
      </c>
      <c r="R13" s="96" t="str">
        <f t="shared" si="0"/>
        <v>Derived heat</v>
      </c>
      <c r="S13" s="96" t="str">
        <f t="shared" si="0"/>
        <v>Electricity</v>
      </c>
      <c r="T13" s="102"/>
      <c r="U13" s="102"/>
      <c r="V13" s="102"/>
      <c r="W13" s="102"/>
    </row>
    <row r="14" spans="1:25" ht="13.8" x14ac:dyDescent="0.25">
      <c r="A14" s="6" t="str">
        <f>Commodities!Z10</f>
        <v>TER_TP_SH</v>
      </c>
      <c r="C14" s="45" t="s">
        <v>361</v>
      </c>
      <c r="D14" s="128"/>
      <c r="E14" s="128">
        <v>0.85</v>
      </c>
      <c r="F14" s="128">
        <v>1</v>
      </c>
      <c r="G14" s="128"/>
      <c r="H14" s="128"/>
      <c r="I14" s="128"/>
      <c r="J14" s="128">
        <v>0.8</v>
      </c>
      <c r="K14" s="128">
        <v>1</v>
      </c>
      <c r="L14" s="128">
        <f>1-L16-L17</f>
        <v>0.78</v>
      </c>
      <c r="M14" s="128">
        <v>1</v>
      </c>
      <c r="N14" s="128"/>
      <c r="O14" s="128"/>
      <c r="P14" s="128"/>
      <c r="Q14" s="128"/>
      <c r="R14" s="128">
        <v>0.8</v>
      </c>
      <c r="S14" s="128">
        <v>0.09</v>
      </c>
      <c r="T14" s="102"/>
      <c r="U14" s="102"/>
      <c r="V14" s="102"/>
      <c r="W14" s="102"/>
    </row>
    <row r="15" spans="1:25" ht="13.8" x14ac:dyDescent="0.25">
      <c r="A15" s="6" t="str">
        <f>Commodities!Z14</f>
        <v>TER_TP_SC</v>
      </c>
      <c r="C15" s="45" t="s">
        <v>362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>
        <v>0.04</v>
      </c>
      <c r="T15" s="102"/>
      <c r="U15" s="102"/>
      <c r="V15" s="102"/>
      <c r="W15" s="102"/>
    </row>
    <row r="16" spans="1:25" ht="13.8" x14ac:dyDescent="0.25">
      <c r="A16" s="6" t="str">
        <f>Commodities!Z12</f>
        <v>TER_TP_WH</v>
      </c>
      <c r="C16" s="45" t="s">
        <v>363</v>
      </c>
      <c r="D16" s="128"/>
      <c r="E16" s="128">
        <f>1-E14</f>
        <v>0.15000000000000002</v>
      </c>
      <c r="F16" s="128"/>
      <c r="G16" s="128"/>
      <c r="H16" s="128"/>
      <c r="I16" s="128"/>
      <c r="J16" s="128">
        <f>1-J14</f>
        <v>0.19999999999999996</v>
      </c>
      <c r="K16" s="128"/>
      <c r="L16" s="128">
        <v>0.15</v>
      </c>
      <c r="M16" s="128"/>
      <c r="N16" s="128"/>
      <c r="O16" s="128"/>
      <c r="P16" s="128"/>
      <c r="Q16" s="128"/>
      <c r="R16" s="128">
        <v>0.2</v>
      </c>
      <c r="S16" s="128">
        <v>0.01</v>
      </c>
      <c r="T16" s="102"/>
      <c r="U16" s="102"/>
      <c r="V16" s="102"/>
      <c r="W16" s="102"/>
    </row>
    <row r="17" spans="1:23" ht="13.8" x14ac:dyDescent="0.25">
      <c r="A17" s="6" t="str">
        <f>Commodities!Z16</f>
        <v>TER_TP_CK</v>
      </c>
      <c r="C17" s="45" t="s">
        <v>364</v>
      </c>
      <c r="D17" s="128"/>
      <c r="E17" s="128"/>
      <c r="F17" s="128"/>
      <c r="G17" s="128"/>
      <c r="H17" s="128">
        <v>1</v>
      </c>
      <c r="I17" s="128"/>
      <c r="J17" s="128"/>
      <c r="K17" s="128"/>
      <c r="L17" s="128">
        <v>7.0000000000000007E-2</v>
      </c>
      <c r="M17" s="128"/>
      <c r="N17" s="128"/>
      <c r="O17" s="128"/>
      <c r="P17" s="128"/>
      <c r="Q17" s="128"/>
      <c r="R17" s="128"/>
      <c r="S17" s="128">
        <v>0.2</v>
      </c>
      <c r="T17" s="102"/>
      <c r="U17" s="102"/>
      <c r="V17" s="102"/>
      <c r="W17" s="102"/>
    </row>
    <row r="18" spans="1:23" ht="13.8" x14ac:dyDescent="0.25">
      <c r="A18" s="6" t="str">
        <f>Commodities!Z18</f>
        <v>TER_TP_LI</v>
      </c>
      <c r="C18" s="45" t="s">
        <v>286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>
        <v>0.35</v>
      </c>
      <c r="T18" s="102"/>
      <c r="U18" s="102"/>
      <c r="V18" s="102"/>
      <c r="W18" s="102"/>
    </row>
    <row r="19" spans="1:23" ht="13.8" x14ac:dyDescent="0.25">
      <c r="A19" s="6" t="str">
        <f>Commodities!Z20</f>
        <v>TER_TP_RF</v>
      </c>
      <c r="C19" s="45" t="s">
        <v>287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>
        <v>0.2</v>
      </c>
      <c r="T19" s="102"/>
      <c r="U19" s="102"/>
      <c r="V19" s="102"/>
      <c r="W19" s="102"/>
    </row>
    <row r="20" spans="1:23" ht="13.8" x14ac:dyDescent="0.25">
      <c r="A20" s="6" t="str">
        <f>Commodities!Z22</f>
        <v>TER_TP_AP</v>
      </c>
      <c r="C20" s="45" t="s">
        <v>288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>
        <f>1-SUM(S14:S19)</f>
        <v>0.1100000000000001</v>
      </c>
      <c r="T20" s="102"/>
      <c r="U20" s="102"/>
      <c r="V20" s="102"/>
      <c r="W20" s="102"/>
    </row>
    <row r="21" spans="1:23" s="6" customFormat="1" ht="13.8" x14ac:dyDescent="0.25">
      <c r="B21" s="23" t="s">
        <v>298</v>
      </c>
      <c r="C21" s="24"/>
      <c r="D21" s="127" t="str">
        <f>IF(SUM(D14:D20)=0,"",
IF(SUM(D14:D20)&lt;&gt;1,"ERR: "&amp;SUM(D14:D20),SUM(D14:D20)))</f>
        <v/>
      </c>
      <c r="E21" s="127">
        <f t="shared" ref="E21:S21" si="1">IF(SUM(E14:E20)=0,"",
IF(SUM(E14:E20)&lt;&gt;1,"ERR: "&amp;SUM(E14:E20),SUM(E14:E20)))</f>
        <v>1</v>
      </c>
      <c r="F21" s="127">
        <f t="shared" si="1"/>
        <v>1</v>
      </c>
      <c r="G21" s="127" t="str">
        <f t="shared" si="1"/>
        <v/>
      </c>
      <c r="H21" s="127">
        <f t="shared" si="1"/>
        <v>1</v>
      </c>
      <c r="I21" s="127" t="str">
        <f t="shared" si="1"/>
        <v/>
      </c>
      <c r="J21" s="127">
        <f t="shared" si="1"/>
        <v>1</v>
      </c>
      <c r="K21" s="127">
        <f t="shared" si="1"/>
        <v>1</v>
      </c>
      <c r="L21" s="127">
        <f t="shared" si="1"/>
        <v>1</v>
      </c>
      <c r="M21" s="127">
        <f t="shared" si="1"/>
        <v>1</v>
      </c>
      <c r="N21" s="127" t="str">
        <f t="shared" si="1"/>
        <v/>
      </c>
      <c r="O21" s="127" t="str">
        <f t="shared" si="1"/>
        <v/>
      </c>
      <c r="P21" s="127" t="str">
        <f t="shared" si="1"/>
        <v/>
      </c>
      <c r="Q21" s="127" t="str">
        <f t="shared" si="1"/>
        <v/>
      </c>
      <c r="R21" s="127">
        <f t="shared" si="1"/>
        <v>1</v>
      </c>
      <c r="S21" s="127">
        <f t="shared" si="1"/>
        <v>1</v>
      </c>
      <c r="T21" s="102"/>
      <c r="U21" s="102"/>
      <c r="V21" s="102"/>
      <c r="W21" s="102"/>
    </row>
    <row r="22" spans="1:23" s="6" customFormat="1" ht="14.4" thickBot="1" x14ac:dyDescent="0.3">
      <c r="B22" s="107" t="str">
        <f>C6</f>
        <v>All Public Services</v>
      </c>
      <c r="C22" s="24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02"/>
      <c r="U22" s="102"/>
      <c r="V22" s="102"/>
      <c r="W22" s="102"/>
    </row>
    <row r="23" spans="1:23" s="6" customFormat="1" ht="13.8" x14ac:dyDescent="0.25">
      <c r="A23" s="6" t="str">
        <f>Commodities!Z11</f>
        <v>TER_TS_SH</v>
      </c>
      <c r="C23" s="45" t="str">
        <f t="shared" ref="C23:C29" si="2">C14</f>
        <v>Space Heating</v>
      </c>
      <c r="D23" s="128">
        <v>1</v>
      </c>
      <c r="E23" s="128">
        <v>0.85</v>
      </c>
      <c r="F23" s="128">
        <v>1</v>
      </c>
      <c r="G23" s="128">
        <v>1</v>
      </c>
      <c r="H23" s="128"/>
      <c r="I23" s="128"/>
      <c r="J23" s="128">
        <v>0.8</v>
      </c>
      <c r="K23" s="128">
        <v>1</v>
      </c>
      <c r="L23" s="128">
        <f>1-L25-L26</f>
        <v>0.78</v>
      </c>
      <c r="M23" s="128">
        <v>1</v>
      </c>
      <c r="N23" s="128"/>
      <c r="O23" s="128"/>
      <c r="P23" s="128"/>
      <c r="Q23" s="128"/>
      <c r="R23" s="128">
        <v>0.8</v>
      </c>
      <c r="S23" s="128"/>
      <c r="T23" s="102"/>
      <c r="U23" s="102"/>
      <c r="V23" s="102"/>
      <c r="W23" s="102"/>
    </row>
    <row r="24" spans="1:23" s="6" customFormat="1" ht="13.8" x14ac:dyDescent="0.25">
      <c r="A24" s="6" t="str">
        <f>Commodities!Z15</f>
        <v>TER_TS_SC</v>
      </c>
      <c r="B24" s="45"/>
      <c r="C24" s="45" t="str">
        <f t="shared" si="2"/>
        <v>Space Cooling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>
        <v>0.05</v>
      </c>
      <c r="T24" s="102"/>
      <c r="U24" s="102"/>
      <c r="V24" s="102"/>
      <c r="W24" s="102"/>
    </row>
    <row r="25" spans="1:23" s="6" customFormat="1" ht="13.8" x14ac:dyDescent="0.25">
      <c r="A25" s="6" t="str">
        <f>Commodities!Z13</f>
        <v>TER_TS_WH</v>
      </c>
      <c r="B25" s="45"/>
      <c r="C25" s="45" t="str">
        <f t="shared" si="2"/>
        <v>Water Heating</v>
      </c>
      <c r="D25" s="128"/>
      <c r="E25" s="128">
        <f>1-E23</f>
        <v>0.15000000000000002</v>
      </c>
      <c r="F25" s="128"/>
      <c r="G25" s="128"/>
      <c r="H25" s="128"/>
      <c r="I25" s="128"/>
      <c r="J25" s="128">
        <f>1-J23</f>
        <v>0.19999999999999996</v>
      </c>
      <c r="K25" s="128"/>
      <c r="L25" s="128">
        <v>0.15</v>
      </c>
      <c r="M25" s="128"/>
      <c r="N25" s="128"/>
      <c r="O25" s="128"/>
      <c r="P25" s="128"/>
      <c r="Q25" s="128"/>
      <c r="R25" s="128">
        <v>0.2</v>
      </c>
      <c r="S25" s="128">
        <v>0.01</v>
      </c>
    </row>
    <row r="26" spans="1:23" s="6" customFormat="1" ht="13.8" x14ac:dyDescent="0.25">
      <c r="A26" s="6" t="str">
        <f>Commodities!Z17</f>
        <v>TER_TS_CK</v>
      </c>
      <c r="B26" s="45"/>
      <c r="C26" s="45" t="str">
        <f t="shared" si="2"/>
        <v>Cooking</v>
      </c>
      <c r="D26" s="128"/>
      <c r="E26" s="128"/>
      <c r="F26" s="128"/>
      <c r="G26" s="128"/>
      <c r="H26" s="128">
        <v>1</v>
      </c>
      <c r="I26" s="128"/>
      <c r="J26" s="128"/>
      <c r="K26" s="128"/>
      <c r="L26" s="128">
        <v>7.0000000000000007E-2</v>
      </c>
      <c r="M26" s="128"/>
      <c r="N26" s="128"/>
      <c r="O26" s="128"/>
      <c r="P26" s="128"/>
      <c r="Q26" s="128"/>
      <c r="R26" s="128"/>
      <c r="S26" s="128">
        <v>0.11</v>
      </c>
    </row>
    <row r="27" spans="1:23" s="6" customFormat="1" ht="13.8" x14ac:dyDescent="0.25">
      <c r="A27" s="6" t="str">
        <f>Commodities!Z19</f>
        <v>TER_TS_LI</v>
      </c>
      <c r="B27" s="45"/>
      <c r="C27" s="45" t="str">
        <f t="shared" si="2"/>
        <v>Lighting</v>
      </c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>
        <v>0.3</v>
      </c>
    </row>
    <row r="28" spans="1:23" s="6" customFormat="1" ht="13.8" x14ac:dyDescent="0.25">
      <c r="A28" s="6" t="str">
        <f>Commodities!Z21</f>
        <v>TER_TS_RF</v>
      </c>
      <c r="B28" s="45"/>
      <c r="C28" s="45" t="str">
        <f t="shared" si="2"/>
        <v>Refrigerating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>
        <v>0.12</v>
      </c>
    </row>
    <row r="29" spans="1:23" s="6" customFormat="1" ht="14.4" thickBot="1" x14ac:dyDescent="0.3">
      <c r="A29" s="6" t="str">
        <f>Commodities!Z23</f>
        <v>TER_TS_AP</v>
      </c>
      <c r="B29" s="129"/>
      <c r="C29" s="129" t="str">
        <f t="shared" si="2"/>
        <v>Other Appliances</v>
      </c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>
        <f>1-SUM(S23:S28)-S30</f>
        <v>0.11000000000000004</v>
      </c>
    </row>
    <row r="30" spans="1:23" s="6" customFormat="1" ht="15" thickTop="1" x14ac:dyDescent="0.3">
      <c r="A30" s="131" t="s">
        <v>315</v>
      </c>
      <c r="B30" s="45"/>
      <c r="C30" s="45" t="s">
        <v>333</v>
      </c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3">
        <v>0.3</v>
      </c>
      <c r="T30" s="34"/>
    </row>
    <row r="31" spans="1:23" s="6" customFormat="1" ht="13.8" x14ac:dyDescent="0.25">
      <c r="B31" s="23" t="s">
        <v>298</v>
      </c>
      <c r="C31" s="24"/>
      <c r="D31" s="127">
        <f t="shared" ref="D31:R31" si="3">IF(SUM(D23:D29)=0,"",
IF(SUM(D23:D29)&lt;&gt;1,"ERR: "&amp;SUM(D23:D29),SUM(D23:D29)))</f>
        <v>1</v>
      </c>
      <c r="E31" s="127">
        <f t="shared" si="3"/>
        <v>1</v>
      </c>
      <c r="F31" s="127">
        <f t="shared" si="3"/>
        <v>1</v>
      </c>
      <c r="G31" s="127">
        <f t="shared" si="3"/>
        <v>1</v>
      </c>
      <c r="H31" s="127">
        <f t="shared" si="3"/>
        <v>1</v>
      </c>
      <c r="I31" s="127" t="str">
        <f t="shared" si="3"/>
        <v/>
      </c>
      <c r="J31" s="127">
        <f t="shared" si="3"/>
        <v>1</v>
      </c>
      <c r="K31" s="127">
        <f t="shared" si="3"/>
        <v>1</v>
      </c>
      <c r="L31" s="127">
        <f t="shared" si="3"/>
        <v>1</v>
      </c>
      <c r="M31" s="127">
        <f t="shared" si="3"/>
        <v>1</v>
      </c>
      <c r="N31" s="127" t="str">
        <f t="shared" si="3"/>
        <v/>
      </c>
      <c r="O31" s="127" t="str">
        <f t="shared" si="3"/>
        <v/>
      </c>
      <c r="P31" s="127" t="str">
        <f t="shared" si="3"/>
        <v/>
      </c>
      <c r="Q31" s="127" t="str">
        <f t="shared" si="3"/>
        <v/>
      </c>
      <c r="R31" s="127">
        <f t="shared" si="3"/>
        <v>1</v>
      </c>
      <c r="S31" s="127">
        <f>IF(SUM(S23:S30)=0,"",
IF(SUM(S23:S30)&lt;&gt;1,"ERR: "&amp;SUM(S23:S30),SUM(S23:S30)))</f>
        <v>1</v>
      </c>
    </row>
    <row r="34" spans="1:22" ht="17.399999999999999" x14ac:dyDescent="0.25">
      <c r="A34" s="104"/>
      <c r="B34" s="104" t="s">
        <v>360</v>
      </c>
      <c r="C34" s="104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</row>
    <row r="35" spans="1:22" s="25" customFormat="1" ht="19.5" customHeight="1" x14ac:dyDescent="0.25">
      <c r="A35" s="109"/>
      <c r="B35" s="109" t="s">
        <v>316</v>
      </c>
      <c r="C35" s="109"/>
      <c r="D35" s="110">
        <v>4</v>
      </c>
      <c r="E35" s="110">
        <v>5</v>
      </c>
      <c r="F35" s="110">
        <v>6</v>
      </c>
      <c r="G35" s="110">
        <v>7</v>
      </c>
      <c r="H35" s="110">
        <v>8</v>
      </c>
      <c r="I35" s="110">
        <v>9</v>
      </c>
      <c r="J35" s="110">
        <v>10</v>
      </c>
      <c r="K35" s="110">
        <v>11</v>
      </c>
      <c r="L35" s="110">
        <v>13</v>
      </c>
      <c r="M35" s="110">
        <v>14</v>
      </c>
      <c r="N35" s="110">
        <v>15</v>
      </c>
      <c r="O35" s="110">
        <v>16</v>
      </c>
      <c r="P35" s="110">
        <v>17</v>
      </c>
      <c r="Q35" s="110">
        <v>18</v>
      </c>
      <c r="R35" s="110">
        <v>19</v>
      </c>
      <c r="S35" s="110">
        <v>20</v>
      </c>
    </row>
    <row r="36" spans="1:22" s="6" customFormat="1" ht="30" customHeight="1" thickBot="1" x14ac:dyDescent="0.3">
      <c r="A36" s="108"/>
      <c r="B36" s="108"/>
      <c r="C36" s="108"/>
      <c r="D36" s="111" t="str">
        <f>D7</f>
        <v>TERCOASUB</v>
      </c>
      <c r="E36" s="111" t="str">
        <f t="shared" ref="E36:S36" si="4">E7</f>
        <v>TERCOABIC</v>
      </c>
      <c r="F36" s="111" t="str">
        <f t="shared" si="4"/>
        <v>TERCOABCO</v>
      </c>
      <c r="G36" s="111" t="str">
        <f t="shared" si="4"/>
        <v>TERCOABKB</v>
      </c>
      <c r="H36" s="111" t="str">
        <f t="shared" si="4"/>
        <v>TEROILLPG</v>
      </c>
      <c r="I36" s="111" t="str">
        <f t="shared" si="4"/>
        <v>TEROILKER</v>
      </c>
      <c r="J36" s="111" t="str">
        <f t="shared" si="4"/>
        <v>TEROILDSL</v>
      </c>
      <c r="K36" s="111" t="str">
        <f>K7</f>
        <v>TEROILHFO</v>
      </c>
      <c r="L36" s="111" t="str">
        <f t="shared" si="4"/>
        <v>TERGASNAT</v>
      </c>
      <c r="M36" s="111" t="str">
        <f t="shared" si="4"/>
        <v>TERBIOLOG</v>
      </c>
      <c r="N36" s="111" t="str">
        <f t="shared" si="4"/>
        <v>TERBIOCHR</v>
      </c>
      <c r="O36" s="111" t="str">
        <f t="shared" si="4"/>
        <v>TERBIOBGS</v>
      </c>
      <c r="P36" s="111" t="str">
        <f t="shared" si="4"/>
        <v>TERRESSOL</v>
      </c>
      <c r="Q36" s="111" t="str">
        <f t="shared" si="4"/>
        <v>TERRESGEO</v>
      </c>
      <c r="R36" s="111" t="str">
        <f t="shared" si="4"/>
        <v>TERLTH</v>
      </c>
      <c r="S36" s="111" t="str">
        <f t="shared" si="4"/>
        <v>TERELC</v>
      </c>
      <c r="T36" s="97" t="s">
        <v>284</v>
      </c>
    </row>
    <row r="37" spans="1:22" s="6" customFormat="1" ht="14.4" thickBot="1" x14ac:dyDescent="0.3">
      <c r="A37" s="112" t="str">
        <f>Commodities!$Z$7&amp;"_"</f>
        <v>TER_TP_</v>
      </c>
      <c r="B37" s="107" t="str">
        <f>B13</f>
        <v>Private (Commercial)</v>
      </c>
      <c r="C37" s="113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113"/>
    </row>
    <row r="38" spans="1:22" s="6" customFormat="1" ht="13.8" x14ac:dyDescent="0.25">
      <c r="A38" s="6" t="s">
        <v>302</v>
      </c>
      <c r="B38" s="131" t="str">
        <f>VLOOKUP(A37&amp;A38,Commodities!$Z$7:$AA$23,2,FALSE)</f>
        <v>Private (Commercial) Space Heating</v>
      </c>
      <c r="C38" s="131" t="str">
        <f>$C$36&amp;A37&amp;A38</f>
        <v>TER_TP_SH</v>
      </c>
      <c r="D38" s="134">
        <f t="shared" ref="D38:D44" si="5">D$5*D14</f>
        <v>0</v>
      </c>
      <c r="E38" s="134">
        <f t="shared" ref="E38:S38" si="6">E$5*E14</f>
        <v>9.722586960000001</v>
      </c>
      <c r="F38" s="134">
        <f t="shared" si="6"/>
        <v>0.56940480000000004</v>
      </c>
      <c r="G38" s="134">
        <f t="shared" si="6"/>
        <v>0</v>
      </c>
      <c r="H38" s="134">
        <f t="shared" si="6"/>
        <v>0</v>
      </c>
      <c r="I38" s="134">
        <f t="shared" si="6"/>
        <v>0</v>
      </c>
      <c r="J38" s="134">
        <f t="shared" si="6"/>
        <v>2.840325120000001</v>
      </c>
      <c r="K38" s="134">
        <f t="shared" si="6"/>
        <v>3.1819679999999999</v>
      </c>
      <c r="L38" s="134">
        <f t="shared" si="6"/>
        <v>13.88655717696</v>
      </c>
      <c r="M38" s="134">
        <f t="shared" si="6"/>
        <v>0</v>
      </c>
      <c r="N38" s="134">
        <f t="shared" si="6"/>
        <v>0</v>
      </c>
      <c r="O38" s="134">
        <f t="shared" si="6"/>
        <v>0</v>
      </c>
      <c r="P38" s="134">
        <f t="shared" si="6"/>
        <v>0</v>
      </c>
      <c r="Q38" s="134">
        <f t="shared" si="6"/>
        <v>0</v>
      </c>
      <c r="R38" s="134">
        <f t="shared" si="6"/>
        <v>28.188887040000004</v>
      </c>
      <c r="S38" s="134">
        <f t="shared" si="6"/>
        <v>0.70255843776000004</v>
      </c>
      <c r="T38" s="135">
        <f t="shared" ref="T38:T44" si="7">SUM(D38:S38)</f>
        <v>59.092287534720008</v>
      </c>
      <c r="V38" s="114"/>
    </row>
    <row r="39" spans="1:22" s="6" customFormat="1" ht="13.8" x14ac:dyDescent="0.25">
      <c r="A39" s="6" t="s">
        <v>303</v>
      </c>
      <c r="B39" s="131" t="str">
        <f>VLOOKUP(A37&amp;A39,Commodities!$Z$7:$AA$23,2,FALSE)</f>
        <v>Private (Commercial) Space Cooling</v>
      </c>
      <c r="C39" s="131" t="str">
        <f>$C$36&amp;A37&amp;A39</f>
        <v>TER_TP_SC</v>
      </c>
      <c r="D39" s="134">
        <f t="shared" si="5"/>
        <v>0</v>
      </c>
      <c r="E39" s="134">
        <f t="shared" ref="E39:S39" si="8">E$5*E15</f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34">
        <f t="shared" si="8"/>
        <v>0</v>
      </c>
      <c r="L39" s="134">
        <f t="shared" si="8"/>
        <v>0</v>
      </c>
      <c r="M39" s="134">
        <f t="shared" si="8"/>
        <v>0</v>
      </c>
      <c r="N39" s="134">
        <f t="shared" si="8"/>
        <v>0</v>
      </c>
      <c r="O39" s="134">
        <f t="shared" si="8"/>
        <v>0</v>
      </c>
      <c r="P39" s="134">
        <f t="shared" si="8"/>
        <v>0</v>
      </c>
      <c r="Q39" s="134">
        <f t="shared" si="8"/>
        <v>0</v>
      </c>
      <c r="R39" s="134">
        <f t="shared" si="8"/>
        <v>0</v>
      </c>
      <c r="S39" s="134">
        <f t="shared" si="8"/>
        <v>0.31224819456000003</v>
      </c>
      <c r="T39" s="135">
        <f t="shared" si="7"/>
        <v>0.31224819456000003</v>
      </c>
      <c r="V39" s="114"/>
    </row>
    <row r="40" spans="1:22" s="6" customFormat="1" ht="13.8" x14ac:dyDescent="0.25">
      <c r="A40" s="6" t="s">
        <v>304</v>
      </c>
      <c r="B40" s="131" t="str">
        <f>VLOOKUP(A37&amp;A40,Commodities!$Z$7:$AA$23,2,FALSE)</f>
        <v>Private (Commercial) Water Heating</v>
      </c>
      <c r="C40" s="131" t="str">
        <f>$C$36&amp;A37&amp;A40</f>
        <v>TER_TP_WH</v>
      </c>
      <c r="D40" s="134">
        <f t="shared" si="5"/>
        <v>0</v>
      </c>
      <c r="E40" s="134">
        <f t="shared" ref="E40:S40" si="9">E$5*E16</f>
        <v>1.7157506400000004</v>
      </c>
      <c r="F40" s="134">
        <f t="shared" si="9"/>
        <v>0</v>
      </c>
      <c r="G40" s="134">
        <f t="shared" si="9"/>
        <v>0</v>
      </c>
      <c r="H40" s="134">
        <f t="shared" si="9"/>
        <v>0</v>
      </c>
      <c r="I40" s="134">
        <f t="shared" si="9"/>
        <v>0</v>
      </c>
      <c r="J40" s="134">
        <f t="shared" si="9"/>
        <v>0.71008128000000004</v>
      </c>
      <c r="K40" s="134">
        <f t="shared" si="9"/>
        <v>0</v>
      </c>
      <c r="L40" s="134">
        <f t="shared" si="9"/>
        <v>2.6704917647999999</v>
      </c>
      <c r="M40" s="134">
        <f t="shared" si="9"/>
        <v>0</v>
      </c>
      <c r="N40" s="134">
        <f t="shared" si="9"/>
        <v>0</v>
      </c>
      <c r="O40" s="134">
        <f t="shared" si="9"/>
        <v>0</v>
      </c>
      <c r="P40" s="134">
        <f t="shared" si="9"/>
        <v>0</v>
      </c>
      <c r="Q40" s="134">
        <f t="shared" si="9"/>
        <v>0</v>
      </c>
      <c r="R40" s="134">
        <f t="shared" si="9"/>
        <v>7.0472217600000011</v>
      </c>
      <c r="S40" s="134">
        <f t="shared" si="9"/>
        <v>7.8062048640000006E-2</v>
      </c>
      <c r="T40" s="135">
        <f t="shared" si="7"/>
        <v>12.221607493440001</v>
      </c>
      <c r="V40" s="114"/>
    </row>
    <row r="41" spans="1:22" s="6" customFormat="1" ht="13.8" x14ac:dyDescent="0.25">
      <c r="A41" s="6" t="s">
        <v>305</v>
      </c>
      <c r="B41" s="131" t="str">
        <f>VLOOKUP(A37&amp;A41,Commodities!$Z$7:$AA$23,2,FALSE)</f>
        <v>Private (Commercial) Cooking</v>
      </c>
      <c r="C41" s="131" t="str">
        <f>$C$36&amp;A37&amp;A41</f>
        <v>TER_TP_CK</v>
      </c>
      <c r="D41" s="134">
        <f t="shared" si="5"/>
        <v>0</v>
      </c>
      <c r="E41" s="134">
        <f t="shared" ref="E41:S41" si="10">E$5*E17</f>
        <v>0</v>
      </c>
      <c r="F41" s="134">
        <f t="shared" si="10"/>
        <v>0</v>
      </c>
      <c r="G41" s="134">
        <f t="shared" si="10"/>
        <v>0</v>
      </c>
      <c r="H41" s="134">
        <f t="shared" si="10"/>
        <v>0.20096640000000002</v>
      </c>
      <c r="I41" s="134">
        <f t="shared" si="10"/>
        <v>0</v>
      </c>
      <c r="J41" s="134">
        <f t="shared" si="10"/>
        <v>0</v>
      </c>
      <c r="K41" s="134">
        <f t="shared" si="10"/>
        <v>0</v>
      </c>
      <c r="L41" s="134">
        <f t="shared" si="10"/>
        <v>1.24622949024</v>
      </c>
      <c r="M41" s="134">
        <f t="shared" si="10"/>
        <v>0</v>
      </c>
      <c r="N41" s="134">
        <f t="shared" si="10"/>
        <v>0</v>
      </c>
      <c r="O41" s="134">
        <f t="shared" si="10"/>
        <v>0</v>
      </c>
      <c r="P41" s="134">
        <f t="shared" si="10"/>
        <v>0</v>
      </c>
      <c r="Q41" s="134">
        <f t="shared" si="10"/>
        <v>0</v>
      </c>
      <c r="R41" s="134">
        <f t="shared" si="10"/>
        <v>0</v>
      </c>
      <c r="S41" s="134">
        <f t="shared" si="10"/>
        <v>1.5612409728000003</v>
      </c>
      <c r="T41" s="135">
        <f t="shared" si="7"/>
        <v>3.00843686304</v>
      </c>
      <c r="V41" s="114"/>
    </row>
    <row r="42" spans="1:22" s="6" customFormat="1" ht="13.8" x14ac:dyDescent="0.25">
      <c r="A42" s="6" t="s">
        <v>308</v>
      </c>
      <c r="B42" s="131" t="str">
        <f>VLOOKUP(A37&amp;A42,Commodities!$Z$7:$AA$23,2,FALSE)</f>
        <v>Private (Commercial) Lighting</v>
      </c>
      <c r="C42" s="131" t="str">
        <f>$C$36&amp;A37&amp;A42</f>
        <v>TER_TP_LI</v>
      </c>
      <c r="D42" s="134">
        <f t="shared" si="5"/>
        <v>0</v>
      </c>
      <c r="E42" s="134">
        <f t="shared" ref="E42:S42" si="11">E$5*E18</f>
        <v>0</v>
      </c>
      <c r="F42" s="134">
        <f t="shared" si="11"/>
        <v>0</v>
      </c>
      <c r="G42" s="134">
        <f t="shared" si="11"/>
        <v>0</v>
      </c>
      <c r="H42" s="134">
        <f t="shared" si="11"/>
        <v>0</v>
      </c>
      <c r="I42" s="134">
        <f t="shared" si="11"/>
        <v>0</v>
      </c>
      <c r="J42" s="134">
        <f t="shared" si="11"/>
        <v>0</v>
      </c>
      <c r="K42" s="134">
        <f t="shared" si="11"/>
        <v>0</v>
      </c>
      <c r="L42" s="134">
        <f t="shared" si="11"/>
        <v>0</v>
      </c>
      <c r="M42" s="134">
        <f t="shared" si="11"/>
        <v>0</v>
      </c>
      <c r="N42" s="134">
        <f t="shared" si="11"/>
        <v>0</v>
      </c>
      <c r="O42" s="134">
        <f t="shared" si="11"/>
        <v>0</v>
      </c>
      <c r="P42" s="134">
        <f t="shared" si="11"/>
        <v>0</v>
      </c>
      <c r="Q42" s="134">
        <f t="shared" si="11"/>
        <v>0</v>
      </c>
      <c r="R42" s="134">
        <f t="shared" si="11"/>
        <v>0</v>
      </c>
      <c r="S42" s="134">
        <f t="shared" si="11"/>
        <v>2.7321717024000001</v>
      </c>
      <c r="T42" s="135">
        <f t="shared" si="7"/>
        <v>2.7321717024000001</v>
      </c>
      <c r="V42" s="114"/>
    </row>
    <row r="43" spans="1:22" s="6" customFormat="1" ht="13.8" x14ac:dyDescent="0.25">
      <c r="A43" s="6" t="s">
        <v>306</v>
      </c>
      <c r="B43" s="131" t="str">
        <f>VLOOKUP(A37&amp;A43,Commodities!$Z$7:$AA$23,2,FALSE)</f>
        <v>Private (Commercial) Refrigerating</v>
      </c>
      <c r="C43" s="131" t="str">
        <f>$C$36&amp;A37&amp;A43</f>
        <v>TER_TP_RF</v>
      </c>
      <c r="D43" s="134">
        <f t="shared" si="5"/>
        <v>0</v>
      </c>
      <c r="E43" s="134">
        <f t="shared" ref="E43:S43" si="12">E$5*E19</f>
        <v>0</v>
      </c>
      <c r="F43" s="134">
        <f t="shared" si="12"/>
        <v>0</v>
      </c>
      <c r="G43" s="134">
        <f t="shared" si="12"/>
        <v>0</v>
      </c>
      <c r="H43" s="134">
        <f t="shared" si="12"/>
        <v>0</v>
      </c>
      <c r="I43" s="134">
        <f t="shared" si="12"/>
        <v>0</v>
      </c>
      <c r="J43" s="134">
        <f t="shared" si="12"/>
        <v>0</v>
      </c>
      <c r="K43" s="134">
        <f t="shared" si="12"/>
        <v>0</v>
      </c>
      <c r="L43" s="134">
        <f t="shared" si="12"/>
        <v>0</v>
      </c>
      <c r="M43" s="134">
        <f t="shared" si="12"/>
        <v>0</v>
      </c>
      <c r="N43" s="134">
        <f t="shared" si="12"/>
        <v>0</v>
      </c>
      <c r="O43" s="134">
        <f t="shared" si="12"/>
        <v>0</v>
      </c>
      <c r="P43" s="134">
        <f t="shared" si="12"/>
        <v>0</v>
      </c>
      <c r="Q43" s="134">
        <f t="shared" si="12"/>
        <v>0</v>
      </c>
      <c r="R43" s="134">
        <f t="shared" si="12"/>
        <v>0</v>
      </c>
      <c r="S43" s="134">
        <f t="shared" si="12"/>
        <v>1.5612409728000003</v>
      </c>
      <c r="T43" s="135">
        <f t="shared" si="7"/>
        <v>1.5612409728000003</v>
      </c>
      <c r="V43" s="114"/>
    </row>
    <row r="44" spans="1:22" s="6" customFormat="1" ht="13.8" x14ac:dyDescent="0.25">
      <c r="A44" s="6" t="s">
        <v>307</v>
      </c>
      <c r="B44" s="131" t="str">
        <f>VLOOKUP(A37&amp;A44,Commodities!$Z$7:$AA$23,2,FALSE)</f>
        <v>Private (Commercial) Other Electric</v>
      </c>
      <c r="C44" s="131" t="str">
        <f>$C$36&amp;A37&amp;A44</f>
        <v>TER_TP_AP</v>
      </c>
      <c r="D44" s="134">
        <f t="shared" si="5"/>
        <v>0</v>
      </c>
      <c r="E44" s="134">
        <f t="shared" ref="E44:S44" si="13">E$5*E20</f>
        <v>0</v>
      </c>
      <c r="F44" s="134">
        <f t="shared" si="13"/>
        <v>0</v>
      </c>
      <c r="G44" s="134">
        <f t="shared" si="13"/>
        <v>0</v>
      </c>
      <c r="H44" s="134">
        <f t="shared" si="13"/>
        <v>0</v>
      </c>
      <c r="I44" s="134">
        <f t="shared" si="13"/>
        <v>0</v>
      </c>
      <c r="J44" s="134">
        <f t="shared" si="13"/>
        <v>0</v>
      </c>
      <c r="K44" s="134">
        <f t="shared" si="13"/>
        <v>0</v>
      </c>
      <c r="L44" s="134">
        <f t="shared" si="13"/>
        <v>0</v>
      </c>
      <c r="M44" s="134">
        <f t="shared" si="13"/>
        <v>0</v>
      </c>
      <c r="N44" s="134">
        <f t="shared" si="13"/>
        <v>0</v>
      </c>
      <c r="O44" s="134">
        <f t="shared" si="13"/>
        <v>0</v>
      </c>
      <c r="P44" s="134">
        <f t="shared" si="13"/>
        <v>0</v>
      </c>
      <c r="Q44" s="134">
        <f t="shared" si="13"/>
        <v>0</v>
      </c>
      <c r="R44" s="134">
        <f t="shared" si="13"/>
        <v>0</v>
      </c>
      <c r="S44" s="134">
        <f t="shared" si="13"/>
        <v>0.85868253504000081</v>
      </c>
      <c r="T44" s="135">
        <f t="shared" si="7"/>
        <v>0.85868253504000081</v>
      </c>
      <c r="V44" s="114"/>
    </row>
    <row r="45" spans="1:22" s="6" customFormat="1" ht="14.4" thickBot="1" x14ac:dyDescent="0.3">
      <c r="A45" s="112"/>
      <c r="B45" s="113"/>
      <c r="C45" s="115" t="s">
        <v>284</v>
      </c>
      <c r="D45" s="116">
        <f>SUM(D38:D44)</f>
        <v>0</v>
      </c>
      <c r="E45" s="116">
        <f t="shared" ref="E45:T45" si="14">SUM(E38:E44)</f>
        <v>11.438337600000001</v>
      </c>
      <c r="F45" s="116">
        <f t="shared" si="14"/>
        <v>0.56940480000000004</v>
      </c>
      <c r="G45" s="116">
        <f t="shared" si="14"/>
        <v>0</v>
      </c>
      <c r="H45" s="116">
        <f t="shared" si="14"/>
        <v>0.20096640000000002</v>
      </c>
      <c r="I45" s="116">
        <f t="shared" si="14"/>
        <v>0</v>
      </c>
      <c r="J45" s="116">
        <f t="shared" si="14"/>
        <v>3.5504064000000009</v>
      </c>
      <c r="K45" s="116">
        <f t="shared" si="14"/>
        <v>3.1819679999999999</v>
      </c>
      <c r="L45" s="116">
        <f t="shared" si="14"/>
        <v>17.803278432000003</v>
      </c>
      <c r="M45" s="116">
        <f t="shared" si="14"/>
        <v>0</v>
      </c>
      <c r="N45" s="116">
        <f t="shared" si="14"/>
        <v>0</v>
      </c>
      <c r="O45" s="116">
        <f t="shared" si="14"/>
        <v>0</v>
      </c>
      <c r="P45" s="116">
        <f t="shared" si="14"/>
        <v>0</v>
      </c>
      <c r="Q45" s="116">
        <f t="shared" si="14"/>
        <v>0</v>
      </c>
      <c r="R45" s="116">
        <f t="shared" si="14"/>
        <v>35.236108800000004</v>
      </c>
      <c r="S45" s="117">
        <f t="shared" si="14"/>
        <v>7.8062048640000015</v>
      </c>
      <c r="T45" s="116">
        <f t="shared" si="14"/>
        <v>79.786675295999999</v>
      </c>
      <c r="V45" s="114"/>
    </row>
    <row r="46" spans="1:22" s="6" customFormat="1" ht="14.4" thickBot="1" x14ac:dyDescent="0.3">
      <c r="A46" s="112" t="str">
        <f>Commodities!$Z$8&amp;"_"</f>
        <v>TER_TS_</v>
      </c>
      <c r="B46" s="107" t="str">
        <f>B22</f>
        <v>All Public Services</v>
      </c>
      <c r="C46" s="113"/>
      <c r="D46" s="113"/>
      <c r="E46" s="113"/>
      <c r="F46" s="96"/>
      <c r="G46" s="96"/>
      <c r="H46" s="96"/>
      <c r="I46" s="96"/>
      <c r="J46" s="96"/>
      <c r="K46" s="96"/>
      <c r="L46" s="96"/>
      <c r="M46" s="118"/>
      <c r="N46" s="96"/>
      <c r="O46" s="96"/>
      <c r="P46" s="96"/>
      <c r="Q46" s="96"/>
      <c r="R46" s="96"/>
      <c r="S46" s="96"/>
      <c r="T46" s="113"/>
      <c r="V46" s="114"/>
    </row>
    <row r="47" spans="1:22" s="6" customFormat="1" ht="13.8" x14ac:dyDescent="0.25">
      <c r="A47" s="6" t="s">
        <v>302</v>
      </c>
      <c r="B47" s="131" t="str">
        <f>VLOOKUP(A46&amp;A47,Commodities!$Z$7:$AA$23,2,FALSE)</f>
        <v>Services (Public) Space Heating</v>
      </c>
      <c r="C47" s="131" t="str">
        <f>$C$36&amp;A46&amp;A47</f>
        <v>TER_TS_SH</v>
      </c>
      <c r="D47" s="134">
        <f>D$6*D23</f>
        <v>0</v>
      </c>
      <c r="E47" s="134">
        <f t="shared" ref="E47:S47" si="15">E$6*E23</f>
        <v>14.583880440000001</v>
      </c>
      <c r="F47" s="134">
        <f t="shared" si="15"/>
        <v>0.85410720000000007</v>
      </c>
      <c r="G47" s="134">
        <f t="shared" si="15"/>
        <v>0</v>
      </c>
      <c r="H47" s="134">
        <f t="shared" si="15"/>
        <v>0</v>
      </c>
      <c r="I47" s="134">
        <f t="shared" si="15"/>
        <v>0</v>
      </c>
      <c r="J47" s="134">
        <f t="shared" si="15"/>
        <v>4.2604876799999998</v>
      </c>
      <c r="K47" s="134">
        <f t="shared" si="15"/>
        <v>4.7729520000000001</v>
      </c>
      <c r="L47" s="134">
        <f t="shared" si="15"/>
        <v>20.829835765439999</v>
      </c>
      <c r="M47" s="134">
        <f t="shared" si="15"/>
        <v>0</v>
      </c>
      <c r="N47" s="134">
        <f t="shared" si="15"/>
        <v>0</v>
      </c>
      <c r="O47" s="134">
        <f t="shared" si="15"/>
        <v>0</v>
      </c>
      <c r="P47" s="134">
        <f t="shared" si="15"/>
        <v>0</v>
      </c>
      <c r="Q47" s="134">
        <f t="shared" si="15"/>
        <v>0</v>
      </c>
      <c r="R47" s="134">
        <f t="shared" si="15"/>
        <v>42.28333056000001</v>
      </c>
      <c r="S47" s="134">
        <f t="shared" si="15"/>
        <v>0</v>
      </c>
      <c r="T47" s="135">
        <f t="shared" ref="T47:T53" si="16">SUM(D47:S47)</f>
        <v>87.584593645440009</v>
      </c>
      <c r="V47" s="114"/>
    </row>
    <row r="48" spans="1:22" s="6" customFormat="1" ht="13.8" x14ac:dyDescent="0.25">
      <c r="A48" s="6" t="s">
        <v>303</v>
      </c>
      <c r="B48" s="131" t="str">
        <f>VLOOKUP(A46&amp;A48,Commodities!$Z$7:$AA$23,2,FALSE)</f>
        <v>Services (Public) Space Cooling</v>
      </c>
      <c r="C48" s="131" t="str">
        <f>$C$36&amp;A46&amp;A48</f>
        <v>TER_TS_SC</v>
      </c>
      <c r="D48" s="134">
        <f t="shared" ref="D48:S53" si="17">D$6*D24</f>
        <v>0</v>
      </c>
      <c r="E48" s="134">
        <f t="shared" si="17"/>
        <v>0</v>
      </c>
      <c r="F48" s="134">
        <f t="shared" si="17"/>
        <v>0</v>
      </c>
      <c r="G48" s="134">
        <f t="shared" si="17"/>
        <v>0</v>
      </c>
      <c r="H48" s="134">
        <f t="shared" si="17"/>
        <v>0</v>
      </c>
      <c r="I48" s="134">
        <f t="shared" si="17"/>
        <v>0</v>
      </c>
      <c r="J48" s="134">
        <f t="shared" si="17"/>
        <v>0</v>
      </c>
      <c r="K48" s="134">
        <f t="shared" si="17"/>
        <v>0</v>
      </c>
      <c r="L48" s="134">
        <f t="shared" si="17"/>
        <v>0</v>
      </c>
      <c r="M48" s="134">
        <f t="shared" si="17"/>
        <v>0</v>
      </c>
      <c r="N48" s="134">
        <f t="shared" si="17"/>
        <v>0</v>
      </c>
      <c r="O48" s="134">
        <f t="shared" si="17"/>
        <v>0</v>
      </c>
      <c r="P48" s="134">
        <f t="shared" si="17"/>
        <v>0</v>
      </c>
      <c r="Q48" s="134">
        <f t="shared" si="17"/>
        <v>0</v>
      </c>
      <c r="R48" s="134">
        <f t="shared" si="17"/>
        <v>0</v>
      </c>
      <c r="S48" s="134">
        <f t="shared" si="17"/>
        <v>0.5854653648</v>
      </c>
      <c r="T48" s="135">
        <f t="shared" si="16"/>
        <v>0.5854653648</v>
      </c>
    </row>
    <row r="49" spans="1:20" s="6" customFormat="1" ht="13.8" x14ac:dyDescent="0.25">
      <c r="A49" s="6" t="s">
        <v>304</v>
      </c>
      <c r="B49" s="131" t="str">
        <f>VLOOKUP(A46&amp;A49,Commodities!$Z$7:$AA$23,2,FALSE)</f>
        <v>Services (Public) Water Heating</v>
      </c>
      <c r="C49" s="131" t="str">
        <f>$C$36&amp;A46&amp;A49</f>
        <v>TER_TS_WH</v>
      </c>
      <c r="D49" s="134">
        <f t="shared" si="17"/>
        <v>0</v>
      </c>
      <c r="E49" s="134">
        <f t="shared" si="17"/>
        <v>2.5736259600000007</v>
      </c>
      <c r="F49" s="134">
        <f t="shared" si="17"/>
        <v>0</v>
      </c>
      <c r="G49" s="134">
        <f t="shared" si="17"/>
        <v>0</v>
      </c>
      <c r="H49" s="134">
        <f t="shared" si="17"/>
        <v>0</v>
      </c>
      <c r="I49" s="134">
        <f t="shared" si="17"/>
        <v>0</v>
      </c>
      <c r="J49" s="134">
        <f t="shared" si="17"/>
        <v>1.0651219199999995</v>
      </c>
      <c r="K49" s="134">
        <f t="shared" si="17"/>
        <v>0</v>
      </c>
      <c r="L49" s="134">
        <f t="shared" si="17"/>
        <v>4.0057376471999993</v>
      </c>
      <c r="M49" s="134">
        <f t="shared" si="17"/>
        <v>0</v>
      </c>
      <c r="N49" s="134">
        <f t="shared" si="17"/>
        <v>0</v>
      </c>
      <c r="O49" s="134">
        <f t="shared" si="17"/>
        <v>0</v>
      </c>
      <c r="P49" s="134">
        <f t="shared" si="17"/>
        <v>0</v>
      </c>
      <c r="Q49" s="134">
        <f t="shared" si="17"/>
        <v>0</v>
      </c>
      <c r="R49" s="134">
        <f t="shared" si="17"/>
        <v>10.570832640000003</v>
      </c>
      <c r="S49" s="134">
        <f t="shared" si="17"/>
        <v>0.11709307295999999</v>
      </c>
      <c r="T49" s="135">
        <f t="shared" si="16"/>
        <v>18.332411240160003</v>
      </c>
    </row>
    <row r="50" spans="1:20" s="6" customFormat="1" ht="13.8" x14ac:dyDescent="0.25">
      <c r="A50" s="6" t="s">
        <v>305</v>
      </c>
      <c r="B50" s="131" t="str">
        <f>VLOOKUP(A46&amp;A50,Commodities!$Z$7:$AA$23,2,FALSE)</f>
        <v>Services (Public) Cooking</v>
      </c>
      <c r="C50" s="131" t="str">
        <f>$C$36&amp;A46&amp;A50</f>
        <v>TER_TS_CK</v>
      </c>
      <c r="D50" s="134">
        <f t="shared" si="17"/>
        <v>0</v>
      </c>
      <c r="E50" s="134">
        <f t="shared" si="17"/>
        <v>0</v>
      </c>
      <c r="F50" s="134">
        <f t="shared" si="17"/>
        <v>0</v>
      </c>
      <c r="G50" s="134">
        <f t="shared" si="17"/>
        <v>0</v>
      </c>
      <c r="H50" s="134">
        <f t="shared" si="17"/>
        <v>0.3014496000000001</v>
      </c>
      <c r="I50" s="134">
        <f t="shared" si="17"/>
        <v>0</v>
      </c>
      <c r="J50" s="134">
        <f t="shared" si="17"/>
        <v>0</v>
      </c>
      <c r="K50" s="134">
        <f t="shared" si="17"/>
        <v>0</v>
      </c>
      <c r="L50" s="134">
        <f t="shared" si="17"/>
        <v>1.8693442353600001</v>
      </c>
      <c r="M50" s="134">
        <f t="shared" si="17"/>
        <v>0</v>
      </c>
      <c r="N50" s="134">
        <f t="shared" si="17"/>
        <v>0</v>
      </c>
      <c r="O50" s="134">
        <f t="shared" si="17"/>
        <v>0</v>
      </c>
      <c r="P50" s="134">
        <f t="shared" si="17"/>
        <v>0</v>
      </c>
      <c r="Q50" s="134">
        <f t="shared" si="17"/>
        <v>0</v>
      </c>
      <c r="R50" s="134">
        <f t="shared" si="17"/>
        <v>0</v>
      </c>
      <c r="S50" s="134">
        <f t="shared" si="17"/>
        <v>1.2880238025599999</v>
      </c>
      <c r="T50" s="135">
        <f t="shared" si="16"/>
        <v>3.4588176379200002</v>
      </c>
    </row>
    <row r="51" spans="1:20" s="6" customFormat="1" ht="13.8" x14ac:dyDescent="0.25">
      <c r="A51" s="6" t="s">
        <v>308</v>
      </c>
      <c r="B51" s="131" t="str">
        <f>VLOOKUP(A46&amp;A51,Commodities!$Z$7:$AA$23,2,FALSE)</f>
        <v>Services (Public) Lighting</v>
      </c>
      <c r="C51" s="131" t="str">
        <f>$C$36&amp;A46&amp;A51</f>
        <v>TER_TS_LI</v>
      </c>
      <c r="D51" s="134">
        <f t="shared" si="17"/>
        <v>0</v>
      </c>
      <c r="E51" s="134">
        <f t="shared" si="17"/>
        <v>0</v>
      </c>
      <c r="F51" s="134">
        <f t="shared" si="17"/>
        <v>0</v>
      </c>
      <c r="G51" s="134">
        <f t="shared" si="17"/>
        <v>0</v>
      </c>
      <c r="H51" s="134">
        <f t="shared" si="17"/>
        <v>0</v>
      </c>
      <c r="I51" s="134">
        <f t="shared" si="17"/>
        <v>0</v>
      </c>
      <c r="J51" s="134">
        <f t="shared" si="17"/>
        <v>0</v>
      </c>
      <c r="K51" s="134">
        <f t="shared" si="17"/>
        <v>0</v>
      </c>
      <c r="L51" s="134">
        <f t="shared" si="17"/>
        <v>0</v>
      </c>
      <c r="M51" s="134">
        <f t="shared" si="17"/>
        <v>0</v>
      </c>
      <c r="N51" s="134">
        <f t="shared" si="17"/>
        <v>0</v>
      </c>
      <c r="O51" s="134">
        <f t="shared" si="17"/>
        <v>0</v>
      </c>
      <c r="P51" s="134">
        <f t="shared" si="17"/>
        <v>0</v>
      </c>
      <c r="Q51" s="134">
        <f t="shared" si="17"/>
        <v>0</v>
      </c>
      <c r="R51" s="134">
        <f t="shared" si="17"/>
        <v>0</v>
      </c>
      <c r="S51" s="134">
        <f t="shared" si="17"/>
        <v>3.5127921887999993</v>
      </c>
      <c r="T51" s="135">
        <f t="shared" si="16"/>
        <v>3.5127921887999993</v>
      </c>
    </row>
    <row r="52" spans="1:20" s="6" customFormat="1" ht="13.8" x14ac:dyDescent="0.25">
      <c r="A52" s="6" t="s">
        <v>306</v>
      </c>
      <c r="B52" s="131" t="str">
        <f>VLOOKUP(A46&amp;A52,Commodities!$Z$7:$AA$23,2,FALSE)</f>
        <v>Services (Public) Refrigerating</v>
      </c>
      <c r="C52" s="131" t="str">
        <f>$C$36&amp;A46&amp;A52</f>
        <v>TER_TS_RF</v>
      </c>
      <c r="D52" s="134">
        <f t="shared" si="17"/>
        <v>0</v>
      </c>
      <c r="E52" s="134">
        <f t="shared" si="17"/>
        <v>0</v>
      </c>
      <c r="F52" s="134">
        <f t="shared" si="17"/>
        <v>0</v>
      </c>
      <c r="G52" s="134">
        <f t="shared" si="17"/>
        <v>0</v>
      </c>
      <c r="H52" s="134">
        <f t="shared" si="17"/>
        <v>0</v>
      </c>
      <c r="I52" s="134">
        <f t="shared" si="17"/>
        <v>0</v>
      </c>
      <c r="J52" s="134">
        <f t="shared" si="17"/>
        <v>0</v>
      </c>
      <c r="K52" s="134">
        <f t="shared" si="17"/>
        <v>0</v>
      </c>
      <c r="L52" s="134">
        <f t="shared" si="17"/>
        <v>0</v>
      </c>
      <c r="M52" s="134">
        <f t="shared" si="17"/>
        <v>0</v>
      </c>
      <c r="N52" s="134">
        <f t="shared" si="17"/>
        <v>0</v>
      </c>
      <c r="O52" s="134">
        <f t="shared" si="17"/>
        <v>0</v>
      </c>
      <c r="P52" s="134">
        <f t="shared" si="17"/>
        <v>0</v>
      </c>
      <c r="Q52" s="134">
        <f t="shared" si="17"/>
        <v>0</v>
      </c>
      <c r="R52" s="134">
        <f t="shared" si="17"/>
        <v>0</v>
      </c>
      <c r="S52" s="134">
        <f t="shared" si="17"/>
        <v>1.4051168755199999</v>
      </c>
      <c r="T52" s="135">
        <f t="shared" si="16"/>
        <v>1.4051168755199999</v>
      </c>
    </row>
    <row r="53" spans="1:20" s="6" customFormat="1" ht="13.8" x14ac:dyDescent="0.25">
      <c r="A53" s="6" t="s">
        <v>307</v>
      </c>
      <c r="B53" s="131" t="str">
        <f>VLOOKUP(A46&amp;A53,Commodities!$Z$7:$AA$23,2,FALSE)</f>
        <v>Services (Public) Other Electric</v>
      </c>
      <c r="C53" s="131" t="str">
        <f>$C$36&amp;A46&amp;A53</f>
        <v>TER_TS_AP</v>
      </c>
      <c r="D53" s="134">
        <f t="shared" si="17"/>
        <v>0</v>
      </c>
      <c r="E53" s="134">
        <f t="shared" si="17"/>
        <v>0</v>
      </c>
      <c r="F53" s="134">
        <f t="shared" si="17"/>
        <v>0</v>
      </c>
      <c r="G53" s="134">
        <f t="shared" si="17"/>
        <v>0</v>
      </c>
      <c r="H53" s="134">
        <f t="shared" si="17"/>
        <v>0</v>
      </c>
      <c r="I53" s="134">
        <f t="shared" si="17"/>
        <v>0</v>
      </c>
      <c r="J53" s="134">
        <f t="shared" si="17"/>
        <v>0</v>
      </c>
      <c r="K53" s="134">
        <f t="shared" si="17"/>
        <v>0</v>
      </c>
      <c r="L53" s="134">
        <f t="shared" si="17"/>
        <v>0</v>
      </c>
      <c r="M53" s="134">
        <f t="shared" si="17"/>
        <v>0</v>
      </c>
      <c r="N53" s="134">
        <f t="shared" si="17"/>
        <v>0</v>
      </c>
      <c r="O53" s="134">
        <f t="shared" si="17"/>
        <v>0</v>
      </c>
      <c r="P53" s="134">
        <f t="shared" si="17"/>
        <v>0</v>
      </c>
      <c r="Q53" s="134">
        <f t="shared" si="17"/>
        <v>0</v>
      </c>
      <c r="R53" s="134">
        <f t="shared" si="17"/>
        <v>0</v>
      </c>
      <c r="S53" s="134">
        <f t="shared" si="17"/>
        <v>1.2880238025600004</v>
      </c>
      <c r="T53" s="135">
        <f t="shared" si="16"/>
        <v>1.2880238025600004</v>
      </c>
    </row>
    <row r="54" spans="1:20" s="6" customFormat="1" ht="14.4" thickBot="1" x14ac:dyDescent="0.3">
      <c r="A54" s="112"/>
      <c r="B54" s="113"/>
      <c r="C54" s="115" t="s">
        <v>284</v>
      </c>
      <c r="D54" s="116">
        <f>SUM(D47:D53)</f>
        <v>0</v>
      </c>
      <c r="E54" s="116">
        <f t="shared" ref="E54" si="18">SUM(E47:E53)</f>
        <v>17.157506400000003</v>
      </c>
      <c r="F54" s="116">
        <f t="shared" ref="F54" si="19">SUM(F47:F53)</f>
        <v>0.85410720000000007</v>
      </c>
      <c r="G54" s="116">
        <f t="shared" ref="G54" si="20">SUM(G47:G53)</f>
        <v>0</v>
      </c>
      <c r="H54" s="116">
        <f t="shared" ref="H54" si="21">SUM(H47:H53)</f>
        <v>0.3014496000000001</v>
      </c>
      <c r="I54" s="116">
        <f t="shared" ref="I54" si="22">SUM(I47:I53)</f>
        <v>0</v>
      </c>
      <c r="J54" s="116">
        <f t="shared" ref="J54" si="23">SUM(J47:J53)</f>
        <v>5.3256095999999991</v>
      </c>
      <c r="K54" s="116">
        <f t="shared" ref="K54" si="24">SUM(K47:K53)</f>
        <v>4.7729520000000001</v>
      </c>
      <c r="L54" s="116">
        <f t="shared" ref="L54" si="25">SUM(L47:L53)</f>
        <v>26.704917647999999</v>
      </c>
      <c r="M54" s="116">
        <f t="shared" ref="M54" si="26">SUM(M47:M53)</f>
        <v>0</v>
      </c>
      <c r="N54" s="116">
        <f t="shared" ref="N54" si="27">SUM(N47:N53)</f>
        <v>0</v>
      </c>
      <c r="O54" s="116">
        <f t="shared" ref="O54" si="28">SUM(O47:O53)</f>
        <v>0</v>
      </c>
      <c r="P54" s="116">
        <f t="shared" ref="P54" si="29">SUM(P47:P53)</f>
        <v>0</v>
      </c>
      <c r="Q54" s="116">
        <f t="shared" ref="Q54" si="30">SUM(Q47:Q53)</f>
        <v>0</v>
      </c>
      <c r="R54" s="116">
        <f t="shared" ref="R54" si="31">SUM(R47:R53)</f>
        <v>52.854163200000016</v>
      </c>
      <c r="S54" s="117">
        <f t="shared" ref="S54" si="32">SUM(S47:S53)</f>
        <v>8.1965151071999998</v>
      </c>
      <c r="T54" s="116">
        <f t="shared" ref="T54" si="33">SUM(T47:T53)</f>
        <v>116.16722075520002</v>
      </c>
    </row>
    <row r="55" spans="1:20" s="6" customFormat="1" ht="13.8" x14ac:dyDescent="0.25">
      <c r="A55" s="119"/>
      <c r="B55" s="136" t="s">
        <v>333</v>
      </c>
      <c r="C55" s="136" t="s">
        <v>489</v>
      </c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8">
        <f>S30*S6</f>
        <v>3.5127921887999993</v>
      </c>
      <c r="T55" s="139">
        <f>S55</f>
        <v>3.5127921887999993</v>
      </c>
    </row>
    <row r="56" spans="1:20" x14ac:dyDescent="0.25">
      <c r="S56" s="1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217"/>
  <sheetViews>
    <sheetView zoomScale="70" zoomScaleNormal="70" workbookViewId="0">
      <selection sqref="A1:XFD1048576"/>
    </sheetView>
  </sheetViews>
  <sheetFormatPr defaultColWidth="13.5546875" defaultRowHeight="14.4" x14ac:dyDescent="0.25"/>
  <cols>
    <col min="1" max="1" width="27" style="19" customWidth="1"/>
    <col min="2" max="2" width="24.88671875" style="19" customWidth="1"/>
    <col min="3" max="3" width="20.88671875" style="20" customWidth="1"/>
    <col min="4" max="4" width="22.6640625" style="20" customWidth="1"/>
    <col min="5" max="5" width="25.33203125" style="19" bestFit="1" customWidth="1"/>
    <col min="6" max="6" width="27" style="20" customWidth="1"/>
    <col min="7" max="7" width="17.44140625" style="20" customWidth="1"/>
    <col min="8" max="8" width="28.88671875" style="20" customWidth="1"/>
    <col min="9" max="9" width="4.6640625" style="19" customWidth="1"/>
    <col min="10" max="10" width="6.33203125" style="19" customWidth="1"/>
    <col min="11" max="11" width="50.109375" style="19" bestFit="1" customWidth="1"/>
    <col min="12" max="12" width="26" style="19" bestFit="1" customWidth="1"/>
    <col min="13" max="13" width="29.109375" style="19" bestFit="1" customWidth="1"/>
    <col min="14" max="14" width="28.6640625" style="19" customWidth="1"/>
    <col min="15" max="15" width="18.33203125" style="19" customWidth="1"/>
    <col min="16" max="16" width="23.5546875" style="19" customWidth="1"/>
    <col min="17" max="19" width="13.5546875" style="19"/>
    <col min="20" max="20" width="7.109375" style="19" customWidth="1"/>
    <col min="21" max="16384" width="13.5546875" style="19"/>
  </cols>
  <sheetData>
    <row r="1" spans="1:20" ht="17.399999999999999" x14ac:dyDescent="0.3">
      <c r="A1" s="93" t="s">
        <v>402</v>
      </c>
      <c r="B1" s="93"/>
      <c r="C1" s="93"/>
      <c r="D1" s="93"/>
      <c r="E1" s="93"/>
      <c r="F1" s="168"/>
      <c r="G1" s="93"/>
      <c r="H1" s="93"/>
      <c r="K1" s="6" t="s">
        <v>105</v>
      </c>
      <c r="L1" s="6"/>
      <c r="M1" s="6"/>
      <c r="N1" s="6"/>
      <c r="O1" s="6"/>
      <c r="P1" s="6"/>
      <c r="Q1" s="6"/>
      <c r="R1" s="6"/>
      <c r="S1" s="6"/>
      <c r="T1" s="6"/>
    </row>
    <row r="2" spans="1:20" x14ac:dyDescent="0.25">
      <c r="E2" s="20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D3" s="169" t="s">
        <v>373</v>
      </c>
      <c r="E3" s="26"/>
      <c r="K3" s="142" t="s">
        <v>39</v>
      </c>
      <c r="L3" s="142"/>
      <c r="M3" s="142" t="s">
        <v>276</v>
      </c>
      <c r="N3" s="142"/>
      <c r="O3" s="142"/>
      <c r="P3" s="142"/>
      <c r="Q3" s="142"/>
      <c r="R3" s="142"/>
      <c r="S3" s="142"/>
      <c r="T3" s="6"/>
    </row>
    <row r="4" spans="1:20" x14ac:dyDescent="0.25">
      <c r="B4" s="95" t="s">
        <v>1</v>
      </c>
      <c r="C4" s="143" t="s">
        <v>8</v>
      </c>
      <c r="D4" s="144" t="s">
        <v>265</v>
      </c>
      <c r="E4" s="143" t="s">
        <v>405</v>
      </c>
      <c r="F4" s="143" t="s">
        <v>266</v>
      </c>
      <c r="G4" s="143" t="s">
        <v>267</v>
      </c>
      <c r="H4" s="143" t="s">
        <v>268</v>
      </c>
      <c r="K4" s="170" t="s">
        <v>19</v>
      </c>
      <c r="L4" s="170"/>
      <c r="M4" s="142"/>
      <c r="N4" s="142"/>
      <c r="O4" s="142"/>
      <c r="P4" s="142"/>
      <c r="Q4" s="142"/>
      <c r="R4" s="142"/>
      <c r="S4" s="142"/>
      <c r="T4" s="6"/>
    </row>
    <row r="5" spans="1:20" ht="15" thickBot="1" x14ac:dyDescent="0.3">
      <c r="B5" s="113" t="s">
        <v>270</v>
      </c>
      <c r="C5" s="96" t="s">
        <v>271</v>
      </c>
      <c r="D5" s="145"/>
      <c r="E5" s="146" t="s">
        <v>318</v>
      </c>
      <c r="F5" s="96"/>
      <c r="G5" s="96"/>
      <c r="H5" s="96" t="s">
        <v>272</v>
      </c>
      <c r="K5" s="147" t="s">
        <v>13</v>
      </c>
      <c r="L5" s="147" t="s">
        <v>34</v>
      </c>
      <c r="M5" s="147" t="s">
        <v>1</v>
      </c>
      <c r="N5" s="147" t="s">
        <v>2</v>
      </c>
      <c r="O5" s="147" t="s">
        <v>20</v>
      </c>
      <c r="P5" s="147" t="s">
        <v>21</v>
      </c>
      <c r="Q5" s="147" t="s">
        <v>22</v>
      </c>
      <c r="R5" s="147" t="s">
        <v>23</v>
      </c>
      <c r="S5" s="147" t="s">
        <v>24</v>
      </c>
      <c r="T5" s="6"/>
    </row>
    <row r="6" spans="1:20" ht="15" customHeight="1" thickBot="1" x14ac:dyDescent="0.3">
      <c r="B6" s="113" t="s">
        <v>229</v>
      </c>
      <c r="C6" s="96"/>
      <c r="D6" s="145"/>
      <c r="E6" s="96" t="str">
        <f>General!$D$22</f>
        <v>000m2</v>
      </c>
      <c r="F6" s="96"/>
      <c r="G6" s="96"/>
      <c r="H6" s="96" t="str">
        <f>General!$D$20</f>
        <v>Years</v>
      </c>
      <c r="K6" s="148" t="s">
        <v>44</v>
      </c>
      <c r="L6" s="148" t="s">
        <v>35</v>
      </c>
      <c r="M6" s="148" t="s">
        <v>25</v>
      </c>
      <c r="N6" s="148" t="s">
        <v>26</v>
      </c>
      <c r="O6" s="148" t="s">
        <v>27</v>
      </c>
      <c r="P6" s="148" t="s">
        <v>28</v>
      </c>
      <c r="Q6" s="148" t="s">
        <v>48</v>
      </c>
      <c r="R6" s="148" t="s">
        <v>47</v>
      </c>
      <c r="S6" s="148" t="s">
        <v>29</v>
      </c>
      <c r="T6" s="6"/>
    </row>
    <row r="7" spans="1:20" x14ac:dyDescent="0.25">
      <c r="A7" s="149"/>
      <c r="B7" s="6" t="str">
        <f>M7</f>
        <v>TER_BU_TP</v>
      </c>
      <c r="C7" s="33" t="str">
        <f>Commodities!$Z$7</f>
        <v>TER_TP</v>
      </c>
      <c r="D7" s="150"/>
      <c r="E7" s="151">
        <v>45000</v>
      </c>
      <c r="F7" s="20">
        <v>1</v>
      </c>
      <c r="G7" s="20">
        <v>3</v>
      </c>
      <c r="H7" s="20">
        <v>70</v>
      </c>
      <c r="K7" s="6" t="s">
        <v>277</v>
      </c>
      <c r="L7" s="6"/>
      <c r="M7" s="6" t="str">
        <f>"TER_BU_TP"</f>
        <v>TER_BU_TP</v>
      </c>
      <c r="N7" s="6" t="s">
        <v>403</v>
      </c>
      <c r="O7" s="6" t="str">
        <f>General!$D$22</f>
        <v>000m2</v>
      </c>
      <c r="P7" s="6" t="str">
        <f>General!$D$23</f>
        <v>000m2</v>
      </c>
      <c r="Q7" s="6"/>
      <c r="R7" s="6"/>
      <c r="S7" s="33" t="s">
        <v>237</v>
      </c>
      <c r="T7" s="6"/>
    </row>
    <row r="8" spans="1:20" ht="12.75" customHeight="1" x14ac:dyDescent="0.25">
      <c r="A8" s="149"/>
      <c r="B8" s="19" t="str">
        <f>M8</f>
        <v>TER_BU_TS</v>
      </c>
      <c r="C8" s="33" t="str">
        <f>Commodities!$Z$8</f>
        <v>TER_TS</v>
      </c>
      <c r="D8" s="150"/>
      <c r="E8" s="151">
        <v>55000</v>
      </c>
      <c r="F8" s="20">
        <v>1</v>
      </c>
      <c r="G8" s="20">
        <v>3</v>
      </c>
      <c r="H8" s="20">
        <v>70</v>
      </c>
      <c r="K8" s="6"/>
      <c r="L8" s="6"/>
      <c r="M8" s="6" t="str">
        <f>"TER_BU_TS"</f>
        <v>TER_BU_TS</v>
      </c>
      <c r="N8" s="6" t="s">
        <v>404</v>
      </c>
      <c r="O8" s="6" t="str">
        <f>General!$D$22</f>
        <v>000m2</v>
      </c>
      <c r="P8" s="6" t="str">
        <f>General!$D$23</f>
        <v>000m2</v>
      </c>
      <c r="Q8" s="6"/>
      <c r="R8" s="6"/>
      <c r="S8" s="33" t="s">
        <v>237</v>
      </c>
      <c r="T8" s="6"/>
    </row>
    <row r="9" spans="1:20" x14ac:dyDescent="0.25">
      <c r="A9" s="149"/>
      <c r="C9" s="140"/>
      <c r="E9" s="20"/>
    </row>
    <row r="10" spans="1:20" x14ac:dyDescent="0.25">
      <c r="A10" s="149"/>
      <c r="C10" s="19"/>
      <c r="D10" s="19"/>
      <c r="E10" s="20"/>
    </row>
    <row r="11" spans="1:20" x14ac:dyDescent="0.25">
      <c r="A11" s="149"/>
      <c r="C11" s="19"/>
      <c r="D11" s="19"/>
      <c r="E11" s="20"/>
    </row>
    <row r="12" spans="1:20" x14ac:dyDescent="0.25">
      <c r="A12" s="149"/>
      <c r="D12" s="26" t="s">
        <v>269</v>
      </c>
      <c r="E12" s="26"/>
    </row>
    <row r="13" spans="1:20" x14ac:dyDescent="0.25">
      <c r="A13" s="149"/>
      <c r="B13" s="95" t="s">
        <v>1</v>
      </c>
      <c r="C13" s="143" t="s">
        <v>8</v>
      </c>
      <c r="D13" s="144" t="s">
        <v>265</v>
      </c>
      <c r="E13" s="143" t="s">
        <v>405</v>
      </c>
    </row>
    <row r="14" spans="1:20" ht="15" thickBot="1" x14ac:dyDescent="0.3">
      <c r="A14" s="149"/>
      <c r="B14" s="113" t="s">
        <v>270</v>
      </c>
      <c r="C14" s="96" t="s">
        <v>271</v>
      </c>
      <c r="D14" s="145" t="s">
        <v>273</v>
      </c>
      <c r="E14" s="146" t="s">
        <v>274</v>
      </c>
      <c r="G14" s="152"/>
    </row>
    <row r="15" spans="1:20" ht="15" thickBot="1" x14ac:dyDescent="0.3">
      <c r="A15" s="149"/>
      <c r="B15" s="113" t="s">
        <v>229</v>
      </c>
      <c r="C15" s="96"/>
      <c r="D15" s="145"/>
      <c r="E15" s="146" t="str">
        <f>General!$D$22</f>
        <v>000m2</v>
      </c>
      <c r="G15" s="152"/>
    </row>
    <row r="16" spans="1:20" x14ac:dyDescent="0.25">
      <c r="A16" s="171"/>
      <c r="B16" s="19" t="str">
        <f>M7</f>
        <v>TER_BU_TP</v>
      </c>
      <c r="C16" s="20" t="str">
        <f>Commodities!Z7</f>
        <v>TER_TP</v>
      </c>
      <c r="D16" s="153">
        <f t="shared" ref="D16:D17" si="0">BASE_YEAR</f>
        <v>2017</v>
      </c>
      <c r="E16" s="154">
        <f>E7</f>
        <v>45000</v>
      </c>
      <c r="G16" s="19"/>
    </row>
    <row r="17" spans="1:12" x14ac:dyDescent="0.25">
      <c r="A17" s="171"/>
      <c r="B17" s="19" t="str">
        <f>M8</f>
        <v>TER_BU_TS</v>
      </c>
      <c r="C17" s="20" t="str">
        <f>Commodities!Z8</f>
        <v>TER_TS</v>
      </c>
      <c r="D17" s="153">
        <f t="shared" si="0"/>
        <v>2017</v>
      </c>
      <c r="E17" s="154">
        <f>E8</f>
        <v>55000</v>
      </c>
      <c r="G17" s="19"/>
    </row>
    <row r="18" spans="1:12" x14ac:dyDescent="0.25">
      <c r="A18" s="171"/>
      <c r="E18" s="20"/>
      <c r="G18" s="19"/>
    </row>
    <row r="19" spans="1:12" x14ac:dyDescent="0.25">
      <c r="A19" s="171"/>
      <c r="G19" s="19"/>
    </row>
    <row r="20" spans="1:12" ht="17.399999999999999" x14ac:dyDescent="0.3">
      <c r="A20" s="93" t="s">
        <v>365</v>
      </c>
      <c r="B20" s="93"/>
      <c r="C20" s="93"/>
      <c r="D20" s="93"/>
      <c r="E20" s="93"/>
      <c r="F20" s="168"/>
      <c r="G20" s="93"/>
      <c r="H20" s="93"/>
      <c r="I20" s="93"/>
      <c r="J20" s="45"/>
      <c r="K20" s="45"/>
    </row>
    <row r="21" spans="1:12" x14ac:dyDescent="0.25">
      <c r="A21" s="45"/>
      <c r="B21" s="45"/>
      <c r="C21" s="45"/>
      <c r="D21" s="45"/>
      <c r="E21" s="45"/>
      <c r="F21" s="140"/>
      <c r="G21" s="45"/>
      <c r="H21" s="45"/>
      <c r="I21" s="45"/>
      <c r="J21" s="45"/>
      <c r="K21" s="45"/>
    </row>
    <row r="22" spans="1:12" x14ac:dyDescent="0.3">
      <c r="A22" s="172"/>
      <c r="B22" s="172"/>
      <c r="C22" s="45"/>
      <c r="D22" s="45"/>
      <c r="E22" s="92" t="s">
        <v>279</v>
      </c>
      <c r="F22" s="26"/>
      <c r="G22" s="173"/>
      <c r="H22" s="173"/>
      <c r="I22" s="173"/>
      <c r="J22" s="45"/>
      <c r="K22" s="45" t="s">
        <v>376</v>
      </c>
    </row>
    <row r="23" spans="1:12" x14ac:dyDescent="0.3">
      <c r="A23" s="172"/>
      <c r="B23" s="172"/>
      <c r="C23" s="95" t="s">
        <v>1</v>
      </c>
      <c r="D23" s="95" t="s">
        <v>7</v>
      </c>
      <c r="E23" s="144" t="s">
        <v>265</v>
      </c>
      <c r="F23" s="143" t="s">
        <v>405</v>
      </c>
      <c r="G23" s="173"/>
      <c r="I23" s="173"/>
      <c r="J23" s="45"/>
      <c r="K23" s="143" t="s">
        <v>375</v>
      </c>
      <c r="L23" s="143" t="s">
        <v>377</v>
      </c>
    </row>
    <row r="24" spans="1:12" ht="15" thickBot="1" x14ac:dyDescent="0.35">
      <c r="A24" s="172"/>
      <c r="B24" s="172"/>
      <c r="C24" s="113" t="s">
        <v>270</v>
      </c>
      <c r="D24" s="112" t="s">
        <v>280</v>
      </c>
      <c r="E24" s="155"/>
      <c r="F24" s="96"/>
      <c r="G24" s="173"/>
      <c r="I24" s="173"/>
      <c r="J24" s="45"/>
      <c r="K24" s="96"/>
      <c r="L24" s="96"/>
    </row>
    <row r="25" spans="1:12" ht="15" thickBot="1" x14ac:dyDescent="0.35">
      <c r="A25" s="172"/>
      <c r="B25" s="172"/>
      <c r="C25" s="113" t="s">
        <v>229</v>
      </c>
      <c r="D25" s="113"/>
      <c r="E25" s="155"/>
      <c r="F25" s="146" t="s">
        <v>369</v>
      </c>
      <c r="G25" s="173"/>
      <c r="I25" s="173"/>
      <c r="J25" s="45"/>
      <c r="K25" s="146" t="s">
        <v>371</v>
      </c>
      <c r="L25" s="146"/>
    </row>
    <row r="26" spans="1:12" x14ac:dyDescent="0.3">
      <c r="A26" s="172" t="s">
        <v>319</v>
      </c>
      <c r="B26" s="172"/>
      <c r="C26" s="173" t="str">
        <f>TER_Stock!M7</f>
        <v>TER_BU_TP</v>
      </c>
      <c r="D26" s="174" t="str">
        <f>Commodities!Z10</f>
        <v>TER_TP_SH</v>
      </c>
      <c r="E26" s="156"/>
      <c r="F26" s="175">
        <f>SUM(TER_Tech_SpHeat!$I$7:$I$17)/TER_Stock!$E$7</f>
        <v>1.0052042195456002E-3</v>
      </c>
      <c r="G26" s="173"/>
      <c r="I26" s="173"/>
      <c r="J26" s="45"/>
      <c r="K26" s="157">
        <f t="shared" ref="K26:K31" si="1">F26*277777.778</f>
        <v>279.22339454160101</v>
      </c>
      <c r="L26" s="157">
        <f>SUM(TER_Tech_SpHeat!$J$7:$J$17)/TER_Stock!$E$7*277777.778</f>
        <v>364.76720729625828</v>
      </c>
    </row>
    <row r="27" spans="1:12" x14ac:dyDescent="0.3">
      <c r="A27" s="172"/>
      <c r="B27" s="172"/>
      <c r="C27" s="176" t="str">
        <f>TER_Stock!M8</f>
        <v>TER_BU_TS</v>
      </c>
      <c r="D27" s="176" t="str">
        <f>Commodities!Z11</f>
        <v>TER_TS_SH</v>
      </c>
      <c r="E27" s="158"/>
      <c r="F27" s="177">
        <f>SUM(TER_Tech_SpHeat!$I$18:$I$29)/TER_Stock!$E$8</f>
        <v>1.2164151077882184E-3</v>
      </c>
      <c r="G27" s="173"/>
      <c r="I27" s="173"/>
      <c r="J27" s="45"/>
      <c r="K27" s="159">
        <f t="shared" si="1"/>
        <v>337.89308576704178</v>
      </c>
      <c r="L27" s="159">
        <f>SUM(TER_Tech_SpHeat!$J$18:$J$29)/TER_Stock!$E$8*277777.778</f>
        <v>442.34643290660443</v>
      </c>
    </row>
    <row r="28" spans="1:12" x14ac:dyDescent="0.3">
      <c r="A28" s="172" t="s">
        <v>320</v>
      </c>
      <c r="B28" s="172"/>
      <c r="C28" s="173" t="str">
        <f>TER_Stock!M7</f>
        <v>TER_BU_TP</v>
      </c>
      <c r="D28" s="173" t="str">
        <f>Commodities!Z12</f>
        <v>TER_TP_WH</v>
      </c>
      <c r="E28" s="156"/>
      <c r="F28" s="178">
        <f>SUM(TER_Tech_WaterHeat!$I$7:$I$13)/TER_Stock!$E$7</f>
        <v>2.1475653945280003E-4</v>
      </c>
      <c r="G28" s="173"/>
      <c r="I28" s="173"/>
      <c r="J28" s="45"/>
      <c r="K28" s="157">
        <f t="shared" si="1"/>
        <v>59.654594340168124</v>
      </c>
      <c r="L28" s="157">
        <f>SUM(TER_Tech_WaterHeat!$J$7:$J$13)/TER_Stock!$E$7*277777.778</f>
        <v>75.442021624798073</v>
      </c>
    </row>
    <row r="29" spans="1:12" x14ac:dyDescent="0.3">
      <c r="A29" s="172"/>
      <c r="B29" s="172"/>
      <c r="C29" s="176" t="str">
        <f>TER_Stock!M8</f>
        <v>TER_BU_TS</v>
      </c>
      <c r="D29" s="176" t="str">
        <f>Commodities!Z13</f>
        <v>TER_TS_WH</v>
      </c>
      <c r="E29" s="158"/>
      <c r="F29" s="179">
        <f>SUM(TER_Tech_WaterHeat!$I$14:$I$21)/TER_Stock!$E$8</f>
        <v>2.6356484387389094E-4</v>
      </c>
      <c r="G29" s="173"/>
      <c r="I29" s="173"/>
      <c r="J29" s="45"/>
      <c r="K29" s="159">
        <f t="shared" si="1"/>
        <v>73.212456690206338</v>
      </c>
      <c r="L29" s="159">
        <f>SUM(TER_Tech_WaterHeat!$J$14:$J$21)/TER_Stock!$E$8*277777.778</f>
        <v>92.587935630434004</v>
      </c>
    </row>
    <row r="30" spans="1:12" x14ac:dyDescent="0.3">
      <c r="A30" s="172" t="s">
        <v>321</v>
      </c>
      <c r="B30" s="172"/>
      <c r="C30" s="173" t="str">
        <f>TER_Stock!M7</f>
        <v>TER_BU_TP</v>
      </c>
      <c r="D30" s="173" t="str">
        <f>Commodities!Z14</f>
        <v>TER_TP_SC</v>
      </c>
      <c r="E30" s="156"/>
      <c r="F30" s="178">
        <f>TER_Tech_SpCool!$I$7/$E$7</f>
        <v>1.7347121920000004E-5</v>
      </c>
      <c r="G30" s="173"/>
      <c r="I30" s="173"/>
      <c r="J30" s="45"/>
      <c r="K30" s="157">
        <f t="shared" si="1"/>
        <v>4.8186449816326942</v>
      </c>
      <c r="L30" s="157">
        <f>TER_Tech_SpCool!$J$7/$E$7*277777.778</f>
        <v>1.9274579926530779</v>
      </c>
    </row>
    <row r="31" spans="1:12" x14ac:dyDescent="0.3">
      <c r="A31" s="172"/>
      <c r="B31" s="172"/>
      <c r="C31" s="176" t="str">
        <f>TER_Stock!M8</f>
        <v>TER_BU_TS</v>
      </c>
      <c r="D31" s="176" t="str">
        <f>Commodities!Z15</f>
        <v>TER_TS_SC</v>
      </c>
      <c r="E31" s="158"/>
      <c r="F31" s="180">
        <f>TER_Tech_SpCool!$I$8/$E$8</f>
        <v>2.6612062036363638E-5</v>
      </c>
      <c r="G31" s="173"/>
      <c r="I31" s="173"/>
      <c r="J31" s="45"/>
      <c r="K31" s="159">
        <f t="shared" si="1"/>
        <v>7.3922394604592458</v>
      </c>
      <c r="L31" s="159">
        <f>TER_Tech_SpCool!$J$8/$E$8*277777.778</f>
        <v>2.9568957841836987</v>
      </c>
    </row>
    <row r="32" spans="1:12" x14ac:dyDescent="0.3">
      <c r="A32" s="181"/>
      <c r="B32" s="181"/>
      <c r="C32" s="173"/>
      <c r="D32" s="173"/>
      <c r="E32" s="21"/>
      <c r="F32" s="182"/>
      <c r="G32" s="173"/>
      <c r="H32" s="173"/>
      <c r="I32" s="173"/>
      <c r="J32" s="45"/>
      <c r="K32" s="45"/>
    </row>
    <row r="33" spans="1:19" x14ac:dyDescent="0.3">
      <c r="A33" s="181"/>
      <c r="B33" s="181"/>
      <c r="C33" s="173"/>
      <c r="D33" s="173"/>
      <c r="E33" s="21"/>
      <c r="F33" s="182"/>
      <c r="G33" s="183"/>
      <c r="H33" s="183"/>
      <c r="I33" s="183"/>
      <c r="J33" s="45"/>
      <c r="K33" s="45"/>
    </row>
    <row r="34" spans="1:19" x14ac:dyDescent="0.3">
      <c r="A34" s="181"/>
      <c r="B34" s="181"/>
      <c r="C34" s="45"/>
      <c r="D34" s="45"/>
      <c r="E34" s="92" t="s">
        <v>279</v>
      </c>
      <c r="F34" s="26"/>
      <c r="G34" s="173"/>
      <c r="H34" s="173"/>
      <c r="I34" s="173"/>
      <c r="J34" s="45"/>
      <c r="K34" s="45"/>
    </row>
    <row r="35" spans="1:19" x14ac:dyDescent="0.3">
      <c r="A35" s="181"/>
      <c r="B35" s="181"/>
      <c r="C35" s="95" t="s">
        <v>1</v>
      </c>
      <c r="D35" s="95" t="s">
        <v>7</v>
      </c>
      <c r="E35" s="144" t="s">
        <v>265</v>
      </c>
      <c r="F35" s="143" t="s">
        <v>405</v>
      </c>
      <c r="G35" s="173"/>
      <c r="H35" s="173"/>
      <c r="I35" s="173"/>
      <c r="J35" s="45"/>
      <c r="K35" s="45"/>
    </row>
    <row r="36" spans="1:19" ht="15" thickBot="1" x14ac:dyDescent="0.35">
      <c r="A36" s="181"/>
      <c r="B36" s="181"/>
      <c r="C36" s="113" t="s">
        <v>322</v>
      </c>
      <c r="D36" s="112" t="s">
        <v>280</v>
      </c>
      <c r="E36" s="155"/>
      <c r="F36" s="96"/>
      <c r="G36" s="173"/>
      <c r="H36" s="173"/>
      <c r="I36" s="173"/>
      <c r="J36" s="45"/>
      <c r="K36" s="45"/>
    </row>
    <row r="37" spans="1:19" ht="15" thickBot="1" x14ac:dyDescent="0.35">
      <c r="A37" s="172"/>
      <c r="B37" s="172"/>
      <c r="C37" s="113" t="s">
        <v>229</v>
      </c>
      <c r="D37" s="113"/>
      <c r="E37" s="155"/>
      <c r="F37" s="146" t="s">
        <v>370</v>
      </c>
      <c r="G37" s="173"/>
      <c r="H37" s="173"/>
      <c r="I37" s="173"/>
      <c r="J37" s="45"/>
      <c r="K37" s="45"/>
    </row>
    <row r="38" spans="1:19" x14ac:dyDescent="0.3">
      <c r="A38" s="172" t="s">
        <v>364</v>
      </c>
      <c r="B38" s="172"/>
      <c r="C38" s="174" t="str">
        <f>TER_Stock!M7</f>
        <v>TER_BU_TP</v>
      </c>
      <c r="D38" s="174" t="str">
        <f>Commodities!Z16</f>
        <v>TER_TP_CK</v>
      </c>
      <c r="E38" s="160"/>
      <c r="F38" s="184">
        <f>TER_Tech_Cook!$H7</f>
        <v>8.0000000000000002E-3</v>
      </c>
      <c r="G38" s="173"/>
      <c r="H38" s="173"/>
      <c r="I38" s="173"/>
      <c r="J38" s="45"/>
      <c r="K38" s="45"/>
    </row>
    <row r="39" spans="1:19" x14ac:dyDescent="0.3">
      <c r="A39" s="172"/>
      <c r="B39" s="172"/>
      <c r="C39" s="176" t="str">
        <f>TER_Stock!M8</f>
        <v>TER_BU_TS</v>
      </c>
      <c r="D39" s="176" t="str">
        <f>Commodities!Z17</f>
        <v>TER_TS_CK</v>
      </c>
      <c r="E39" s="161"/>
      <c r="F39" s="185">
        <f>TER_Tech_Cook!$H8</f>
        <v>8.0000000000000002E-3</v>
      </c>
      <c r="G39" s="173"/>
      <c r="H39" s="173"/>
      <c r="I39" s="173"/>
      <c r="J39" s="45"/>
      <c r="K39" s="45"/>
    </row>
    <row r="40" spans="1:19" x14ac:dyDescent="0.3">
      <c r="A40" s="172" t="s">
        <v>286</v>
      </c>
      <c r="B40" s="172"/>
      <c r="C40" s="173" t="str">
        <f>TER_Stock!$M$7</f>
        <v>TER_BU_TP</v>
      </c>
      <c r="D40" s="173" t="str">
        <f>Commodities!Z18</f>
        <v>TER_TP_LI</v>
      </c>
      <c r="E40" s="162"/>
      <c r="F40" s="186">
        <f>TER_Tech_Appliances!F83/E7</f>
        <v>0.1</v>
      </c>
      <c r="G40" s="173"/>
      <c r="H40" s="173"/>
      <c r="I40" s="173"/>
      <c r="J40" s="45"/>
      <c r="K40" s="187"/>
    </row>
    <row r="41" spans="1:19" x14ac:dyDescent="0.3">
      <c r="A41" s="172"/>
      <c r="B41" s="172"/>
      <c r="C41" s="173" t="str">
        <f>TER_Stock!$M$8</f>
        <v>TER_BU_TS</v>
      </c>
      <c r="D41" s="173" t="str">
        <f>Commodities!Z19</f>
        <v>TER_TS_LI</v>
      </c>
      <c r="E41" s="162"/>
      <c r="F41" s="188">
        <f>TER_Tech_Appliances!F84/E8</f>
        <v>0.1</v>
      </c>
      <c r="G41" s="173"/>
      <c r="H41" s="173"/>
      <c r="I41" s="173"/>
      <c r="J41" s="45"/>
      <c r="K41" s="187"/>
    </row>
    <row r="42" spans="1:19" x14ac:dyDescent="0.3">
      <c r="A42" s="172" t="s">
        <v>287</v>
      </c>
      <c r="B42" s="172"/>
      <c r="C42" s="189" t="str">
        <f>TER_Stock!$M$7</f>
        <v>TER_BU_TP</v>
      </c>
      <c r="D42" s="189" t="str">
        <f>Commodities!Z20</f>
        <v>TER_TP_RF</v>
      </c>
      <c r="E42" s="163"/>
      <c r="F42" s="184">
        <f>TER_Tech_Appliances!F7/TER_Stock!E7</f>
        <v>2E-3</v>
      </c>
      <c r="G42" s="173"/>
      <c r="H42" s="173"/>
      <c r="I42" s="173"/>
      <c r="J42" s="45"/>
      <c r="K42" s="187"/>
    </row>
    <row r="43" spans="1:19" x14ac:dyDescent="0.3">
      <c r="A43" s="172"/>
      <c r="B43" s="172"/>
      <c r="C43" s="173" t="str">
        <f>TER_Stock!$M8</f>
        <v>TER_BU_TS</v>
      </c>
      <c r="D43" s="173" t="str">
        <f>Commodities!Z21</f>
        <v>TER_TS_RF</v>
      </c>
      <c r="E43" s="162"/>
      <c r="F43" s="188">
        <f>TER_Tech_Appliances!F8/TER_Stock!E8</f>
        <v>2E-3</v>
      </c>
      <c r="G43" s="173"/>
      <c r="H43" s="173"/>
      <c r="I43" s="173"/>
      <c r="J43" s="45"/>
      <c r="K43" s="45"/>
    </row>
    <row r="44" spans="1:19" x14ac:dyDescent="0.3">
      <c r="A44" s="172" t="s">
        <v>366</v>
      </c>
      <c r="B44" s="45"/>
      <c r="C44" s="189" t="str">
        <f>TER_Stock!$M$7</f>
        <v>TER_BU_TP</v>
      </c>
      <c r="D44" s="189" t="str">
        <f>Commodities!Z22</f>
        <v>TER_TP_AP</v>
      </c>
      <c r="E44" s="163"/>
      <c r="F44" s="184">
        <f>TER_Tech_Appliances!F46/TER_Stock!E7</f>
        <v>1.4999999999999999E-2</v>
      </c>
      <c r="G44" s="173"/>
      <c r="H44" s="173"/>
      <c r="I44" s="173"/>
      <c r="J44" s="45"/>
      <c r="K44" s="45"/>
    </row>
    <row r="45" spans="1:19" x14ac:dyDescent="0.25">
      <c r="A45" s="45"/>
      <c r="B45" s="45"/>
      <c r="C45" s="173" t="str">
        <f>TER_Stock!$M$8</f>
        <v>TER_BU_TS</v>
      </c>
      <c r="D45" s="173" t="str">
        <f>Commodities!Z23</f>
        <v>TER_TS_AP</v>
      </c>
      <c r="E45" s="162"/>
      <c r="F45" s="184">
        <f>TER_Tech_Appliances!F47/TER_Stock!E8</f>
        <v>1.4999999999999999E-2</v>
      </c>
      <c r="G45" s="173"/>
      <c r="H45" s="173"/>
      <c r="I45" s="173"/>
      <c r="J45" s="45"/>
      <c r="K45" s="45"/>
    </row>
    <row r="46" spans="1:19" x14ac:dyDescent="0.25">
      <c r="A46" s="45"/>
      <c r="B46" s="45"/>
      <c r="C46" s="45"/>
      <c r="D46" s="173"/>
      <c r="E46" s="45"/>
      <c r="F46" s="140"/>
      <c r="G46" s="173"/>
      <c r="H46" s="173"/>
      <c r="I46" s="173"/>
      <c r="J46" s="45"/>
      <c r="K46" s="45"/>
    </row>
    <row r="47" spans="1:19" x14ac:dyDescent="0.25">
      <c r="G47" s="173"/>
      <c r="H47" s="173"/>
      <c r="I47" s="173"/>
      <c r="S47" s="171"/>
    </row>
    <row r="48" spans="1:19" x14ac:dyDescent="0.25">
      <c r="G48" s="173"/>
      <c r="H48" s="173"/>
      <c r="I48" s="173"/>
    </row>
    <row r="49" spans="1:11" x14ac:dyDescent="0.25">
      <c r="G49" s="173"/>
      <c r="H49" s="173"/>
      <c r="I49" s="173"/>
    </row>
    <row r="51" spans="1:11" ht="17.399999999999999" x14ac:dyDescent="0.3">
      <c r="A51" s="93" t="s">
        <v>368</v>
      </c>
      <c r="B51" s="93"/>
      <c r="C51" s="93"/>
      <c r="D51" s="93"/>
      <c r="E51" s="93"/>
      <c r="F51" s="168"/>
      <c r="G51" s="93"/>
      <c r="H51" s="93"/>
      <c r="I51" s="93"/>
      <c r="J51" s="45"/>
      <c r="K51" s="45"/>
    </row>
    <row r="53" spans="1:11" x14ac:dyDescent="0.25">
      <c r="A53" s="32"/>
      <c r="B53" s="28" t="s">
        <v>361</v>
      </c>
      <c r="C53" s="29"/>
      <c r="E53" s="32"/>
      <c r="F53" s="28" t="s">
        <v>363</v>
      </c>
      <c r="G53" s="29"/>
    </row>
    <row r="54" spans="1:11" x14ac:dyDescent="0.25">
      <c r="A54" s="19" t="s">
        <v>490</v>
      </c>
      <c r="B54" s="19" t="s">
        <v>491</v>
      </c>
      <c r="C54" s="35">
        <v>0</v>
      </c>
      <c r="E54" s="19" t="s">
        <v>492</v>
      </c>
      <c r="F54" s="19" t="s">
        <v>576</v>
      </c>
      <c r="G54" s="30">
        <f>IFERROR(HLOOKUP(E54,COM_En_Balance!$D$36:$S$44,5,0)/COM_En_Balance!T$40,0)</f>
        <v>0.14038665870434286</v>
      </c>
    </row>
    <row r="55" spans="1:11" x14ac:dyDescent="0.25">
      <c r="A55" s="19" t="s">
        <v>492</v>
      </c>
      <c r="B55" s="19" t="s">
        <v>493</v>
      </c>
      <c r="C55" s="35">
        <f>IFERROR(HLOOKUP(A55,COM_En_Balance!$D$36:$S$44,3,0)/COM_En_Balance!T$38,0)</f>
        <v>0.16453224888759704</v>
      </c>
      <c r="E55" s="19" t="s">
        <v>502</v>
      </c>
      <c r="F55" s="19" t="s">
        <v>525</v>
      </c>
      <c r="G55" s="30">
        <f>IFERROR(HLOOKUP(E55,COM_En_Balance!$D$36:$S$44,5,0)/COM_En_Balance!T$40,0)</f>
        <v>0.21850577072070082</v>
      </c>
    </row>
    <row r="56" spans="1:11" x14ac:dyDescent="0.25">
      <c r="A56" s="19" t="s">
        <v>494</v>
      </c>
      <c r="B56" s="19" t="s">
        <v>495</v>
      </c>
      <c r="C56" s="35">
        <f>IFERROR(HLOOKUP(A56,COM_En_Balance!$D$36:$S$44,3,0)/COM_En_Balance!T$38,0)</f>
        <v>9.6358564502253032E-3</v>
      </c>
      <c r="E56" s="19" t="s">
        <v>504</v>
      </c>
      <c r="F56" s="19" t="s">
        <v>526</v>
      </c>
      <c r="G56" s="30">
        <f>IFERROR(HLOOKUP(E56,COM_En_Balance!$D$36:$S$44,5,0)/COM_En_Balance!T$40,0)</f>
        <v>0.57661987294082451</v>
      </c>
    </row>
    <row r="57" spans="1:11" x14ac:dyDescent="0.25">
      <c r="A57" s="19" t="s">
        <v>496</v>
      </c>
      <c r="B57" s="19" t="s">
        <v>497</v>
      </c>
      <c r="C57" s="35">
        <f>IFERROR(HLOOKUP(A57,COM_En_Balance!$D$36:$S$44,3,0)/COM_En_Balance!T$38,0)</f>
        <v>0</v>
      </c>
      <c r="E57" s="19" t="s">
        <v>510</v>
      </c>
      <c r="F57" s="19" t="s">
        <v>527</v>
      </c>
      <c r="G57" s="30">
        <f>IFERROR(HLOOKUP(E57,COM_En_Balance!$D$36:$S$44,5,0)/COM_En_Balance!T$40,0)</f>
        <v>0</v>
      </c>
    </row>
    <row r="58" spans="1:11" x14ac:dyDescent="0.25">
      <c r="A58" s="19" t="s">
        <v>498</v>
      </c>
      <c r="B58" s="19" t="s">
        <v>499</v>
      </c>
      <c r="C58" s="35">
        <f>IFERROR(HLOOKUP(A58,COM_En_Balance!$D$36:$S$44,3,0)/COM_En_Balance!T$38,0)</f>
        <v>4.8065919234065051E-2</v>
      </c>
      <c r="E58" s="19" t="s">
        <v>506</v>
      </c>
      <c r="F58" s="19" t="s">
        <v>528</v>
      </c>
      <c r="G58" s="30">
        <f>IFERROR(HLOOKUP(E58,COM_En_Balance!$D$36:$S$44,5,0)/COM_En_Balance!T$40,0)</f>
        <v>0</v>
      </c>
    </row>
    <row r="59" spans="1:11" x14ac:dyDescent="0.25">
      <c r="A59" s="19" t="s">
        <v>500</v>
      </c>
      <c r="B59" s="19" t="s">
        <v>501</v>
      </c>
      <c r="C59" s="35">
        <f>IFERROR(HLOOKUP(A59,COM_En_Balance!$D$36:$S$44,3,0)/COM_En_Balance!T$38,0)</f>
        <v>5.3847433104200218E-2</v>
      </c>
      <c r="E59" s="19" t="s">
        <v>498</v>
      </c>
      <c r="F59" s="19" t="s">
        <v>529</v>
      </c>
      <c r="G59" s="30">
        <f>IFERROR(HLOOKUP(E59,COM_En_Balance!$D$36:$S$44,5,0)/COM_En_Balance!T$40,0)</f>
        <v>5.8100481494037438E-2</v>
      </c>
    </row>
    <row r="60" spans="1:11" x14ac:dyDescent="0.25">
      <c r="A60" s="19" t="s">
        <v>502</v>
      </c>
      <c r="B60" s="19" t="s">
        <v>503</v>
      </c>
      <c r="C60" s="35">
        <f>IFERROR(HLOOKUP(A60,COM_En_Balance!$D$36:$S$44,3,0)/COM_En_Balance!T$38,0)</f>
        <v>0.23499779338887286</v>
      </c>
      <c r="E60" s="32" t="s">
        <v>508</v>
      </c>
      <c r="F60" s="32" t="s">
        <v>530</v>
      </c>
      <c r="G60" s="31">
        <f>IFERROR(HLOOKUP(E60,COM_En_Balance!$D$36:$S$44,5,0)/COM_En_Balance!T$40,0)</f>
        <v>6.3872161400945118E-3</v>
      </c>
      <c r="H60" s="164">
        <f>SUM(G54:G60)</f>
        <v>1.0000000000000002</v>
      </c>
    </row>
    <row r="61" spans="1:11" x14ac:dyDescent="0.25">
      <c r="A61" s="19" t="s">
        <v>504</v>
      </c>
      <c r="B61" s="19" t="s">
        <v>505</v>
      </c>
      <c r="C61" s="35">
        <f>IFERROR(HLOOKUP(A61,COM_En_Balance!$D$36:$S$44,3,0)/COM_En_Balance!T$38,0)</f>
        <v>0.47703157579468325</v>
      </c>
      <c r="E61" s="19" t="s">
        <v>492</v>
      </c>
      <c r="F61" s="19" t="s">
        <v>577</v>
      </c>
      <c r="G61" s="30">
        <f>IFERROR(HLOOKUP(E61,COM_En_Balance!$D$36:$S$54,14,0)/COM_En_Balance!T$49,0)</f>
        <v>0.14038665870434283</v>
      </c>
    </row>
    <row r="62" spans="1:11" x14ac:dyDescent="0.25">
      <c r="A62" s="19" t="s">
        <v>506</v>
      </c>
      <c r="B62" s="19" t="s">
        <v>507</v>
      </c>
      <c r="C62" s="35">
        <f>IFERROR(HLOOKUP(A62,COM_En_Balance!$D$36:$S$44,3,0)/COM_En_Balance!T$38,0)</f>
        <v>0</v>
      </c>
      <c r="E62" s="19" t="s">
        <v>496</v>
      </c>
      <c r="F62" s="19" t="s">
        <v>531</v>
      </c>
      <c r="G62" s="30">
        <f>IFERROR(HLOOKUP(E62,COM_En_Balance!$D$36:$S$54,14,0)/COM_En_Balance!T$49,0)</f>
        <v>0</v>
      </c>
    </row>
    <row r="63" spans="1:11" x14ac:dyDescent="0.25">
      <c r="A63" s="19" t="s">
        <v>508</v>
      </c>
      <c r="B63" s="19" t="s">
        <v>509</v>
      </c>
      <c r="C63" s="35">
        <f>IFERROR(HLOOKUP(A63,COM_En_Balance!$D$36:$S$44,3,0)/COM_En_Balance!T$38,0)</f>
        <v>1.1889173140356224E-2</v>
      </c>
      <c r="E63" s="19" t="s">
        <v>502</v>
      </c>
      <c r="F63" s="19" t="s">
        <v>532</v>
      </c>
      <c r="G63" s="30">
        <f>IFERROR(HLOOKUP(E63,COM_En_Balance!$D$36:$S$54,14,0)/COM_En_Balance!T$49,0)</f>
        <v>0.21850577072070076</v>
      </c>
    </row>
    <row r="64" spans="1:11" x14ac:dyDescent="0.25">
      <c r="A64" s="32" t="s">
        <v>510</v>
      </c>
      <c r="B64" s="32" t="s">
        <v>511</v>
      </c>
      <c r="C64" s="36">
        <f>IFERROR(HLOOKUP(A64,COM_En_Balance!$D$36:$S$44,3,0)/COM_En_Balance!T$38,0)</f>
        <v>0</v>
      </c>
      <c r="D64" s="164">
        <f>SUM(C54:C64)</f>
        <v>0.99999999999999989</v>
      </c>
      <c r="E64" s="19" t="s">
        <v>504</v>
      </c>
      <c r="F64" s="19" t="s">
        <v>533</v>
      </c>
      <c r="G64" s="30">
        <f>IFERROR(HLOOKUP(E64,COM_En_Balance!$D$36:$S$54,14,0)/COM_En_Balance!T$49,0)</f>
        <v>0.5766198729408244</v>
      </c>
    </row>
    <row r="65" spans="1:8" x14ac:dyDescent="0.25">
      <c r="A65" s="19" t="s">
        <v>490</v>
      </c>
      <c r="B65" s="19" t="s">
        <v>512</v>
      </c>
      <c r="C65" s="35">
        <f>IFERROR(HLOOKUP(A65,COM_En_Balance!$D$36:$S$54,12,0)/COM_En_Balance!T$47,0)</f>
        <v>0</v>
      </c>
      <c r="E65" s="19" t="s">
        <v>510</v>
      </c>
      <c r="F65" s="19" t="s">
        <v>534</v>
      </c>
      <c r="G65" s="30">
        <f>IFERROR(HLOOKUP(E65,COM_En_Balance!$D$36:$S$54,14,0)/COM_En_Balance!T$49,0)</f>
        <v>0</v>
      </c>
    </row>
    <row r="66" spans="1:8" x14ac:dyDescent="0.25">
      <c r="A66" s="19" t="s">
        <v>492</v>
      </c>
      <c r="B66" s="19" t="s">
        <v>513</v>
      </c>
      <c r="C66" s="35">
        <f>IFERROR(HLOOKUP(A66,COM_En_Balance!$D$36:$S$54,12,0)/COM_En_Balance!T$47,0)</f>
        <v>0.16651193815020107</v>
      </c>
      <c r="E66" s="19" t="s">
        <v>506</v>
      </c>
      <c r="F66" s="19" t="s">
        <v>535</v>
      </c>
      <c r="G66" s="30">
        <f>IFERROR(HLOOKUP(E66,COM_En_Balance!$D$36:$S$54,14,0)/COM_En_Balance!T$49,0)</f>
        <v>0</v>
      </c>
    </row>
    <row r="67" spans="1:8" x14ac:dyDescent="0.25">
      <c r="A67" s="19" t="s">
        <v>494</v>
      </c>
      <c r="B67" s="19" t="s">
        <v>514</v>
      </c>
      <c r="C67" s="35">
        <f>IFERROR(HLOOKUP(A67,COM_En_Balance!$D$36:$S$54,12,0)/COM_En_Balance!T$47,0)</f>
        <v>9.7517972562343232E-3</v>
      </c>
      <c r="E67" s="19" t="s">
        <v>498</v>
      </c>
      <c r="F67" s="19" t="s">
        <v>536</v>
      </c>
      <c r="G67" s="30">
        <f>IFERROR(HLOOKUP(E67,COM_En_Balance!$D$36:$S$54,14,0)/COM_En_Balance!T$49,0)</f>
        <v>5.8100481494037404E-2</v>
      </c>
    </row>
    <row r="68" spans="1:8" x14ac:dyDescent="0.25">
      <c r="A68" s="19" t="s">
        <v>496</v>
      </c>
      <c r="B68" s="19" t="s">
        <v>515</v>
      </c>
      <c r="C68" s="35">
        <f>IFERROR(HLOOKUP(A68,COM_En_Balance!$D$36:$S$54,12,0)/COM_En_Balance!T$47,0)</f>
        <v>0</v>
      </c>
      <c r="E68" s="32" t="s">
        <v>508</v>
      </c>
      <c r="F68" s="32" t="s">
        <v>537</v>
      </c>
      <c r="G68" s="31">
        <f>IFERROR(HLOOKUP(E68,COM_En_Balance!$D$36:$S$54,14,0)/COM_En_Balance!T$49,0)</f>
        <v>6.38721614009451E-3</v>
      </c>
      <c r="H68" s="164">
        <f>SUM(G61:G68)</f>
        <v>0.99999999999999989</v>
      </c>
    </row>
    <row r="69" spans="1:8" x14ac:dyDescent="0.25">
      <c r="A69" s="19" t="s">
        <v>498</v>
      </c>
      <c r="B69" s="19" t="s">
        <v>516</v>
      </c>
      <c r="C69" s="35">
        <f>IFERROR(HLOOKUP(A69,COM_En_Balance!$D$36:$S$54,12,0)/COM_En_Balance!T$47,0)</f>
        <v>4.8644259254627682E-2</v>
      </c>
      <c r="F69" s="19"/>
      <c r="G69" s="30"/>
    </row>
    <row r="70" spans="1:8" x14ac:dyDescent="0.25">
      <c r="A70" s="19" t="s">
        <v>500</v>
      </c>
      <c r="B70" s="19" t="s">
        <v>517</v>
      </c>
      <c r="C70" s="35">
        <f>IFERROR(HLOOKUP(A70,COM_En_Balance!$D$36:$S$54,12,0)/COM_En_Balance!T$47,0)</f>
        <v>5.4495337608368277E-2</v>
      </c>
      <c r="F70" s="19"/>
      <c r="G70" s="30"/>
    </row>
    <row r="71" spans="1:8" x14ac:dyDescent="0.25">
      <c r="A71" s="19" t="s">
        <v>502</v>
      </c>
      <c r="B71" s="19" t="s">
        <v>518</v>
      </c>
      <c r="C71" s="35">
        <f>IFERROR(HLOOKUP(A71,COM_En_Balance!$D$36:$S$54,12,0)/COM_En_Balance!T$47,0)</f>
        <v>0.23782534003369757</v>
      </c>
      <c r="F71" s="19"/>
      <c r="G71" s="19"/>
      <c r="H71" s="19"/>
    </row>
    <row r="72" spans="1:8" x14ac:dyDescent="0.25">
      <c r="A72" s="19" t="s">
        <v>504</v>
      </c>
      <c r="B72" s="19" t="s">
        <v>519</v>
      </c>
      <c r="C72" s="35">
        <f>IFERROR(HLOOKUP(A72,COM_En_Balance!$D$36:$S$54,12,0)/COM_En_Balance!T$47,0)</f>
        <v>0.48277132769687109</v>
      </c>
      <c r="F72" s="28" t="s">
        <v>372</v>
      </c>
      <c r="G72" s="29"/>
      <c r="H72" s="19"/>
    </row>
    <row r="73" spans="1:8" x14ac:dyDescent="0.25">
      <c r="A73" s="19" t="s">
        <v>506</v>
      </c>
      <c r="B73" s="19" t="s">
        <v>520</v>
      </c>
      <c r="C73" s="35">
        <f>IFERROR(HLOOKUP(A73,COM_En_Balance!$D$36:$S$54,12,0)/COM_En_Balance!T$47,0)</f>
        <v>0</v>
      </c>
      <c r="F73" s="19" t="s">
        <v>538</v>
      </c>
      <c r="G73" s="30">
        <v>0.3</v>
      </c>
      <c r="H73" s="19"/>
    </row>
    <row r="74" spans="1:8" x14ac:dyDescent="0.25">
      <c r="A74" s="19" t="s">
        <v>508</v>
      </c>
      <c r="B74" s="19" t="s">
        <v>521</v>
      </c>
      <c r="C74" s="35">
        <f>IFERROR(HLOOKUP(A74,COM_En_Balance!$D$36:$S$54,12,0)/COM_En_Balance!T$47,0)</f>
        <v>0</v>
      </c>
      <c r="F74" s="19" t="s">
        <v>539</v>
      </c>
      <c r="G74" s="30">
        <v>0.2</v>
      </c>
      <c r="H74" s="19"/>
    </row>
    <row r="75" spans="1:8" x14ac:dyDescent="0.25">
      <c r="A75" s="19" t="s">
        <v>522</v>
      </c>
      <c r="B75" s="19" t="s">
        <v>523</v>
      </c>
      <c r="C75" s="35">
        <f>IFERROR(HLOOKUP(A75,COM_En_Balance!$D$36:$S$54,12,0)/COM_En_Balance!T$47,0)</f>
        <v>0</v>
      </c>
      <c r="F75" s="19"/>
      <c r="G75" s="19"/>
      <c r="H75" s="19"/>
    </row>
    <row r="76" spans="1:8" x14ac:dyDescent="0.25">
      <c r="A76" s="32" t="s">
        <v>510</v>
      </c>
      <c r="B76" s="32" t="s">
        <v>524</v>
      </c>
      <c r="C76" s="36">
        <f>IFERROR(HLOOKUP(A76,COM_En_Balance!$D$36:$S$54,12,0)/COM_En_Balance!T$47,0)</f>
        <v>0</v>
      </c>
      <c r="D76" s="164">
        <f>SUM(C65:C76)</f>
        <v>1</v>
      </c>
      <c r="F76" s="28" t="s">
        <v>473</v>
      </c>
      <c r="G76" s="29"/>
      <c r="H76" s="19"/>
    </row>
    <row r="77" spans="1:8" x14ac:dyDescent="0.25">
      <c r="D77" s="19"/>
      <c r="F77" s="19" t="s">
        <v>487</v>
      </c>
      <c r="G77" s="30">
        <v>1</v>
      </c>
      <c r="H77" s="19"/>
    </row>
    <row r="78" spans="1:8" x14ac:dyDescent="0.25">
      <c r="D78" s="19"/>
      <c r="F78" s="19" t="s">
        <v>488</v>
      </c>
      <c r="G78" s="30">
        <v>1</v>
      </c>
      <c r="H78" s="19"/>
    </row>
    <row r="80" spans="1:8" x14ac:dyDescent="0.25">
      <c r="A80" s="32"/>
      <c r="B80" s="28" t="s">
        <v>364</v>
      </c>
      <c r="C80" s="29"/>
    </row>
    <row r="81" spans="1:4" x14ac:dyDescent="0.25">
      <c r="A81" s="19" t="s">
        <v>502</v>
      </c>
      <c r="B81" s="19" t="s">
        <v>540</v>
      </c>
      <c r="C81" s="30">
        <f>IFERROR(HLOOKUP(A81,COM_En_Balance!$D$36:$S$44,6,0)/COM_En_Balance!T$41,0)</f>
        <v>0.41424485437952507</v>
      </c>
    </row>
    <row r="82" spans="1:4" x14ac:dyDescent="0.25">
      <c r="A82" s="19" t="s">
        <v>510</v>
      </c>
      <c r="B82" s="19" t="s">
        <v>541</v>
      </c>
      <c r="C82" s="30">
        <f>IFERROR(HLOOKUP(A82,COM_En_Balance!$D$36:$S$44,6,0)/COM_En_Balance!T$41,0)</f>
        <v>6.6800936549130427E-2</v>
      </c>
    </row>
    <row r="83" spans="1:4" x14ac:dyDescent="0.25">
      <c r="A83" s="19" t="s">
        <v>506</v>
      </c>
      <c r="B83" s="19" t="s">
        <v>542</v>
      </c>
      <c r="C83" s="30">
        <f>IFERROR(HLOOKUP(A83,COM_En_Balance!$D$36:$S$44,6,0)/COM_En_Balance!T$41,0)</f>
        <v>0</v>
      </c>
    </row>
    <row r="84" spans="1:4" x14ac:dyDescent="0.25">
      <c r="A84" s="19" t="s">
        <v>543</v>
      </c>
      <c r="B84" s="19" t="s">
        <v>544</v>
      </c>
      <c r="C84" s="30">
        <f>IFERROR(HLOOKUP(A84,COM_En_Balance!$D$36:$S$44,6,0)/COM_En_Balance!T$41,0)</f>
        <v>0</v>
      </c>
    </row>
    <row r="85" spans="1:4" x14ac:dyDescent="0.25">
      <c r="A85" s="32" t="s">
        <v>508</v>
      </c>
      <c r="B85" s="32" t="s">
        <v>545</v>
      </c>
      <c r="C85" s="31">
        <f>IFERROR(HLOOKUP(A85,COM_En_Balance!$D$36:$S$44,6,0)/COM_En_Balance!T$41,0)</f>
        <v>0.5189542090713446</v>
      </c>
      <c r="D85" s="164">
        <f>SUM(C81:C85)</f>
        <v>1</v>
      </c>
    </row>
    <row r="86" spans="1:4" x14ac:dyDescent="0.25">
      <c r="A86" s="19" t="s">
        <v>502</v>
      </c>
      <c r="B86" s="19" t="s">
        <v>546</v>
      </c>
      <c r="C86" s="30">
        <f>IFERROR(HLOOKUP(A86,COM_En_Balance!$D$36:$S$54,15,0)/COM_En_Balance!T$50,0)</f>
        <v>0.54045758725925541</v>
      </c>
    </row>
    <row r="87" spans="1:4" x14ac:dyDescent="0.25">
      <c r="A87" s="19" t="s">
        <v>510</v>
      </c>
      <c r="B87" s="19" t="s">
        <v>547</v>
      </c>
      <c r="C87" s="30">
        <f>IFERROR(HLOOKUP(A87,COM_En_Balance!$D$36:$S$54,15,0)/COM_En_Balance!T$50,0)</f>
        <v>8.7153944369637332E-2</v>
      </c>
    </row>
    <row r="88" spans="1:4" x14ac:dyDescent="0.25">
      <c r="A88" s="19" t="s">
        <v>506</v>
      </c>
      <c r="B88" s="19" t="s">
        <v>548</v>
      </c>
      <c r="C88" s="30">
        <f>IFERROR(HLOOKUP(A88,COM_En_Balance!$D$36:$S$54,15,0)/COM_En_Balance!T$50,0)</f>
        <v>0</v>
      </c>
    </row>
    <row r="89" spans="1:4" x14ac:dyDescent="0.25">
      <c r="A89" s="19" t="s">
        <v>543</v>
      </c>
      <c r="B89" s="19" t="s">
        <v>549</v>
      </c>
      <c r="C89" s="30">
        <f>IFERROR(HLOOKUP(A89,COM_En_Balance!$D$36:$S$54,15,0)/COM_En_Balance!T$50,0)</f>
        <v>0</v>
      </c>
    </row>
    <row r="90" spans="1:4" x14ac:dyDescent="0.25">
      <c r="A90" s="32" t="s">
        <v>508</v>
      </c>
      <c r="B90" s="32" t="s">
        <v>550</v>
      </c>
      <c r="C90" s="31">
        <f>IFERROR(HLOOKUP(A90,COM_En_Balance!$D$36:$S$54,15,0)/COM_En_Balance!T$50,0)</f>
        <v>0.37238846837110728</v>
      </c>
      <c r="D90" s="164">
        <f>SUM(C86:C90)</f>
        <v>1</v>
      </c>
    </row>
    <row r="216" spans="2:6" x14ac:dyDescent="0.25">
      <c r="B216" s="165"/>
      <c r="C216" s="166"/>
      <c r="D216" s="166"/>
      <c r="E216" s="167"/>
    </row>
    <row r="217" spans="2:6" x14ac:dyDescent="0.25">
      <c r="B217" s="165"/>
      <c r="C217" s="166"/>
      <c r="D217" s="166"/>
      <c r="E217" s="167"/>
      <c r="F217" s="166"/>
    </row>
  </sheetData>
  <phoneticPr fontId="2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4"/>
  <sheetViews>
    <sheetView topLeftCell="B1" zoomScale="70" zoomScaleNormal="70" workbookViewId="0">
      <pane xSplit="4" ySplit="6" topLeftCell="M7" activePane="bottomRight" state="frozen"/>
      <selection activeCell="O50" sqref="O50"/>
      <selection pane="topRight" activeCell="O50" sqref="O50"/>
      <selection pane="bottomLeft" activeCell="O50" sqref="O50"/>
      <selection pane="bottomRight" activeCell="B1" sqref="A1:XFD1048576"/>
    </sheetView>
  </sheetViews>
  <sheetFormatPr defaultRowHeight="13.2" x14ac:dyDescent="0.25"/>
  <cols>
    <col min="1" max="1" width="4" style="45" customWidth="1"/>
    <col min="2" max="2" width="31" style="45" customWidth="1"/>
    <col min="3" max="3" width="86.88671875" style="45" bestFit="1" customWidth="1"/>
    <col min="4" max="4" width="18.109375" style="45" customWidth="1"/>
    <col min="5" max="5" width="25.5546875" style="45" customWidth="1"/>
    <col min="6" max="6" width="14.6640625" style="45" customWidth="1"/>
    <col min="7" max="7" width="10.44140625" style="173" customWidth="1"/>
    <col min="8" max="8" width="23" style="45" customWidth="1"/>
    <col min="9" max="9" width="33.109375" style="45" bestFit="1" customWidth="1"/>
    <col min="10" max="10" width="31" style="45" bestFit="1" customWidth="1"/>
    <col min="11" max="11" width="39.44140625" style="140" bestFit="1" customWidth="1"/>
    <col min="12" max="12" width="9.33203125" style="45" bestFit="1" customWidth="1"/>
    <col min="13" max="13" width="20.6640625" style="45" customWidth="1"/>
    <col min="14" max="14" width="28.5546875" style="45" customWidth="1"/>
    <col min="15" max="15" width="8.88671875" style="45"/>
    <col min="16" max="16" width="40.109375" style="45" customWidth="1"/>
    <col min="17" max="17" width="35.44140625" style="45" customWidth="1"/>
    <col min="18" max="18" width="53.5546875" style="140" customWidth="1"/>
    <col min="19" max="19" width="14.6640625" style="140" customWidth="1"/>
    <col min="20" max="20" width="35" style="140" bestFit="1" customWidth="1"/>
    <col min="21" max="21" width="27.6640625" style="140" bestFit="1" customWidth="1"/>
    <col min="22" max="22" width="17.88671875" style="140" bestFit="1" customWidth="1"/>
    <col min="23" max="16384" width="8.88671875" style="45"/>
  </cols>
  <sheetData>
    <row r="1" spans="1:23" ht="17.399999999999999" x14ac:dyDescent="0.3">
      <c r="A1" s="93" t="s">
        <v>323</v>
      </c>
      <c r="B1" s="93"/>
      <c r="C1" s="93"/>
      <c r="D1" s="93"/>
      <c r="E1" s="93"/>
      <c r="F1" s="93"/>
      <c r="P1" s="6"/>
      <c r="Q1" s="6"/>
      <c r="R1" s="6"/>
      <c r="S1" s="33"/>
      <c r="T1" s="33"/>
      <c r="U1" s="33"/>
      <c r="V1" s="33"/>
      <c r="W1" s="33"/>
    </row>
    <row r="2" spans="1:23" ht="12.75" customHeight="1" x14ac:dyDescent="0.25">
      <c r="A2" s="92"/>
      <c r="F2" s="190">
        <v>3</v>
      </c>
      <c r="O2" s="6" t="s">
        <v>105</v>
      </c>
      <c r="P2" s="6"/>
      <c r="Q2" s="6"/>
      <c r="R2" s="6"/>
      <c r="S2" s="33"/>
      <c r="T2" s="33"/>
      <c r="U2" s="33"/>
      <c r="V2" s="33"/>
      <c r="W2" s="33"/>
    </row>
    <row r="3" spans="1:23" ht="13.8" x14ac:dyDescent="0.25">
      <c r="E3" s="92" t="s">
        <v>291</v>
      </c>
      <c r="O3" s="142" t="s">
        <v>39</v>
      </c>
      <c r="P3" s="142"/>
      <c r="Q3" s="142" t="s">
        <v>276</v>
      </c>
      <c r="R3" s="142"/>
      <c r="S3" s="191"/>
      <c r="T3" s="191"/>
      <c r="U3" s="191"/>
      <c r="V3" s="191"/>
      <c r="W3" s="191"/>
    </row>
    <row r="4" spans="1:23" ht="27.75" customHeight="1" x14ac:dyDescent="0.25">
      <c r="B4" s="95" t="s">
        <v>1</v>
      </c>
      <c r="C4" s="95" t="s">
        <v>42</v>
      </c>
      <c r="D4" s="95" t="s">
        <v>7</v>
      </c>
      <c r="E4" s="192" t="s">
        <v>8</v>
      </c>
      <c r="F4" s="143" t="s">
        <v>405</v>
      </c>
      <c r="H4" s="193" t="s">
        <v>585</v>
      </c>
      <c r="I4" s="193"/>
      <c r="J4" s="193"/>
      <c r="K4" s="193"/>
      <c r="L4" s="193"/>
      <c r="O4" s="170" t="s">
        <v>19</v>
      </c>
      <c r="P4" s="170"/>
      <c r="Q4" s="142"/>
      <c r="R4" s="142"/>
      <c r="S4" s="191"/>
      <c r="T4" s="191"/>
      <c r="U4" s="191"/>
      <c r="V4" s="191"/>
      <c r="W4" s="191"/>
    </row>
    <row r="5" spans="1:23" ht="27" thickBot="1" x14ac:dyDescent="0.3">
      <c r="B5" s="113" t="s">
        <v>296</v>
      </c>
      <c r="C5" s="113" t="s">
        <v>26</v>
      </c>
      <c r="D5" s="112" t="s">
        <v>36</v>
      </c>
      <c r="E5" s="155" t="s">
        <v>37</v>
      </c>
      <c r="F5" s="113"/>
      <c r="H5" s="194" t="s">
        <v>297</v>
      </c>
      <c r="I5" s="143" t="s">
        <v>367</v>
      </c>
      <c r="J5" s="195" t="s">
        <v>300</v>
      </c>
      <c r="K5" s="144" t="s">
        <v>301</v>
      </c>
      <c r="L5" s="143"/>
      <c r="O5" s="147" t="s">
        <v>13</v>
      </c>
      <c r="P5" s="147" t="s">
        <v>34</v>
      </c>
      <c r="Q5" s="147" t="s">
        <v>1</v>
      </c>
      <c r="R5" s="147" t="s">
        <v>2</v>
      </c>
      <c r="S5" s="196" t="s">
        <v>20</v>
      </c>
      <c r="T5" s="196" t="s">
        <v>21</v>
      </c>
      <c r="U5" s="196" t="s">
        <v>22</v>
      </c>
      <c r="V5" s="196" t="s">
        <v>23</v>
      </c>
      <c r="W5" s="196" t="s">
        <v>24</v>
      </c>
    </row>
    <row r="6" spans="1:23" s="207" customFormat="1" ht="19.5" customHeight="1" thickBot="1" x14ac:dyDescent="0.3">
      <c r="B6" s="197" t="s">
        <v>229</v>
      </c>
      <c r="C6" s="197"/>
      <c r="D6" s="197"/>
      <c r="E6" s="198"/>
      <c r="F6" s="199" t="str">
        <f>General!$B$5</f>
        <v>GW</v>
      </c>
      <c r="G6" s="208"/>
      <c r="H6" s="200" t="s">
        <v>335</v>
      </c>
      <c r="I6" s="201" t="str">
        <f>General!$B$2</f>
        <v>PJ</v>
      </c>
      <c r="J6" s="201" t="str">
        <f>General!$B$2</f>
        <v>PJ</v>
      </c>
      <c r="K6" s="200" t="str">
        <f>General!$B$2</f>
        <v>PJ</v>
      </c>
      <c r="L6" s="201"/>
      <c r="M6" s="45"/>
      <c r="O6" s="202" t="s">
        <v>44</v>
      </c>
      <c r="P6" s="202" t="s">
        <v>35</v>
      </c>
      <c r="Q6" s="202" t="s">
        <v>25</v>
      </c>
      <c r="R6" s="202" t="s">
        <v>26</v>
      </c>
      <c r="S6" s="203" t="s">
        <v>27</v>
      </c>
      <c r="T6" s="203" t="s">
        <v>28</v>
      </c>
      <c r="U6" s="203" t="s">
        <v>48</v>
      </c>
      <c r="V6" s="203" t="s">
        <v>47</v>
      </c>
      <c r="W6" s="203" t="s">
        <v>29</v>
      </c>
    </row>
    <row r="7" spans="1:23" ht="15" customHeight="1" x14ac:dyDescent="0.25">
      <c r="A7" s="207"/>
      <c r="B7" s="45" t="str">
        <f t="shared" ref="B7:B29" si="0">Q7</f>
        <v>TER_TP_SH_SUB_E01</v>
      </c>
      <c r="C7" s="45" t="str">
        <f t="shared" ref="C7:C29" si="1">R7</f>
        <v>Private (Commercial) SpHeat Sub-bituminous  (E)</v>
      </c>
      <c r="D7" s="45" t="str">
        <f>Commodities!$D$28</f>
        <v>TERCOASUB</v>
      </c>
      <c r="E7" s="209" t="str">
        <f>Commodities!$Z$10</f>
        <v>TER_TP_SH</v>
      </c>
      <c r="F7" s="210">
        <f>($H7*VLOOKUP(LEFT($B7,6),TER_Stock!$C$16:$E$17,F$2,FALSE)*VLOOKUP($B7,TER_Stock!$B$54:$C$64,2,FALSE)/1000)*(Stk_Mult)</f>
        <v>0</v>
      </c>
      <c r="G7" s="208"/>
      <c r="H7" s="211">
        <v>0.1</v>
      </c>
      <c r="I7" s="212">
        <f>F7*F64*F93</f>
        <v>0</v>
      </c>
      <c r="J7" s="210">
        <f>F7*F64*F93/F35</f>
        <v>0</v>
      </c>
      <c r="K7" s="213">
        <f>VLOOKUP(LEFT($B7,9),COM_En_Balance!$C$36:$S$54,MATCH($D7,COM_En_Balance!$D$36:$S$36,0)+1,FALSE)</f>
        <v>0</v>
      </c>
      <c r="L7" s="214">
        <f t="shared" ref="L7:L8" si="2">SUM(J7:J7)-SUM(K7:K7)</f>
        <v>0</v>
      </c>
      <c r="N7" s="187"/>
      <c r="O7" s="6" t="s">
        <v>230</v>
      </c>
      <c r="P7" s="6"/>
      <c r="Q7" s="6" t="str">
        <f>Commodities!$Z$10&amp;"_"&amp;RIGHT(Commodities!$D$28,3)&amp;"_"&amp;$Q$3&amp;"01"</f>
        <v>TER_TP_SH_SUB_E01</v>
      </c>
      <c r="R7" s="6" t="s">
        <v>406</v>
      </c>
      <c r="S7" s="33" t="str">
        <f>General!$B$2</f>
        <v>PJ</v>
      </c>
      <c r="T7" s="33" t="str">
        <f>General!$B$5</f>
        <v>GW</v>
      </c>
      <c r="U7" s="33" t="s">
        <v>93</v>
      </c>
      <c r="V7" s="33"/>
      <c r="W7" s="33"/>
    </row>
    <row r="8" spans="1:23" ht="13.8" x14ac:dyDescent="0.25">
      <c r="A8" s="207"/>
      <c r="B8" s="45" t="str">
        <f t="shared" si="0"/>
        <v>TER_TP_SH_BIC_E01</v>
      </c>
      <c r="C8" s="45" t="str">
        <f t="shared" si="1"/>
        <v>Private (Commercial) SpHeat Bituminus  (E)</v>
      </c>
      <c r="D8" s="45" t="str">
        <f>Commodities!$D$29</f>
        <v>TERCOABIC</v>
      </c>
      <c r="E8" s="209" t="str">
        <f>Commodities!$Z$10</f>
        <v>TER_TP_SH</v>
      </c>
      <c r="F8" s="210">
        <f>($H8*VLOOKUP(LEFT($B8,6),TER_Stock!$C$16:$E$17,F$2,FALSE)*VLOOKUP($B8,TER_Stock!B55:C65,2,FALSE)/1000)*(Stk_Mult)</f>
        <v>0.74039511999418661</v>
      </c>
      <c r="G8" s="208"/>
      <c r="H8" s="211">
        <v>0.1</v>
      </c>
      <c r="I8" s="212">
        <f t="shared" ref="I8" si="3">F8*F65*F94</f>
        <v>4.8612934800000005</v>
      </c>
      <c r="J8" s="210">
        <f t="shared" ref="J8" si="4">F8*F65*F94/F36</f>
        <v>9.722586960000001</v>
      </c>
      <c r="K8" s="215">
        <f>VLOOKUP(LEFT($B8,9),COM_En_Balance!$C$36:$S$54,MATCH($D8,COM_En_Balance!$D$36:$S$36,0)+1,FALSE)</f>
        <v>9.722586960000001</v>
      </c>
      <c r="L8" s="214">
        <f t="shared" si="2"/>
        <v>0</v>
      </c>
      <c r="O8" s="6"/>
      <c r="P8" s="6"/>
      <c r="Q8" s="6" t="str">
        <f>Commodities!$Z$10&amp;"_"&amp;RIGHT(Commodities!$D$29,3)&amp;"_"&amp;$Q$3&amp;"01"</f>
        <v>TER_TP_SH_BIC_E01</v>
      </c>
      <c r="R8" s="6" t="s">
        <v>407</v>
      </c>
      <c r="S8" s="33" t="str">
        <f>General!$B$2</f>
        <v>PJ</v>
      </c>
      <c r="T8" s="33" t="str">
        <f>General!$B$5</f>
        <v>GW</v>
      </c>
      <c r="U8" s="33" t="s">
        <v>93</v>
      </c>
      <c r="V8" s="33"/>
      <c r="W8" s="33"/>
    </row>
    <row r="9" spans="1:23" ht="15.75" customHeight="1" x14ac:dyDescent="0.25">
      <c r="B9" s="45" t="str">
        <f t="shared" si="0"/>
        <v>TER_TP_SH_BCO_E01</v>
      </c>
      <c r="C9" s="45" t="str">
        <f t="shared" si="1"/>
        <v>Private (Commercial) SpHeat Lignite  (E)</v>
      </c>
      <c r="D9" s="45" t="str">
        <f>Commodities!$D$30</f>
        <v>TERCOABCO</v>
      </c>
      <c r="E9" s="209" t="str">
        <f>Commodities!$Z$10</f>
        <v>TER_TP_SH</v>
      </c>
      <c r="F9" s="210">
        <f>($H9*VLOOKUP(LEFT($B9,6),TER_Stock!$C$16:$E$17,F$2,FALSE)*VLOOKUP($B9,TER_Stock!B56:C66,2,FALSE)/1000)*(Stk_Mult)</f>
        <v>4.3361354026013862E-2</v>
      </c>
      <c r="G9" s="216"/>
      <c r="H9" s="211">
        <v>0.1</v>
      </c>
      <c r="I9" s="212">
        <f t="shared" ref="I9:I17" si="5">F9*F66*F95</f>
        <v>0.31317264000000006</v>
      </c>
      <c r="J9" s="210">
        <f t="shared" ref="J9:J17" si="6">F9*F66*F95/F37</f>
        <v>0.56940480000000004</v>
      </c>
      <c r="K9" s="215">
        <f>VLOOKUP(LEFT($B9,9),COM_En_Balance!$C$36:$S$54,MATCH($D9,COM_En_Balance!$D$36:$S$36,0)+1,FALSE)</f>
        <v>0.56940480000000004</v>
      </c>
      <c r="L9" s="214">
        <f t="shared" ref="L9:L17" si="7">SUM(J9:J9)-SUM(K9:K9)</f>
        <v>0</v>
      </c>
      <c r="O9" s="6"/>
      <c r="P9" s="6"/>
      <c r="Q9" s="6" t="str">
        <f>Commodities!$Z$10&amp;"_"&amp;RIGHT(Commodities!$D$30,3)&amp;"_"&amp;$Q$3&amp;"01"</f>
        <v>TER_TP_SH_BCO_E01</v>
      </c>
      <c r="R9" s="6" t="s">
        <v>408</v>
      </c>
      <c r="S9" s="33" t="str">
        <f>General!$B$2</f>
        <v>PJ</v>
      </c>
      <c r="T9" s="33" t="str">
        <f>General!$B$5</f>
        <v>GW</v>
      </c>
      <c r="U9" s="33" t="s">
        <v>93</v>
      </c>
      <c r="V9" s="33"/>
      <c r="W9" s="33"/>
    </row>
    <row r="10" spans="1:23" ht="13.8" x14ac:dyDescent="0.25">
      <c r="B10" s="45" t="str">
        <f t="shared" si="0"/>
        <v>TER_TP_SH_BKB_E01</v>
      </c>
      <c r="C10" s="45" t="str">
        <f t="shared" si="1"/>
        <v>Private (Commercial) SpHeat BKB  (E)</v>
      </c>
      <c r="D10" s="45" t="str">
        <f>Commodities!$D$31</f>
        <v>TERCOABKB</v>
      </c>
      <c r="E10" s="209" t="str">
        <f>Commodities!$Z$10</f>
        <v>TER_TP_SH</v>
      </c>
      <c r="F10" s="210">
        <f>($H10*VLOOKUP(LEFT($B10,6),TER_Stock!$C$16:$E$17,F$2,FALSE)*VLOOKUP($B10,TER_Stock!B57:C67,2,FALSE)/1000)*(Stk_Mult)</f>
        <v>0</v>
      </c>
      <c r="G10" s="216"/>
      <c r="H10" s="211">
        <v>0.1</v>
      </c>
      <c r="I10" s="212">
        <f t="shared" si="5"/>
        <v>0</v>
      </c>
      <c r="J10" s="210">
        <f t="shared" si="6"/>
        <v>0</v>
      </c>
      <c r="K10" s="215">
        <f>VLOOKUP(LEFT($B10,9),COM_En_Balance!$C$36:$S$54,MATCH($D10,COM_En_Balance!$D$36:$S$36,0)+1,FALSE)</f>
        <v>0</v>
      </c>
      <c r="L10" s="214">
        <f t="shared" si="7"/>
        <v>0</v>
      </c>
      <c r="O10" s="6"/>
      <c r="P10" s="6"/>
      <c r="Q10" s="6" t="str">
        <f>Commodities!$Z$10&amp;"_"&amp;RIGHT(Commodities!$D$24,3)&amp;"_"&amp;$Q$3&amp;"01"</f>
        <v>TER_TP_SH_BKB_E01</v>
      </c>
      <c r="R10" s="6" t="s">
        <v>409</v>
      </c>
      <c r="S10" s="33" t="str">
        <f>General!$B$2</f>
        <v>PJ</v>
      </c>
      <c r="T10" s="33" t="str">
        <f>General!$B$5</f>
        <v>GW</v>
      </c>
      <c r="U10" s="33" t="s">
        <v>93</v>
      </c>
      <c r="V10" s="33"/>
      <c r="W10" s="33"/>
    </row>
    <row r="11" spans="1:23" ht="13.8" x14ac:dyDescent="0.25">
      <c r="B11" s="45" t="str">
        <f t="shared" si="0"/>
        <v>TER_TP_SH_DSL_E01</v>
      </c>
      <c r="C11" s="45" t="str">
        <f t="shared" si="1"/>
        <v>Private (Commercial) SpHeat DSL  (E)</v>
      </c>
      <c r="D11" s="45" t="str">
        <f>Commodities!$D$32</f>
        <v>TEROILDSL</v>
      </c>
      <c r="E11" s="209" t="str">
        <f>Commodities!$Z$10</f>
        <v>TER_TP_SH</v>
      </c>
      <c r="F11" s="210">
        <f>($H11*VLOOKUP(LEFT($B11,6),TER_Stock!$C$16:$E$17,F$2,FALSE)*VLOOKUP($B11,TER_Stock!B58:C68,2,FALSE)/1000)*(Stk_Mult)</f>
        <v>0.21629663655329273</v>
      </c>
      <c r="G11" s="216"/>
      <c r="H11" s="211">
        <v>0.1</v>
      </c>
      <c r="I11" s="212">
        <f t="shared" si="5"/>
        <v>2.1302438400000008</v>
      </c>
      <c r="J11" s="210">
        <f t="shared" si="6"/>
        <v>2.840325120000001</v>
      </c>
      <c r="K11" s="215">
        <f>VLOOKUP(LEFT($B11,9),COM_En_Balance!$C$36:$S$54,MATCH($D11,COM_En_Balance!$D$36:$S$36,0)+1,FALSE)</f>
        <v>2.840325120000001</v>
      </c>
      <c r="L11" s="214">
        <f t="shared" si="7"/>
        <v>0</v>
      </c>
      <c r="O11" s="6"/>
      <c r="P11" s="6"/>
      <c r="Q11" s="6" t="str">
        <f>Commodities!$Z$10&amp;"_"&amp;RIGHT(Commodities!$D$32,3)&amp;"_"&amp;$Q$3&amp;"01"</f>
        <v>TER_TP_SH_DSL_E01</v>
      </c>
      <c r="R11" s="6" t="s">
        <v>410</v>
      </c>
      <c r="S11" s="33" t="str">
        <f>General!$B$2</f>
        <v>PJ</v>
      </c>
      <c r="T11" s="33" t="str">
        <f>General!$B$5</f>
        <v>GW</v>
      </c>
      <c r="U11" s="33" t="s">
        <v>93</v>
      </c>
      <c r="V11" s="33"/>
      <c r="W11" s="33"/>
    </row>
    <row r="12" spans="1:23" ht="13.8" x14ac:dyDescent="0.25">
      <c r="B12" s="45" t="str">
        <f t="shared" si="0"/>
        <v>TER_TP_SH_HFO_E01</v>
      </c>
      <c r="C12" s="45" t="str">
        <f t="shared" si="1"/>
        <v>Private (Commercial) SpHeat HFO  (E)</v>
      </c>
      <c r="D12" s="173" t="str">
        <f>Commodities!$D$35</f>
        <v>TEROILHFO</v>
      </c>
      <c r="E12" s="209" t="str">
        <f>Commodities!$Z$10</f>
        <v>TER_TP_SH</v>
      </c>
      <c r="F12" s="210">
        <f>($H12*VLOOKUP(LEFT($B12,6),TER_Stock!$C$16:$E$17,F$2,FALSE)*VLOOKUP($B12,TER_Stock!B59:C69,2,FALSE)/1000)*(Stk_Mult)</f>
        <v>0.24231344896890097</v>
      </c>
      <c r="G12" s="216"/>
      <c r="H12" s="211">
        <v>0.1</v>
      </c>
      <c r="I12" s="212">
        <f t="shared" si="5"/>
        <v>2.2273775999999996</v>
      </c>
      <c r="J12" s="210">
        <f t="shared" si="6"/>
        <v>3.1819679999999995</v>
      </c>
      <c r="K12" s="215">
        <f>VLOOKUP(LEFT($B12,9),COM_En_Balance!$C$36:$S$54,MATCH($D12,COM_En_Balance!$D$36:$S$36,0)+1,FALSE)</f>
        <v>3.1819679999999999</v>
      </c>
      <c r="L12" s="214">
        <f t="shared" si="7"/>
        <v>0</v>
      </c>
      <c r="O12" s="6"/>
      <c r="P12" s="6"/>
      <c r="Q12" s="6" t="str">
        <f>Commodities!$Z$10&amp;"_"&amp;RIGHT(Commodities!D35,3)&amp;"_"&amp;$Q$3&amp;"01"</f>
        <v>TER_TP_SH_HFO_E01</v>
      </c>
      <c r="R12" s="6" t="s">
        <v>411</v>
      </c>
      <c r="S12" s="33" t="str">
        <f>General!$B$2</f>
        <v>PJ</v>
      </c>
      <c r="T12" s="33" t="str">
        <f>General!$B$5</f>
        <v>GW</v>
      </c>
      <c r="U12" s="33" t="s">
        <v>93</v>
      </c>
      <c r="V12" s="33"/>
      <c r="W12" s="33"/>
    </row>
    <row r="13" spans="1:23" ht="13.8" x14ac:dyDescent="0.25">
      <c r="B13" s="45" t="str">
        <f t="shared" si="0"/>
        <v>TER_TP_SH_GAS_E01</v>
      </c>
      <c r="C13" s="45" t="str">
        <f t="shared" si="1"/>
        <v>Private (Commercial) SpHeat Gas (E)</v>
      </c>
      <c r="D13" s="45" t="str">
        <f>Commodities!$D$37</f>
        <v>TERGASNAT</v>
      </c>
      <c r="E13" s="209" t="str">
        <f>Commodities!$Z$10</f>
        <v>TER_TP_SH</v>
      </c>
      <c r="F13" s="210">
        <f>($H13*VLOOKUP(LEFT($B13,6),TER_Stock!$C$16:$E$17,F$2,FALSE)*VLOOKUP($B13,TER_Stock!B60:C70,2,FALSE)/1000)*(Stk_Mult)</f>
        <v>1.0574900702499279</v>
      </c>
      <c r="G13" s="216"/>
      <c r="H13" s="211">
        <v>0.1</v>
      </c>
      <c r="I13" s="212">
        <f t="shared" si="5"/>
        <v>11.109245741568001</v>
      </c>
      <c r="J13" s="210">
        <f t="shared" si="6"/>
        <v>13.88655717696</v>
      </c>
      <c r="K13" s="215">
        <f>VLOOKUP(LEFT($B13,9),COM_En_Balance!$C$36:$S$54,MATCH($D13,COM_En_Balance!$D$36:$S$36,0)+1,FALSE)</f>
        <v>13.88655717696</v>
      </c>
      <c r="L13" s="214">
        <f t="shared" si="7"/>
        <v>0</v>
      </c>
      <c r="O13" s="9"/>
      <c r="P13" s="9"/>
      <c r="Q13" s="6" t="str">
        <f>Commodities!$Z$10&amp;"_"&amp;LEFT(RIGHT(Commodities!$D$26,6),3)&amp;"_"&amp;$Q$3&amp;"01"</f>
        <v>TER_TP_SH_GAS_E01</v>
      </c>
      <c r="R13" s="6" t="s">
        <v>412</v>
      </c>
      <c r="S13" s="33" t="str">
        <f>General!$B$2</f>
        <v>PJ</v>
      </c>
      <c r="T13" s="33" t="str">
        <f>General!$B$5</f>
        <v>GW</v>
      </c>
      <c r="U13" s="33" t="s">
        <v>93</v>
      </c>
      <c r="V13" s="12"/>
      <c r="W13" s="12"/>
    </row>
    <row r="14" spans="1:23" ht="13.8" x14ac:dyDescent="0.25">
      <c r="B14" s="45" t="str">
        <f t="shared" si="0"/>
        <v>TER_TP_SH_LTH_E01</v>
      </c>
      <c r="C14" s="45" t="str">
        <f t="shared" si="1"/>
        <v>Private (Commercial) SpHeat Dist. Heat (E)</v>
      </c>
      <c r="D14" s="45" t="str">
        <f>Commodities!$D$51</f>
        <v>TERLTH</v>
      </c>
      <c r="E14" s="209" t="str">
        <f>Commodities!$Z$10</f>
        <v>TER_TP_SH</v>
      </c>
      <c r="F14" s="210">
        <f>($H14*VLOOKUP(LEFT($B14,6),TER_Stock!$C$16:$E$17,F$2,FALSE)*VLOOKUP($B14,TER_Stock!B61:C71,2,FALSE)/1000)*(Stk_Mult)</f>
        <v>2.1466420910760742</v>
      </c>
      <c r="G14" s="216"/>
      <c r="H14" s="211">
        <v>0.1</v>
      </c>
      <c r="I14" s="212">
        <f>F14*F71*F100</f>
        <v>23.960553984000004</v>
      </c>
      <c r="J14" s="210">
        <f>F14*F71*F100/F42</f>
        <v>28.188887040000004</v>
      </c>
      <c r="K14" s="215">
        <f>VLOOKUP(LEFT($B14,9),COM_En_Balance!$C$36:$S$54,MATCH($D14,COM_En_Balance!$D$36:$S$36,0)+1,FALSE)</f>
        <v>28.188887040000004</v>
      </c>
      <c r="L14" s="214">
        <f>SUM(J14:J14)-SUM(K14:K14)</f>
        <v>0</v>
      </c>
      <c r="O14" s="9"/>
      <c r="P14" s="9"/>
      <c r="Q14" s="6" t="str">
        <f>Commodities!$Z$10&amp;"_LTH_"&amp;$Q$3&amp;"01"</f>
        <v>TER_TP_SH_LTH_E01</v>
      </c>
      <c r="R14" s="6" t="s">
        <v>413</v>
      </c>
      <c r="S14" s="33" t="str">
        <f>General!$B$2</f>
        <v>PJ</v>
      </c>
      <c r="T14" s="33" t="str">
        <f>General!$B$5</f>
        <v>GW</v>
      </c>
      <c r="U14" s="33" t="s">
        <v>93</v>
      </c>
      <c r="V14" s="12"/>
      <c r="W14" s="12"/>
    </row>
    <row r="15" spans="1:23" ht="13.8" x14ac:dyDescent="0.25">
      <c r="B15" s="45" t="str">
        <f t="shared" si="0"/>
        <v>TER_TP_SH_LOG_E01</v>
      </c>
      <c r="C15" s="45" t="str">
        <f t="shared" si="1"/>
        <v>Private (Commercial) SpHeat Wood  (E)</v>
      </c>
      <c r="D15" s="173" t="str">
        <f>Commodities!$D$38</f>
        <v>TERBIOLOG</v>
      </c>
      <c r="E15" s="209" t="str">
        <f>Commodities!$Z$10</f>
        <v>TER_TP_SH</v>
      </c>
      <c r="F15" s="210">
        <f>($H15*VLOOKUP(LEFT($B15,6),TER_Stock!$C$16:$E$17,F$2,FALSE)*VLOOKUP($B15,TER_Stock!B62:C72,2,FALSE)/1000)*(Stk_Mult)</f>
        <v>0</v>
      </c>
      <c r="G15" s="216"/>
      <c r="H15" s="211">
        <v>0.1</v>
      </c>
      <c r="I15" s="212">
        <f t="shared" si="5"/>
        <v>0</v>
      </c>
      <c r="J15" s="210">
        <f t="shared" si="6"/>
        <v>0</v>
      </c>
      <c r="K15" s="215">
        <f>VLOOKUP(LEFT($B15,9),COM_En_Balance!$C$36:$S$54,MATCH($D15,COM_En_Balance!$D$36:$S$36,0)+1,FALSE)</f>
        <v>0</v>
      </c>
      <c r="L15" s="214">
        <f t="shared" si="7"/>
        <v>0</v>
      </c>
      <c r="O15" s="9"/>
      <c r="P15" s="9"/>
      <c r="Q15" s="6" t="str">
        <f>Commodities!$Z$10&amp;"_"&amp;RIGHT(Commodities!$D$27,3)&amp;"_"&amp;$Q$3&amp;"01"</f>
        <v>TER_TP_SH_LOG_E01</v>
      </c>
      <c r="R15" s="6" t="s">
        <v>414</v>
      </c>
      <c r="S15" s="33" t="str">
        <f>General!$B$2</f>
        <v>PJ</v>
      </c>
      <c r="T15" s="33" t="str">
        <f>General!$B$5</f>
        <v>GW</v>
      </c>
      <c r="U15" s="33" t="s">
        <v>93</v>
      </c>
      <c r="V15" s="12"/>
      <c r="W15" s="12"/>
    </row>
    <row r="16" spans="1:23" ht="13.8" x14ac:dyDescent="0.25">
      <c r="B16" s="45" t="str">
        <f t="shared" si="0"/>
        <v>TER_TP_SH_ELC_E01</v>
      </c>
      <c r="C16" s="45" t="str">
        <f t="shared" si="1"/>
        <v>Private (Commercial) SpHeat Electric Heater (E)</v>
      </c>
      <c r="D16" s="173" t="str">
        <f>Commodities!$D$49</f>
        <v>TERELC</v>
      </c>
      <c r="E16" s="209" t="str">
        <f>Commodities!$Z$10</f>
        <v>TER_TP_SH</v>
      </c>
      <c r="F16" s="210">
        <f>($H16*VLOOKUP(LEFT($B16,6),TER_Stock!$C$16:$E$17,F$2,FALSE)*VLOOKUP($B16,TER_Stock!B63:C73,2,FALSE)/1000)*(Stk_Mult)</f>
        <v>0.18725447696061051</v>
      </c>
      <c r="G16" s="216"/>
      <c r="H16" s="211">
        <v>0.35</v>
      </c>
      <c r="I16" s="212">
        <f t="shared" si="5"/>
        <v>0.63230259398400002</v>
      </c>
      <c r="J16" s="210">
        <f t="shared" si="6"/>
        <v>0.70255843776000004</v>
      </c>
      <c r="K16" s="215">
        <f>VLOOKUP(LEFT($B16,9),COM_En_Balance!$C$36:$S$54,MATCH($D16,COM_En_Balance!$D$36:$S$36,0)+1,FALSE)</f>
        <v>0.70255843776000004</v>
      </c>
      <c r="L16" s="214">
        <f t="shared" si="7"/>
        <v>0</v>
      </c>
      <c r="N16" s="187"/>
      <c r="O16" s="9"/>
      <c r="P16" s="9"/>
      <c r="Q16" s="6" t="str">
        <f>Commodities!$Z$10&amp;"_"&amp;RIGHT(Commodities!$D$48,3)&amp;"_"&amp;$Q$3&amp;"01"</f>
        <v>TER_TP_SH_ELC_E01</v>
      </c>
      <c r="R16" s="6" t="s">
        <v>415</v>
      </c>
      <c r="S16" s="33" t="str">
        <f>General!$B$2</f>
        <v>PJ</v>
      </c>
      <c r="T16" s="33" t="str">
        <f>General!$B$5</f>
        <v>GW</v>
      </c>
      <c r="U16" s="33" t="s">
        <v>93</v>
      </c>
      <c r="V16" s="12"/>
      <c r="W16" s="12"/>
    </row>
    <row r="17" spans="2:23" ht="13.8" x14ac:dyDescent="0.25">
      <c r="B17" s="176" t="str">
        <f t="shared" si="0"/>
        <v>TER_TP_SH_LPG_E01</v>
      </c>
      <c r="C17" s="176" t="str">
        <f t="shared" si="1"/>
        <v>Private (Commercial) SpHeat LPG Boiler (E)</v>
      </c>
      <c r="D17" s="176" t="str">
        <f>Commodities!$D$34</f>
        <v>TEROILLPG</v>
      </c>
      <c r="E17" s="217" t="str">
        <f>Commodities!$Z$10</f>
        <v>TER_TP_SH</v>
      </c>
      <c r="F17" s="218">
        <f>($H17*VLOOKUP(LEFT($B17,6),TER_Stock!$C$16:$E$17,F$2,FALSE)*VLOOKUP($B17,TER_Stock!B64:C74,2,FALSE)/1000)*(Stk_Mult)</f>
        <v>0</v>
      </c>
      <c r="G17" s="216"/>
      <c r="H17" s="219">
        <v>0.1</v>
      </c>
      <c r="I17" s="220">
        <f t="shared" si="5"/>
        <v>0</v>
      </c>
      <c r="J17" s="218">
        <f t="shared" si="6"/>
        <v>0</v>
      </c>
      <c r="K17" s="221">
        <f>VLOOKUP(LEFT($B17,9),COM_En_Balance!$C$36:$S$54,MATCH($D17,COM_En_Balance!$D$36:$S$36,0)+1,FALSE)</f>
        <v>0</v>
      </c>
      <c r="L17" s="222">
        <f t="shared" si="7"/>
        <v>0</v>
      </c>
      <c r="O17" s="204"/>
      <c r="P17" s="204"/>
      <c r="Q17" s="204" t="str">
        <f>Commodities!$Z$10&amp;"_"&amp;RIGHT(Commodities!$D$34,3)&amp;"_"&amp;$Q$3&amp;"01"</f>
        <v>TER_TP_SH_LPG_E01</v>
      </c>
      <c r="R17" s="204" t="s">
        <v>416</v>
      </c>
      <c r="S17" s="120" t="str">
        <f>General!$B$2</f>
        <v>PJ</v>
      </c>
      <c r="T17" s="120" t="str">
        <f>General!$B$5</f>
        <v>GW</v>
      </c>
      <c r="U17" s="120" t="s">
        <v>93</v>
      </c>
      <c r="V17" s="120"/>
      <c r="W17" s="120"/>
    </row>
    <row r="18" spans="2:23" ht="13.8" x14ac:dyDescent="0.25">
      <c r="B18" s="45" t="str">
        <f t="shared" si="0"/>
        <v>TER_TS_SH_SUB_E01</v>
      </c>
      <c r="C18" s="45" t="str">
        <f t="shared" si="1"/>
        <v>Services (Public) SpHeat Sub-bituminous  (E)</v>
      </c>
      <c r="D18" s="45" t="str">
        <f>Commodities!$D$28</f>
        <v>TERCOASUB</v>
      </c>
      <c r="E18" s="209" t="str">
        <f>Commodities!$Z$11</f>
        <v>TER_TS_SH</v>
      </c>
      <c r="F18" s="210">
        <f>($H18*VLOOKUP(LEFT($B18,6),TER_Stock!$C$16:$E$17,F$2,FALSE)*VLOOKUP($B18,TER_Stock!$B$65:$C$76,2,FALSE)/1000)*(Stk_Mult)</f>
        <v>0</v>
      </c>
      <c r="G18" s="216"/>
      <c r="H18" s="211">
        <v>0.1</v>
      </c>
      <c r="I18" s="223">
        <f t="shared" ref="I18:I19" si="8">F18*F75*F104</f>
        <v>0</v>
      </c>
      <c r="J18" s="210">
        <f t="shared" ref="J18:J19" si="9">F18*F75*F104/F46</f>
        <v>0</v>
      </c>
      <c r="K18" s="215">
        <f>VLOOKUP(LEFT($B18,9),COM_En_Balance!$C$36:$S$54,MATCH($D18,COM_En_Balance!$D$36:$S$36,0)+1,FALSE)</f>
        <v>0</v>
      </c>
      <c r="L18" s="214">
        <f t="shared" ref="L18:L19" si="10">SUM(J18:J18)-SUM(K18:K18)</f>
        <v>0</v>
      </c>
      <c r="O18" s="9"/>
      <c r="P18" s="9"/>
      <c r="Q18" s="6" t="str">
        <f>Commodities!$Z$11&amp;"_"&amp;RIGHT(Commodities!$D$28,3)&amp;"_"&amp;$Q$3&amp;"01"</f>
        <v>TER_TS_SH_SUB_E01</v>
      </c>
      <c r="R18" s="6" t="s">
        <v>470</v>
      </c>
      <c r="S18" s="33" t="str">
        <f>General!$B$2</f>
        <v>PJ</v>
      </c>
      <c r="T18" s="33" t="str">
        <f>General!$B$5</f>
        <v>GW</v>
      </c>
      <c r="U18" s="33" t="s">
        <v>93</v>
      </c>
      <c r="V18" s="12"/>
      <c r="W18" s="12"/>
    </row>
    <row r="19" spans="2:23" ht="13.8" x14ac:dyDescent="0.25">
      <c r="B19" s="45" t="str">
        <f t="shared" si="0"/>
        <v>TER_TS_SH_BIC_E01</v>
      </c>
      <c r="C19" s="45" t="str">
        <f t="shared" si="1"/>
        <v>Services (Public) SpHeat Bituminus  (E)</v>
      </c>
      <c r="D19" s="45" t="str">
        <f>Commodities!$D$29</f>
        <v>TERCOABIC</v>
      </c>
      <c r="E19" s="209" t="str">
        <f>Commodities!$Z$11</f>
        <v>TER_TS_SH</v>
      </c>
      <c r="F19" s="210">
        <f>($H19*VLOOKUP(LEFT($B19,6),TER_Stock!$C$16:$E$17,F$2,FALSE)*VLOOKUP($B19,TER_Stock!$B$65:$C$76,2,FALSE)/1000)*(Stk_Mult)</f>
        <v>0.9158156598261058</v>
      </c>
      <c r="G19" s="216"/>
      <c r="H19" s="211">
        <v>0.1</v>
      </c>
      <c r="I19" s="223">
        <f t="shared" si="8"/>
        <v>7.2919402200000016</v>
      </c>
      <c r="J19" s="210">
        <f t="shared" si="9"/>
        <v>14.583880440000003</v>
      </c>
      <c r="K19" s="213">
        <f>VLOOKUP(LEFT($B19,9),COM_En_Balance!$C$36:$S$54,MATCH($D19,COM_En_Balance!$D$36:$S$36,0)+1,FALSE)</f>
        <v>14.583880440000001</v>
      </c>
      <c r="L19" s="214">
        <f t="shared" si="10"/>
        <v>0</v>
      </c>
      <c r="O19" s="9"/>
      <c r="P19" s="9"/>
      <c r="Q19" s="6" t="str">
        <f>Commodities!$Z$11&amp;"_"&amp;RIGHT(Commodities!$D$29,3)&amp;"_"&amp;$Q$3&amp;"01"</f>
        <v>TER_TS_SH_BIC_E01</v>
      </c>
      <c r="R19" s="6" t="s">
        <v>469</v>
      </c>
      <c r="S19" s="33" t="str">
        <f>General!$B$2</f>
        <v>PJ</v>
      </c>
      <c r="T19" s="33" t="str">
        <f>General!$B$5</f>
        <v>GW</v>
      </c>
      <c r="U19" s="33" t="s">
        <v>93</v>
      </c>
      <c r="V19" s="12"/>
      <c r="W19" s="12"/>
    </row>
    <row r="20" spans="2:23" ht="13.8" x14ac:dyDescent="0.25">
      <c r="B20" s="45" t="str">
        <f t="shared" si="0"/>
        <v>TER_TS_SH_BCO_E01</v>
      </c>
      <c r="C20" s="45" t="str">
        <f t="shared" si="1"/>
        <v>Services (Public) SpHeat Lignite  (E)</v>
      </c>
      <c r="D20" s="45" t="str">
        <f>Commodities!$D$30</f>
        <v>TERCOABCO</v>
      </c>
      <c r="E20" s="209" t="str">
        <f>Commodities!$Z$11</f>
        <v>TER_TS_SH</v>
      </c>
      <c r="F20" s="210">
        <f>($H20*VLOOKUP(LEFT($B20,6),TER_Stock!$C$16:$E$17,F$2,FALSE)*VLOOKUP($B20,TER_Stock!$B$65:$C$76,2,FALSE)/1000)*(Stk_Mult)</f>
        <v>5.3634884909288777E-2</v>
      </c>
      <c r="G20" s="216"/>
      <c r="H20" s="211">
        <v>0.1</v>
      </c>
      <c r="I20" s="223">
        <f t="shared" ref="I20:I29" si="11">F20*F77*F106</f>
        <v>0.46975896000000011</v>
      </c>
      <c r="J20" s="210">
        <f t="shared" ref="J20:J29" si="12">F20*F77*F106/F48</f>
        <v>0.85410720000000018</v>
      </c>
      <c r="K20" s="215">
        <f>VLOOKUP(LEFT($B20,9),COM_En_Balance!$C$36:$S$54,MATCH($D20,COM_En_Balance!$D$36:$S$36,0)+1,FALSE)</f>
        <v>0.85410720000000007</v>
      </c>
      <c r="L20" s="214">
        <f t="shared" ref="L20:L29" si="13">SUM(J20:J20)-SUM(K20:K20)</f>
        <v>0</v>
      </c>
      <c r="O20" s="6"/>
      <c r="P20" s="6"/>
      <c r="Q20" s="6" t="str">
        <f>Commodities!$Z$11&amp;"_"&amp;RIGHT(Commodities!$D$30,3)&amp;"_"&amp;$Q$3&amp;"01"</f>
        <v>TER_TS_SH_BCO_E01</v>
      </c>
      <c r="R20" s="6" t="s">
        <v>586</v>
      </c>
      <c r="S20" s="33" t="str">
        <f>General!$B$2</f>
        <v>PJ</v>
      </c>
      <c r="T20" s="33" t="str">
        <f>General!$B$5</f>
        <v>GW</v>
      </c>
      <c r="U20" s="33" t="s">
        <v>93</v>
      </c>
      <c r="V20" s="33"/>
      <c r="W20" s="33"/>
    </row>
    <row r="21" spans="2:23" ht="13.8" x14ac:dyDescent="0.25">
      <c r="B21" s="45" t="str">
        <f t="shared" si="0"/>
        <v>TER_TS_SH_BKB_E01</v>
      </c>
      <c r="C21" s="45" t="str">
        <f t="shared" si="1"/>
        <v>Services (Public) SpHeat BKB  (E)</v>
      </c>
      <c r="D21" s="45" t="str">
        <f>Commodities!$D$31</f>
        <v>TERCOABKB</v>
      </c>
      <c r="E21" s="209" t="str">
        <f>Commodities!$Z$11</f>
        <v>TER_TS_SH</v>
      </c>
      <c r="F21" s="210">
        <f>($H21*VLOOKUP(LEFT($B21,6),TER_Stock!$C$16:$E$17,F$2,FALSE)*VLOOKUP($B21,TER_Stock!$B$65:$C$76,2,FALSE)/1000)*(Stk_Mult)</f>
        <v>0</v>
      </c>
      <c r="G21" s="216"/>
      <c r="H21" s="211">
        <v>0.1</v>
      </c>
      <c r="I21" s="223">
        <f t="shared" si="11"/>
        <v>0</v>
      </c>
      <c r="J21" s="210">
        <f t="shared" si="12"/>
        <v>0</v>
      </c>
      <c r="K21" s="215">
        <f>VLOOKUP(LEFT($B21,9),COM_En_Balance!$C$36:$S$54,MATCH($D21,COM_En_Balance!$D$36:$S$36,0)+1,FALSE)</f>
        <v>0</v>
      </c>
      <c r="L21" s="214">
        <f t="shared" si="13"/>
        <v>0</v>
      </c>
      <c r="O21" s="6"/>
      <c r="P21" s="6"/>
      <c r="Q21" s="6" t="str">
        <f>Commodities!$Z$11&amp;"_"&amp;RIGHT(Commodities!$D$24,3)&amp;"_"&amp;$Q$3&amp;"01"</f>
        <v>TER_TS_SH_BKB_E01</v>
      </c>
      <c r="R21" s="6" t="s">
        <v>417</v>
      </c>
      <c r="S21" s="33" t="str">
        <f>General!$B$2</f>
        <v>PJ</v>
      </c>
      <c r="T21" s="33" t="str">
        <f>General!$B$5</f>
        <v>GW</v>
      </c>
      <c r="U21" s="33" t="s">
        <v>93</v>
      </c>
      <c r="V21" s="33"/>
      <c r="W21" s="33"/>
    </row>
    <row r="22" spans="2:23" ht="13.8" x14ac:dyDescent="0.25">
      <c r="B22" s="45" t="str">
        <f t="shared" si="0"/>
        <v>TER_TS_SH_DSL_E01</v>
      </c>
      <c r="C22" s="45" t="str">
        <f t="shared" si="1"/>
        <v>Services (Public) SpHeat DSL  (E)</v>
      </c>
      <c r="D22" s="45" t="str">
        <f>Commodities!$D$32</f>
        <v>TEROILDSL</v>
      </c>
      <c r="E22" s="209" t="str">
        <f>Commodities!$Z$11</f>
        <v>TER_TS_SH</v>
      </c>
      <c r="F22" s="210">
        <f>($H22*VLOOKUP(LEFT($B22,6),TER_Stock!$C$16:$E$17,F$2,FALSE)*VLOOKUP($B22,TER_Stock!$B$65:$C$76,2,FALSE)/1000)*(Stk_Mult)</f>
        <v>0.26754342590045221</v>
      </c>
      <c r="G22" s="216"/>
      <c r="H22" s="211">
        <v>0.1</v>
      </c>
      <c r="I22" s="223">
        <f t="shared" si="11"/>
        <v>3.1953657599999996</v>
      </c>
      <c r="J22" s="210">
        <f t="shared" si="12"/>
        <v>4.2604876799999998</v>
      </c>
      <c r="K22" s="215">
        <f>VLOOKUP(LEFT($B22,9),COM_En_Balance!$C$36:$S$54,MATCH($D22,COM_En_Balance!$D$36:$S$36,0)+1,FALSE)</f>
        <v>4.2604876799999998</v>
      </c>
      <c r="L22" s="214">
        <f t="shared" si="13"/>
        <v>0</v>
      </c>
      <c r="O22" s="6"/>
      <c r="P22" s="6"/>
      <c r="Q22" s="6" t="str">
        <f>Commodities!$Z$11&amp;"_"&amp;RIGHT(Commodities!$D$32,3)&amp;"_"&amp;$Q$3&amp;"01"</f>
        <v>TER_TS_SH_DSL_E01</v>
      </c>
      <c r="R22" s="6" t="s">
        <v>418</v>
      </c>
      <c r="S22" s="33" t="str">
        <f>General!$B$2</f>
        <v>PJ</v>
      </c>
      <c r="T22" s="33" t="str">
        <f>General!$B$5</f>
        <v>GW</v>
      </c>
      <c r="U22" s="33" t="s">
        <v>93</v>
      </c>
      <c r="V22" s="33"/>
      <c r="W22" s="33"/>
    </row>
    <row r="23" spans="2:23" ht="13.8" x14ac:dyDescent="0.25">
      <c r="B23" s="45" t="str">
        <f t="shared" si="0"/>
        <v>TER_TS_SH_HFO_E01</v>
      </c>
      <c r="C23" s="45" t="str">
        <f t="shared" si="1"/>
        <v>Services (Public) SpHeat HFO  (E)</v>
      </c>
      <c r="D23" s="173" t="str">
        <f>Commodities!$D$35</f>
        <v>TEROILHFO</v>
      </c>
      <c r="E23" s="209" t="str">
        <f>Commodities!$Z$11</f>
        <v>TER_TS_SH</v>
      </c>
      <c r="F23" s="210">
        <f>($H23*VLOOKUP(LEFT($B23,6),TER_Stock!$C$16:$E$17,F$2,FALSE)*VLOOKUP($B23,TER_Stock!$B$65:$C$76,2,FALSE)/1000)*(Stk_Mult)</f>
        <v>0.2997243568460255</v>
      </c>
      <c r="G23" s="216"/>
      <c r="H23" s="211">
        <v>0.1</v>
      </c>
      <c r="I23" s="223">
        <f t="shared" si="11"/>
        <v>3.3410664000000003</v>
      </c>
      <c r="J23" s="210">
        <f t="shared" si="12"/>
        <v>4.772952000000001</v>
      </c>
      <c r="K23" s="215">
        <f>VLOOKUP(LEFT($B23,9),COM_En_Balance!$C$36:$S$54,MATCH($D23,COM_En_Balance!$D$36:$S$36,0)+1,FALSE)</f>
        <v>4.7729520000000001</v>
      </c>
      <c r="L23" s="214">
        <f t="shared" si="13"/>
        <v>0</v>
      </c>
      <c r="O23" s="6"/>
      <c r="P23" s="6"/>
      <c r="Q23" s="6" t="str">
        <f>Commodities!$Z$11&amp;"_"&amp;RIGHT(Commodities!D35,3)&amp;"_"&amp;$Q$3&amp;"01"</f>
        <v>TER_TS_SH_HFO_E01</v>
      </c>
      <c r="R23" s="6" t="s">
        <v>419</v>
      </c>
      <c r="S23" s="33" t="str">
        <f>General!$B$2</f>
        <v>PJ</v>
      </c>
      <c r="T23" s="33" t="str">
        <f>General!$B$5</f>
        <v>GW</v>
      </c>
      <c r="U23" s="33" t="s">
        <v>93</v>
      </c>
      <c r="V23" s="33"/>
      <c r="W23" s="33"/>
    </row>
    <row r="24" spans="2:23" ht="13.8" x14ac:dyDescent="0.25">
      <c r="B24" s="45" t="str">
        <f t="shared" si="0"/>
        <v>TER_TS_SH_GAS_E01</v>
      </c>
      <c r="C24" s="45" t="str">
        <f t="shared" si="1"/>
        <v>Services (Public) SpHeat Gas (E)</v>
      </c>
      <c r="D24" s="45" t="str">
        <f>Commodities!$D$37</f>
        <v>TERGASNAT</v>
      </c>
      <c r="E24" s="209" t="str">
        <f>Commodities!$Z$11</f>
        <v>TER_TS_SH</v>
      </c>
      <c r="F24" s="210">
        <f>($H24*VLOOKUP(LEFT($B24,6),TER_Stock!$C$16:$E$17,F$2,FALSE)*VLOOKUP($B24,TER_Stock!$B$65:$C$76,2,FALSE)/1000)*(Stk_Mult)</f>
        <v>1.3080393701853366</v>
      </c>
      <c r="G24" s="216"/>
      <c r="H24" s="211">
        <v>0.1</v>
      </c>
      <c r="I24" s="223">
        <f t="shared" si="11"/>
        <v>16.663868612352001</v>
      </c>
      <c r="J24" s="210">
        <f t="shared" si="12"/>
        <v>20.829835765439999</v>
      </c>
      <c r="K24" s="215">
        <f>VLOOKUP(LEFT($B24,9),COM_En_Balance!$C$36:$S$54,MATCH($D24,COM_En_Balance!$D$36:$S$36,0)+1,FALSE)</f>
        <v>20.829835765439999</v>
      </c>
      <c r="L24" s="214">
        <f t="shared" si="13"/>
        <v>0</v>
      </c>
      <c r="O24" s="9"/>
      <c r="P24" s="9"/>
      <c r="Q24" s="6" t="str">
        <f>Commodities!$Z$11&amp;"_"&amp;LEFT(RIGHT(Commodities!$D$26,6),3)&amp;"_"&amp;$Q$3&amp;"01"</f>
        <v>TER_TS_SH_GAS_E01</v>
      </c>
      <c r="R24" s="6" t="s">
        <v>420</v>
      </c>
      <c r="S24" s="33" t="str">
        <f>General!$B$2</f>
        <v>PJ</v>
      </c>
      <c r="T24" s="33" t="str">
        <f>General!$B$5</f>
        <v>GW</v>
      </c>
      <c r="U24" s="33" t="s">
        <v>93</v>
      </c>
      <c r="V24" s="12"/>
      <c r="W24" s="12"/>
    </row>
    <row r="25" spans="2:23" ht="13.8" x14ac:dyDescent="0.25">
      <c r="B25" s="45" t="str">
        <f t="shared" si="0"/>
        <v>TER_TS_SH_LTH_E01</v>
      </c>
      <c r="C25" s="45" t="str">
        <f t="shared" si="1"/>
        <v>Services (Public) SpHeat Dist. Heat (E)</v>
      </c>
      <c r="D25" s="45" t="str">
        <f>Commodities!$D$51</f>
        <v>TERLTH</v>
      </c>
      <c r="E25" s="209" t="str">
        <f>Commodities!$Z$11</f>
        <v>TER_TS_SH</v>
      </c>
      <c r="F25" s="210">
        <f>($H25*VLOOKUP(LEFT($B25,6),TER_Stock!$C$16:$E$17,F$2,FALSE)*VLOOKUP($B25,TER_Stock!$B$65:$C$76,2,FALSE)/1000)*(Stk_Mult)</f>
        <v>2.6552423023327911</v>
      </c>
      <c r="G25" s="216"/>
      <c r="H25" s="211">
        <v>0.1</v>
      </c>
      <c r="I25" s="223">
        <f t="shared" si="11"/>
        <v>35.940830976000008</v>
      </c>
      <c r="J25" s="210">
        <f t="shared" si="12"/>
        <v>42.28333056000001</v>
      </c>
      <c r="K25" s="215">
        <f>VLOOKUP(LEFT($B25,9),COM_En_Balance!$C$36:$S$54,MATCH($D25,COM_En_Balance!$D$36:$S$36,0)+1,FALSE)</f>
        <v>42.28333056000001</v>
      </c>
      <c r="L25" s="214">
        <f>SUM(J25:J25)-SUM(K25:K25)</f>
        <v>0</v>
      </c>
      <c r="O25" s="9"/>
      <c r="P25" s="9"/>
      <c r="Q25" s="6" t="str">
        <f>Commodities!$Z$11&amp;"_LTH_"&amp;$Q$3&amp;"01"</f>
        <v>TER_TS_SH_LTH_E01</v>
      </c>
      <c r="R25" s="6" t="s">
        <v>421</v>
      </c>
      <c r="S25" s="33" t="str">
        <f>General!$B$2</f>
        <v>PJ</v>
      </c>
      <c r="T25" s="33" t="str">
        <f>General!$B$5</f>
        <v>GW</v>
      </c>
      <c r="U25" s="33" t="s">
        <v>93</v>
      </c>
      <c r="V25" s="12"/>
      <c r="W25" s="12"/>
    </row>
    <row r="26" spans="2:23" ht="13.8" x14ac:dyDescent="0.25">
      <c r="B26" s="45" t="str">
        <f t="shared" si="0"/>
        <v>TER_TS_SH_LOG_E01</v>
      </c>
      <c r="C26" s="45" t="str">
        <f t="shared" si="1"/>
        <v>Services (Public) SpHeat Wood  (E)</v>
      </c>
      <c r="D26" s="173" t="str">
        <f>Commodities!$D$38</f>
        <v>TERBIOLOG</v>
      </c>
      <c r="E26" s="209" t="str">
        <f>Commodities!$Z$11</f>
        <v>TER_TS_SH</v>
      </c>
      <c r="F26" s="210">
        <f>($H26*VLOOKUP(LEFT($B26,6),TER_Stock!$C$16:$E$17,F$2,FALSE)*VLOOKUP($B26,TER_Stock!$B$65:$C$76,2,FALSE)/1000)*(Stk_Mult)</f>
        <v>0</v>
      </c>
      <c r="G26" s="216"/>
      <c r="H26" s="211">
        <v>0.1</v>
      </c>
      <c r="I26" s="223">
        <f t="shared" si="11"/>
        <v>0</v>
      </c>
      <c r="J26" s="210">
        <f t="shared" si="12"/>
        <v>0</v>
      </c>
      <c r="K26" s="215">
        <f>VLOOKUP(LEFT($B26,9),COM_En_Balance!$C$36:$S$54,MATCH($D26,COM_En_Balance!$D$36:$S$36,0)+1,FALSE)</f>
        <v>0</v>
      </c>
      <c r="L26" s="214">
        <f t="shared" si="13"/>
        <v>0</v>
      </c>
      <c r="O26" s="9"/>
      <c r="P26" s="9"/>
      <c r="Q26" s="6" t="str">
        <f>Commodities!$Z$11&amp;"_"&amp;RIGHT(Commodities!$D$27,3)&amp;"_"&amp;$Q$3&amp;"01"</f>
        <v>TER_TS_SH_LOG_E01</v>
      </c>
      <c r="R26" s="6" t="s">
        <v>422</v>
      </c>
      <c r="S26" s="33" t="str">
        <f>General!$B$2</f>
        <v>PJ</v>
      </c>
      <c r="T26" s="33" t="str">
        <f>General!$B$5</f>
        <v>GW</v>
      </c>
      <c r="U26" s="33" t="s">
        <v>93</v>
      </c>
      <c r="V26" s="12"/>
      <c r="W26" s="12"/>
    </row>
    <row r="27" spans="2:23" ht="13.8" x14ac:dyDescent="0.25">
      <c r="B27" s="173" t="str">
        <f t="shared" si="0"/>
        <v>TER_TS_SH_ELC_E01</v>
      </c>
      <c r="C27" s="173" t="str">
        <f t="shared" si="1"/>
        <v>Services (Public) SpHeat Electric Heater (E)</v>
      </c>
      <c r="D27" s="173" t="str">
        <f>Commodities!$D$49</f>
        <v>TERELC</v>
      </c>
      <c r="E27" s="209" t="str">
        <f>Commodities!$Z$11</f>
        <v>TER_TS_SH</v>
      </c>
      <c r="F27" s="210">
        <f>($H27*VLOOKUP(LEFT($B27,6),TER_Stock!$C$16:$E$17,F$2,FALSE)*VLOOKUP($B27,TER_Stock!$B$65:$C$76,2,FALSE)/1000)*(Stk_Mult)</f>
        <v>0</v>
      </c>
      <c r="G27" s="216"/>
      <c r="H27" s="211">
        <v>0.35</v>
      </c>
      <c r="I27" s="223">
        <f t="shared" si="11"/>
        <v>0</v>
      </c>
      <c r="J27" s="210">
        <f t="shared" si="12"/>
        <v>0</v>
      </c>
      <c r="K27" s="215">
        <f>VLOOKUP(LEFT($B27,9),COM_En_Balance!$C$36:$S$54,MATCH($D27,COM_En_Balance!$D$36:$S$36,0)+1,FALSE)</f>
        <v>0</v>
      </c>
      <c r="L27" s="214">
        <f t="shared" si="13"/>
        <v>0</v>
      </c>
      <c r="O27" s="9"/>
      <c r="P27" s="9"/>
      <c r="Q27" s="6" t="str">
        <f>Commodities!$Z$11&amp;"_"&amp;RIGHT(Commodities!$D$48,3)&amp;"_"&amp;$Q$3&amp;"01"</f>
        <v>TER_TS_SH_ELC_E01</v>
      </c>
      <c r="R27" s="6" t="s">
        <v>425</v>
      </c>
      <c r="S27" s="33" t="str">
        <f>General!$B$2</f>
        <v>PJ</v>
      </c>
      <c r="T27" s="33" t="str">
        <f>General!$B$5</f>
        <v>GW</v>
      </c>
      <c r="U27" s="33" t="s">
        <v>93</v>
      </c>
      <c r="V27" s="12"/>
      <c r="W27" s="12"/>
    </row>
    <row r="28" spans="2:23" ht="13.8" x14ac:dyDescent="0.25">
      <c r="B28" s="173" t="str">
        <f t="shared" si="0"/>
        <v>TER_TS_SH_GEO_E01</v>
      </c>
      <c r="C28" s="173" t="str">
        <f t="shared" si="1"/>
        <v>Services (Public) SpHeat Geothermal (E)</v>
      </c>
      <c r="D28" s="173" t="str">
        <f>Commodities!$D$45</f>
        <v>TERRESGEO</v>
      </c>
      <c r="E28" s="209" t="str">
        <f>Commodities!$Z$11</f>
        <v>TER_TS_SH</v>
      </c>
      <c r="F28" s="210">
        <f>($H28*VLOOKUP(LEFT($B28,6),TER_Stock!$C$16:$E$17,F$2,FALSE)*VLOOKUP($B28,TER_Stock!$B$65:$C$76,2,FALSE)/1000)*(Stk_Mult)</f>
        <v>0</v>
      </c>
      <c r="G28" s="216"/>
      <c r="H28" s="224">
        <v>0.15</v>
      </c>
      <c r="I28" s="212">
        <f t="shared" si="11"/>
        <v>0</v>
      </c>
      <c r="J28" s="210">
        <f t="shared" si="12"/>
        <v>0</v>
      </c>
      <c r="K28" s="215">
        <f>VLOOKUP(LEFT($B28,9),COM_En_Balance!$C$36:$S$54,MATCH($D28,COM_En_Balance!$D$36:$S$36,0)+1,FALSE)</f>
        <v>0</v>
      </c>
      <c r="L28" s="214">
        <f t="shared" si="13"/>
        <v>0</v>
      </c>
      <c r="N28" s="187"/>
      <c r="O28" s="9"/>
      <c r="P28" s="9"/>
      <c r="Q28" s="6" t="str">
        <f>Commodities!$Z$11&amp;"_"&amp;RIGHT(Commodities!D22,3)&amp;"_"&amp;$Q$3&amp;"01"</f>
        <v>TER_TS_SH_GEO_E01</v>
      </c>
      <c r="R28" s="6" t="s">
        <v>423</v>
      </c>
      <c r="S28" s="33" t="str">
        <f>General!$B$2</f>
        <v>PJ</v>
      </c>
      <c r="T28" s="33" t="str">
        <f>General!$B$5</f>
        <v>GW</v>
      </c>
      <c r="U28" s="33" t="s">
        <v>93</v>
      </c>
      <c r="V28" s="12"/>
      <c r="W28" s="12"/>
    </row>
    <row r="29" spans="2:23" ht="13.8" x14ac:dyDescent="0.25">
      <c r="B29" s="176" t="str">
        <f t="shared" si="0"/>
        <v>TER_TS_SH_LPG_E01</v>
      </c>
      <c r="C29" s="176" t="str">
        <f t="shared" si="1"/>
        <v>Services (Public) SpHeat LPG Boiler (E)</v>
      </c>
      <c r="D29" s="176" t="str">
        <f>Commodities!$D$34</f>
        <v>TEROILLPG</v>
      </c>
      <c r="E29" s="217" t="str">
        <f>Commodities!$Z$11</f>
        <v>TER_TS_SH</v>
      </c>
      <c r="F29" s="218">
        <f>($H29*VLOOKUP(LEFT($B29,6),TER_Stock!$C$16:$E$17,F$2,FALSE)*VLOOKUP($B29,TER_Stock!$B$65:$C$76,2,FALSE)/1000)*(Stk_Mult)</f>
        <v>0</v>
      </c>
      <c r="G29" s="216"/>
      <c r="H29" s="219">
        <v>0.1</v>
      </c>
      <c r="I29" s="220">
        <f t="shared" si="11"/>
        <v>0</v>
      </c>
      <c r="J29" s="218">
        <f t="shared" si="12"/>
        <v>0</v>
      </c>
      <c r="K29" s="221">
        <f>VLOOKUP(LEFT($B29,9),COM_En_Balance!$C$36:$S$54,MATCH($D29,COM_En_Balance!$D$36:$S$36,0)+1,FALSE)</f>
        <v>0</v>
      </c>
      <c r="L29" s="222">
        <f t="shared" si="13"/>
        <v>0</v>
      </c>
      <c r="O29" s="204"/>
      <c r="P29" s="204"/>
      <c r="Q29" s="204" t="str">
        <f>Commodities!$Z$11&amp;"_"&amp;RIGHT(Commodities!$D$34,3)&amp;"_"&amp;$Q$3&amp;"01"</f>
        <v>TER_TS_SH_LPG_E01</v>
      </c>
      <c r="R29" s="204" t="s">
        <v>424</v>
      </c>
      <c r="S29" s="120" t="str">
        <f>General!$B$2</f>
        <v>PJ</v>
      </c>
      <c r="T29" s="120" t="str">
        <f>General!$B$5</f>
        <v>GW</v>
      </c>
      <c r="U29" s="120" t="s">
        <v>93</v>
      </c>
      <c r="V29" s="120"/>
      <c r="W29" s="120"/>
    </row>
    <row r="30" spans="2:23" x14ac:dyDescent="0.25">
      <c r="D30" s="173"/>
      <c r="E30" s="173"/>
      <c r="F30" s="183"/>
      <c r="R30" s="45"/>
      <c r="W30" s="140"/>
    </row>
    <row r="31" spans="2:23" ht="13.8" x14ac:dyDescent="0.25">
      <c r="E31" s="92" t="s">
        <v>292</v>
      </c>
      <c r="R31" s="45"/>
      <c r="W31" s="140"/>
    </row>
    <row r="32" spans="2:23" ht="13.8" x14ac:dyDescent="0.25">
      <c r="B32" s="95" t="s">
        <v>1</v>
      </c>
      <c r="C32" s="95" t="s">
        <v>42</v>
      </c>
      <c r="D32" s="95" t="s">
        <v>7</v>
      </c>
      <c r="E32" s="95" t="s">
        <v>0</v>
      </c>
      <c r="F32" s="95" t="s">
        <v>405</v>
      </c>
    </row>
    <row r="33" spans="2:9" ht="14.4" thickBot="1" x14ac:dyDescent="0.3">
      <c r="B33" s="113" t="s">
        <v>296</v>
      </c>
      <c r="C33" s="113" t="s">
        <v>26</v>
      </c>
      <c r="D33" s="112" t="s">
        <v>36</v>
      </c>
      <c r="E33" s="155" t="s">
        <v>37</v>
      </c>
      <c r="F33" s="113"/>
      <c r="I33" s="225"/>
    </row>
    <row r="34" spans="2:9" ht="14.4" thickBot="1" x14ac:dyDescent="0.3">
      <c r="B34" s="113" t="s">
        <v>229</v>
      </c>
      <c r="C34" s="113"/>
      <c r="D34" s="113"/>
      <c r="E34" s="155"/>
      <c r="F34" s="205" t="s">
        <v>240</v>
      </c>
      <c r="I34" s="225"/>
    </row>
    <row r="35" spans="2:9" x14ac:dyDescent="0.25">
      <c r="B35" s="45" t="str">
        <f t="shared" ref="B35:B57" si="14">Q7</f>
        <v>TER_TP_SH_SUB_E01</v>
      </c>
      <c r="C35" s="45" t="str">
        <f t="shared" ref="C35:C57" si="15">R7</f>
        <v>Private (Commercial) SpHeat Sub-bituminous  (E)</v>
      </c>
      <c r="E35" s="209" t="str">
        <f>Commodities!$Z$10</f>
        <v>TER_TP_SH</v>
      </c>
      <c r="F35" s="183">
        <v>0.5</v>
      </c>
      <c r="I35" s="225"/>
    </row>
    <row r="36" spans="2:9" x14ac:dyDescent="0.25">
      <c r="B36" s="45" t="str">
        <f t="shared" si="14"/>
        <v>TER_TP_SH_BIC_E01</v>
      </c>
      <c r="C36" s="45" t="str">
        <f t="shared" si="15"/>
        <v>Private (Commercial) SpHeat Bituminus  (E)</v>
      </c>
      <c r="E36" s="209" t="str">
        <f>Commodities!$Z$10</f>
        <v>TER_TP_SH</v>
      </c>
      <c r="F36" s="183">
        <v>0.5</v>
      </c>
      <c r="I36" s="225"/>
    </row>
    <row r="37" spans="2:9" x14ac:dyDescent="0.25">
      <c r="B37" s="45" t="str">
        <f t="shared" si="14"/>
        <v>TER_TP_SH_BCO_E01</v>
      </c>
      <c r="C37" s="45" t="str">
        <f t="shared" si="15"/>
        <v>Private (Commercial) SpHeat Lignite  (E)</v>
      </c>
      <c r="E37" s="209" t="str">
        <f>Commodities!$Z$10</f>
        <v>TER_TP_SH</v>
      </c>
      <c r="F37" s="183">
        <v>0.55000000000000004</v>
      </c>
      <c r="H37" s="226"/>
      <c r="I37" s="225"/>
    </row>
    <row r="38" spans="2:9" x14ac:dyDescent="0.25">
      <c r="B38" s="45" t="str">
        <f t="shared" si="14"/>
        <v>TER_TP_SH_BKB_E01</v>
      </c>
      <c r="C38" s="45" t="str">
        <f t="shared" si="15"/>
        <v>Private (Commercial) SpHeat BKB  (E)</v>
      </c>
      <c r="E38" s="209" t="str">
        <f>Commodities!$Z$10</f>
        <v>TER_TP_SH</v>
      </c>
      <c r="F38" s="183">
        <v>0.6</v>
      </c>
      <c r="I38" s="225"/>
    </row>
    <row r="39" spans="2:9" x14ac:dyDescent="0.25">
      <c r="B39" s="45" t="str">
        <f t="shared" si="14"/>
        <v>TER_TP_SH_DSL_E01</v>
      </c>
      <c r="C39" s="45" t="str">
        <f t="shared" si="15"/>
        <v>Private (Commercial) SpHeat DSL  (E)</v>
      </c>
      <c r="E39" s="209" t="str">
        <f>Commodities!$Z$10</f>
        <v>TER_TP_SH</v>
      </c>
      <c r="F39" s="183">
        <v>0.75</v>
      </c>
      <c r="I39" s="225"/>
    </row>
    <row r="40" spans="2:9" x14ac:dyDescent="0.25">
      <c r="B40" s="45" t="str">
        <f t="shared" si="14"/>
        <v>TER_TP_SH_HFO_E01</v>
      </c>
      <c r="C40" s="45" t="str">
        <f t="shared" si="15"/>
        <v>Private (Commercial) SpHeat HFO  (E)</v>
      </c>
      <c r="D40" s="173"/>
      <c r="E40" s="209" t="str">
        <f>Commodities!$Z$10</f>
        <v>TER_TP_SH</v>
      </c>
      <c r="F40" s="183">
        <v>0.7</v>
      </c>
      <c r="I40" s="225"/>
    </row>
    <row r="41" spans="2:9" x14ac:dyDescent="0.25">
      <c r="B41" s="45" t="str">
        <f t="shared" si="14"/>
        <v>TER_TP_SH_GAS_E01</v>
      </c>
      <c r="C41" s="45" t="str">
        <f t="shared" si="15"/>
        <v>Private (Commercial) SpHeat Gas (E)</v>
      </c>
      <c r="E41" s="209" t="str">
        <f>Commodities!$Z$10</f>
        <v>TER_TP_SH</v>
      </c>
      <c r="F41" s="183">
        <v>0.8</v>
      </c>
      <c r="I41" s="225"/>
    </row>
    <row r="42" spans="2:9" x14ac:dyDescent="0.25">
      <c r="B42" s="45" t="str">
        <f t="shared" si="14"/>
        <v>TER_TP_SH_LTH_E01</v>
      </c>
      <c r="C42" s="45" t="str">
        <f t="shared" si="15"/>
        <v>Private (Commercial) SpHeat Dist. Heat (E)</v>
      </c>
      <c r="E42" s="209" t="str">
        <f>Commodities!$Z$10</f>
        <v>TER_TP_SH</v>
      </c>
      <c r="F42" s="183">
        <v>0.85</v>
      </c>
      <c r="I42" s="225"/>
    </row>
    <row r="43" spans="2:9" x14ac:dyDescent="0.25">
      <c r="B43" s="45" t="str">
        <f t="shared" si="14"/>
        <v>TER_TP_SH_LOG_E01</v>
      </c>
      <c r="C43" s="45" t="str">
        <f t="shared" si="15"/>
        <v>Private (Commercial) SpHeat Wood  (E)</v>
      </c>
      <c r="D43" s="173"/>
      <c r="E43" s="209" t="str">
        <f>Commodities!$Z$10</f>
        <v>TER_TP_SH</v>
      </c>
      <c r="F43" s="183">
        <v>0.55000000000000004</v>
      </c>
      <c r="I43" s="225"/>
    </row>
    <row r="44" spans="2:9" x14ac:dyDescent="0.25">
      <c r="B44" s="45" t="str">
        <f t="shared" si="14"/>
        <v>TER_TP_SH_ELC_E01</v>
      </c>
      <c r="C44" s="45" t="str">
        <f t="shared" si="15"/>
        <v>Private (Commercial) SpHeat Electric Heater (E)</v>
      </c>
      <c r="D44" s="173"/>
      <c r="E44" s="209" t="str">
        <f>Commodities!$Z$10</f>
        <v>TER_TP_SH</v>
      </c>
      <c r="F44" s="183">
        <v>0.9</v>
      </c>
      <c r="I44" s="225"/>
    </row>
    <row r="45" spans="2:9" x14ac:dyDescent="0.25">
      <c r="B45" s="176" t="str">
        <f t="shared" si="14"/>
        <v>TER_TP_SH_LPG_E01</v>
      </c>
      <c r="C45" s="176" t="str">
        <f t="shared" si="15"/>
        <v>Private (Commercial) SpHeat LPG Boiler (E)</v>
      </c>
      <c r="D45" s="176"/>
      <c r="E45" s="217" t="str">
        <f>Commodities!$Z$10</f>
        <v>TER_TP_SH</v>
      </c>
      <c r="F45" s="227">
        <v>0.8</v>
      </c>
      <c r="I45" s="225"/>
    </row>
    <row r="46" spans="2:9" x14ac:dyDescent="0.25">
      <c r="B46" s="45" t="str">
        <f t="shared" si="14"/>
        <v>TER_TS_SH_SUB_E01</v>
      </c>
      <c r="C46" s="45" t="str">
        <f t="shared" si="15"/>
        <v>Services (Public) SpHeat Sub-bituminous  (E)</v>
      </c>
      <c r="E46" s="209" t="str">
        <f>Commodities!$Z$11</f>
        <v>TER_TS_SH</v>
      </c>
      <c r="F46" s="183">
        <f>F35</f>
        <v>0.5</v>
      </c>
      <c r="I46" s="225"/>
    </row>
    <row r="47" spans="2:9" x14ac:dyDescent="0.25">
      <c r="B47" s="45" t="str">
        <f t="shared" si="14"/>
        <v>TER_TS_SH_BIC_E01</v>
      </c>
      <c r="C47" s="45" t="str">
        <f t="shared" si="15"/>
        <v>Services (Public) SpHeat Bituminus  (E)</v>
      </c>
      <c r="E47" s="209" t="str">
        <f>Commodities!$Z$11</f>
        <v>TER_TS_SH</v>
      </c>
      <c r="F47" s="183">
        <f t="shared" ref="F47:F55" si="16">F36</f>
        <v>0.5</v>
      </c>
      <c r="I47" s="225"/>
    </row>
    <row r="48" spans="2:9" x14ac:dyDescent="0.25">
      <c r="B48" s="45" t="str">
        <f t="shared" si="14"/>
        <v>TER_TS_SH_BCO_E01</v>
      </c>
      <c r="C48" s="45" t="str">
        <f t="shared" si="15"/>
        <v>Services (Public) SpHeat Lignite  (E)</v>
      </c>
      <c r="E48" s="209" t="str">
        <f>Commodities!$Z$11</f>
        <v>TER_TS_SH</v>
      </c>
      <c r="F48" s="183">
        <f t="shared" si="16"/>
        <v>0.55000000000000004</v>
      </c>
      <c r="I48" s="225"/>
    </row>
    <row r="49" spans="2:9" x14ac:dyDescent="0.25">
      <c r="B49" s="45" t="str">
        <f t="shared" si="14"/>
        <v>TER_TS_SH_BKB_E01</v>
      </c>
      <c r="C49" s="45" t="str">
        <f t="shared" si="15"/>
        <v>Services (Public) SpHeat BKB  (E)</v>
      </c>
      <c r="E49" s="209" t="str">
        <f>Commodities!$Z$11</f>
        <v>TER_TS_SH</v>
      </c>
      <c r="F49" s="183">
        <f t="shared" si="16"/>
        <v>0.6</v>
      </c>
      <c r="I49" s="225"/>
    </row>
    <row r="50" spans="2:9" x14ac:dyDescent="0.25">
      <c r="B50" s="45" t="str">
        <f t="shared" si="14"/>
        <v>TER_TS_SH_DSL_E01</v>
      </c>
      <c r="C50" s="45" t="str">
        <f t="shared" si="15"/>
        <v>Services (Public) SpHeat DSL  (E)</v>
      </c>
      <c r="E50" s="209" t="str">
        <f>Commodities!$Z$11</f>
        <v>TER_TS_SH</v>
      </c>
      <c r="F50" s="183">
        <f t="shared" si="16"/>
        <v>0.75</v>
      </c>
      <c r="I50" s="225"/>
    </row>
    <row r="51" spans="2:9" x14ac:dyDescent="0.25">
      <c r="B51" s="45" t="str">
        <f t="shared" si="14"/>
        <v>TER_TS_SH_HFO_E01</v>
      </c>
      <c r="C51" s="45" t="str">
        <f t="shared" si="15"/>
        <v>Services (Public) SpHeat HFO  (E)</v>
      </c>
      <c r="D51" s="173"/>
      <c r="E51" s="209" t="str">
        <f>Commodities!$Z$11</f>
        <v>TER_TS_SH</v>
      </c>
      <c r="F51" s="183">
        <f t="shared" si="16"/>
        <v>0.7</v>
      </c>
      <c r="I51" s="225"/>
    </row>
    <row r="52" spans="2:9" x14ac:dyDescent="0.25">
      <c r="B52" s="45" t="str">
        <f t="shared" si="14"/>
        <v>TER_TS_SH_GAS_E01</v>
      </c>
      <c r="C52" s="45" t="str">
        <f t="shared" si="15"/>
        <v>Services (Public) SpHeat Gas (E)</v>
      </c>
      <c r="E52" s="209" t="str">
        <f>Commodities!$Z$11</f>
        <v>TER_TS_SH</v>
      </c>
      <c r="F52" s="183">
        <f t="shared" si="16"/>
        <v>0.8</v>
      </c>
      <c r="I52" s="225"/>
    </row>
    <row r="53" spans="2:9" x14ac:dyDescent="0.25">
      <c r="B53" s="45" t="str">
        <f t="shared" si="14"/>
        <v>TER_TS_SH_LTH_E01</v>
      </c>
      <c r="C53" s="45" t="str">
        <f t="shared" si="15"/>
        <v>Services (Public) SpHeat Dist. Heat (E)</v>
      </c>
      <c r="E53" s="209" t="str">
        <f>Commodities!$Z$11</f>
        <v>TER_TS_SH</v>
      </c>
      <c r="F53" s="183">
        <f t="shared" si="16"/>
        <v>0.85</v>
      </c>
      <c r="I53" s="225"/>
    </row>
    <row r="54" spans="2:9" x14ac:dyDescent="0.25">
      <c r="B54" s="45" t="str">
        <f t="shared" si="14"/>
        <v>TER_TS_SH_LOG_E01</v>
      </c>
      <c r="C54" s="45" t="str">
        <f t="shared" si="15"/>
        <v>Services (Public) SpHeat Wood  (E)</v>
      </c>
      <c r="D54" s="173"/>
      <c r="E54" s="209" t="str">
        <f>Commodities!$Z$11</f>
        <v>TER_TS_SH</v>
      </c>
      <c r="F54" s="183">
        <f t="shared" si="16"/>
        <v>0.55000000000000004</v>
      </c>
    </row>
    <row r="55" spans="2:9" ht="12.6" customHeight="1" x14ac:dyDescent="0.25">
      <c r="B55" s="45" t="str">
        <f t="shared" si="14"/>
        <v>TER_TS_SH_ELC_E01</v>
      </c>
      <c r="C55" s="45" t="str">
        <f t="shared" si="15"/>
        <v>Services (Public) SpHeat Electric Heater (E)</v>
      </c>
      <c r="D55" s="173"/>
      <c r="E55" s="209" t="str">
        <f>Commodities!$Z$11</f>
        <v>TER_TS_SH</v>
      </c>
      <c r="F55" s="183">
        <f t="shared" si="16"/>
        <v>0.9</v>
      </c>
    </row>
    <row r="56" spans="2:9" ht="12.6" customHeight="1" x14ac:dyDescent="0.25">
      <c r="B56" s="45" t="str">
        <f t="shared" si="14"/>
        <v>TER_TS_SH_GEO_E01</v>
      </c>
      <c r="C56" s="45" t="str">
        <f t="shared" si="15"/>
        <v>Services (Public) SpHeat Geothermal (E)</v>
      </c>
      <c r="D56" s="173"/>
      <c r="E56" s="209" t="str">
        <f>Commodities!$Z$11</f>
        <v>TER_TS_SH</v>
      </c>
      <c r="F56" s="183">
        <v>3</v>
      </c>
    </row>
    <row r="57" spans="2:9" ht="12.6" customHeight="1" x14ac:dyDescent="0.25">
      <c r="B57" s="176" t="str">
        <f t="shared" si="14"/>
        <v>TER_TS_SH_LPG_E01</v>
      </c>
      <c r="C57" s="176" t="str">
        <f t="shared" si="15"/>
        <v>Services (Public) SpHeat LPG Boiler (E)</v>
      </c>
      <c r="D57" s="176"/>
      <c r="E57" s="217" t="str">
        <f>Commodities!$Z$11</f>
        <v>TER_TS_SH</v>
      </c>
      <c r="F57" s="227">
        <f>F44</f>
        <v>0.9</v>
      </c>
    </row>
    <row r="58" spans="2:9" ht="12.6" customHeight="1" x14ac:dyDescent="0.25">
      <c r="D58" s="173"/>
      <c r="E58" s="173"/>
      <c r="F58" s="183"/>
    </row>
    <row r="59" spans="2:9" ht="12.6" customHeight="1" x14ac:dyDescent="0.25"/>
    <row r="60" spans="2:9" ht="12.6" customHeight="1" x14ac:dyDescent="0.25">
      <c r="E60" s="92" t="s">
        <v>293</v>
      </c>
    </row>
    <row r="61" spans="2:9" ht="12.6" customHeight="1" x14ac:dyDescent="0.25">
      <c r="B61" s="95" t="s">
        <v>1</v>
      </c>
      <c r="C61" s="95" t="s">
        <v>42</v>
      </c>
      <c r="D61" s="95" t="s">
        <v>7</v>
      </c>
      <c r="E61" s="95" t="s">
        <v>0</v>
      </c>
      <c r="F61" s="95" t="s">
        <v>405</v>
      </c>
    </row>
    <row r="62" spans="2:9" ht="12.6" customHeight="1" thickBot="1" x14ac:dyDescent="0.3">
      <c r="B62" s="113" t="s">
        <v>296</v>
      </c>
      <c r="C62" s="113" t="s">
        <v>26</v>
      </c>
      <c r="D62" s="112" t="s">
        <v>36</v>
      </c>
      <c r="E62" s="155"/>
      <c r="F62" s="113"/>
    </row>
    <row r="63" spans="2:9" ht="12.6" customHeight="1" thickBot="1" x14ac:dyDescent="0.3">
      <c r="B63" s="113" t="s">
        <v>229</v>
      </c>
      <c r="C63" s="113"/>
      <c r="D63" s="113"/>
      <c r="E63" s="155"/>
      <c r="F63" s="112"/>
    </row>
    <row r="64" spans="2:9" ht="12.6" customHeight="1" x14ac:dyDescent="0.25">
      <c r="B64" s="45" t="str">
        <f t="shared" ref="B64:B86" si="17">Q7</f>
        <v>TER_TP_SH_SUB_E01</v>
      </c>
      <c r="C64" s="45" t="str">
        <f t="shared" ref="C64:C86" si="18">R7</f>
        <v>Private (Commercial) SpHeat Sub-bituminous  (E)</v>
      </c>
      <c r="E64" s="209" t="str">
        <f>Commodities!$Z$10</f>
        <v>TER_TP_SH</v>
      </c>
      <c r="F64" s="183">
        <v>31.536000000000001</v>
      </c>
    </row>
    <row r="65" spans="2:6" ht="12.6" customHeight="1" x14ac:dyDescent="0.25">
      <c r="B65" s="45" t="str">
        <f t="shared" si="17"/>
        <v>TER_TP_SH_BIC_E01</v>
      </c>
      <c r="C65" s="45" t="str">
        <f t="shared" si="18"/>
        <v>Private (Commercial) SpHeat Bituminus  (E)</v>
      </c>
      <c r="E65" s="209" t="str">
        <f>Commodities!$Z$10</f>
        <v>TER_TP_SH</v>
      </c>
      <c r="F65" s="183">
        <v>31.536000000000001</v>
      </c>
    </row>
    <row r="66" spans="2:6" ht="12.6" customHeight="1" x14ac:dyDescent="0.25">
      <c r="B66" s="45" t="str">
        <f t="shared" si="17"/>
        <v>TER_TP_SH_BCO_E01</v>
      </c>
      <c r="C66" s="45" t="str">
        <f t="shared" si="18"/>
        <v>Private (Commercial) SpHeat Lignite  (E)</v>
      </c>
      <c r="E66" s="209" t="str">
        <f>Commodities!$Z$10</f>
        <v>TER_TP_SH</v>
      </c>
      <c r="F66" s="183">
        <v>31.536000000000001</v>
      </c>
    </row>
    <row r="67" spans="2:6" ht="12.6" customHeight="1" x14ac:dyDescent="0.25">
      <c r="B67" s="45" t="str">
        <f t="shared" si="17"/>
        <v>TER_TP_SH_BKB_E01</v>
      </c>
      <c r="C67" s="45" t="str">
        <f t="shared" si="18"/>
        <v>Private (Commercial) SpHeat BKB  (E)</v>
      </c>
      <c r="E67" s="209" t="str">
        <f>Commodities!$Z$10</f>
        <v>TER_TP_SH</v>
      </c>
      <c r="F67" s="183">
        <v>31.536000000000001</v>
      </c>
    </row>
    <row r="68" spans="2:6" ht="12.6" customHeight="1" x14ac:dyDescent="0.25">
      <c r="B68" s="45" t="str">
        <f t="shared" si="17"/>
        <v>TER_TP_SH_DSL_E01</v>
      </c>
      <c r="C68" s="45" t="str">
        <f t="shared" si="18"/>
        <v>Private (Commercial) SpHeat DSL  (E)</v>
      </c>
      <c r="E68" s="209" t="str">
        <f>Commodities!$Z$10</f>
        <v>TER_TP_SH</v>
      </c>
      <c r="F68" s="183">
        <v>31.536000000000001</v>
      </c>
    </row>
    <row r="69" spans="2:6" ht="12.6" customHeight="1" x14ac:dyDescent="0.25">
      <c r="B69" s="45" t="str">
        <f t="shared" si="17"/>
        <v>TER_TP_SH_HFO_E01</v>
      </c>
      <c r="C69" s="45" t="str">
        <f t="shared" si="18"/>
        <v>Private (Commercial) SpHeat HFO  (E)</v>
      </c>
      <c r="D69" s="173"/>
      <c r="E69" s="209" t="str">
        <f>Commodities!$Z$10</f>
        <v>TER_TP_SH</v>
      </c>
      <c r="F69" s="183">
        <v>31.536000000000001</v>
      </c>
    </row>
    <row r="70" spans="2:6" ht="12.6" customHeight="1" x14ac:dyDescent="0.25">
      <c r="B70" s="45" t="str">
        <f t="shared" si="17"/>
        <v>TER_TP_SH_GAS_E01</v>
      </c>
      <c r="C70" s="45" t="str">
        <f t="shared" si="18"/>
        <v>Private (Commercial) SpHeat Gas (E)</v>
      </c>
      <c r="E70" s="209" t="str">
        <f>Commodities!$Z$10</f>
        <v>TER_TP_SH</v>
      </c>
      <c r="F70" s="183">
        <v>31.536000000000001</v>
      </c>
    </row>
    <row r="71" spans="2:6" ht="12.6" customHeight="1" x14ac:dyDescent="0.25">
      <c r="B71" s="45" t="str">
        <f t="shared" si="17"/>
        <v>TER_TP_SH_LTH_E01</v>
      </c>
      <c r="C71" s="45" t="str">
        <f t="shared" si="18"/>
        <v>Private (Commercial) SpHeat Dist. Heat (E)</v>
      </c>
      <c r="E71" s="209" t="str">
        <f>Commodities!$Z$10</f>
        <v>TER_TP_SH</v>
      </c>
      <c r="F71" s="183">
        <v>31.536000000000001</v>
      </c>
    </row>
    <row r="72" spans="2:6" ht="12.6" customHeight="1" x14ac:dyDescent="0.25">
      <c r="B72" s="45" t="str">
        <f t="shared" si="17"/>
        <v>TER_TP_SH_LOG_E01</v>
      </c>
      <c r="C72" s="45" t="str">
        <f t="shared" si="18"/>
        <v>Private (Commercial) SpHeat Wood  (E)</v>
      </c>
      <c r="D72" s="173"/>
      <c r="E72" s="209" t="str">
        <f>Commodities!$Z$10</f>
        <v>TER_TP_SH</v>
      </c>
      <c r="F72" s="183">
        <v>31.536000000000001</v>
      </c>
    </row>
    <row r="73" spans="2:6" ht="12.6" customHeight="1" x14ac:dyDescent="0.25">
      <c r="B73" s="45" t="str">
        <f t="shared" si="17"/>
        <v>TER_TP_SH_ELC_E01</v>
      </c>
      <c r="C73" s="45" t="str">
        <f t="shared" si="18"/>
        <v>Private (Commercial) SpHeat Electric Heater (E)</v>
      </c>
      <c r="D73" s="173"/>
      <c r="E73" s="209" t="str">
        <f>Commodities!$Z$10</f>
        <v>TER_TP_SH</v>
      </c>
      <c r="F73" s="183">
        <f>31.536/5</f>
        <v>6.3071999999999999</v>
      </c>
    </row>
    <row r="74" spans="2:6" ht="12.6" customHeight="1" x14ac:dyDescent="0.25">
      <c r="B74" s="176" t="str">
        <f t="shared" si="17"/>
        <v>TER_TP_SH_LPG_E01</v>
      </c>
      <c r="C74" s="176" t="str">
        <f t="shared" si="18"/>
        <v>Private (Commercial) SpHeat LPG Boiler (E)</v>
      </c>
      <c r="D74" s="176"/>
      <c r="E74" s="217" t="str">
        <f>Commodities!$Z$10</f>
        <v>TER_TP_SH</v>
      </c>
      <c r="F74" s="227">
        <v>31.536000000000001</v>
      </c>
    </row>
    <row r="75" spans="2:6" ht="12.6" customHeight="1" x14ac:dyDescent="0.25">
      <c r="B75" s="45" t="str">
        <f t="shared" si="17"/>
        <v>TER_TS_SH_SUB_E01</v>
      </c>
      <c r="C75" s="45" t="str">
        <f t="shared" si="18"/>
        <v>Services (Public) SpHeat Sub-bituminous  (E)</v>
      </c>
      <c r="E75" s="209" t="str">
        <f>Commodities!$Z$11</f>
        <v>TER_TS_SH</v>
      </c>
      <c r="F75" s="183">
        <v>31.536000000000001</v>
      </c>
    </row>
    <row r="76" spans="2:6" ht="12.6" customHeight="1" x14ac:dyDescent="0.25">
      <c r="B76" s="45" t="str">
        <f t="shared" si="17"/>
        <v>TER_TS_SH_BIC_E01</v>
      </c>
      <c r="C76" s="45" t="str">
        <f t="shared" si="18"/>
        <v>Services (Public) SpHeat Bituminus  (E)</v>
      </c>
      <c r="E76" s="209" t="str">
        <f>Commodities!$Z$11</f>
        <v>TER_TS_SH</v>
      </c>
      <c r="F76" s="183">
        <v>31.536000000000001</v>
      </c>
    </row>
    <row r="77" spans="2:6" ht="12.6" customHeight="1" x14ac:dyDescent="0.25">
      <c r="B77" s="45" t="str">
        <f t="shared" si="17"/>
        <v>TER_TS_SH_BCO_E01</v>
      </c>
      <c r="C77" s="45" t="str">
        <f t="shared" si="18"/>
        <v>Services (Public) SpHeat Lignite  (E)</v>
      </c>
      <c r="E77" s="209" t="str">
        <f>Commodities!$Z$11</f>
        <v>TER_TS_SH</v>
      </c>
      <c r="F77" s="183">
        <v>31.536000000000001</v>
      </c>
    </row>
    <row r="78" spans="2:6" ht="12.6" customHeight="1" x14ac:dyDescent="0.25">
      <c r="B78" s="45" t="str">
        <f t="shared" si="17"/>
        <v>TER_TS_SH_BKB_E01</v>
      </c>
      <c r="C78" s="45" t="str">
        <f t="shared" si="18"/>
        <v>Services (Public) SpHeat BKB  (E)</v>
      </c>
      <c r="E78" s="209" t="str">
        <f>Commodities!$Z$11</f>
        <v>TER_TS_SH</v>
      </c>
      <c r="F78" s="183">
        <v>31.536000000000001</v>
      </c>
    </row>
    <row r="79" spans="2:6" ht="12.6" customHeight="1" x14ac:dyDescent="0.25">
      <c r="B79" s="45" t="str">
        <f t="shared" si="17"/>
        <v>TER_TS_SH_DSL_E01</v>
      </c>
      <c r="C79" s="45" t="str">
        <f t="shared" si="18"/>
        <v>Services (Public) SpHeat DSL  (E)</v>
      </c>
      <c r="E79" s="209" t="str">
        <f>Commodities!$Z$11</f>
        <v>TER_TS_SH</v>
      </c>
      <c r="F79" s="183">
        <v>31.536000000000001</v>
      </c>
    </row>
    <row r="80" spans="2:6" ht="12.6" customHeight="1" x14ac:dyDescent="0.25">
      <c r="B80" s="45" t="str">
        <f t="shared" si="17"/>
        <v>TER_TS_SH_HFO_E01</v>
      </c>
      <c r="C80" s="45" t="str">
        <f t="shared" si="18"/>
        <v>Services (Public) SpHeat HFO  (E)</v>
      </c>
      <c r="D80" s="173"/>
      <c r="E80" s="209" t="str">
        <f>Commodities!$Z$11</f>
        <v>TER_TS_SH</v>
      </c>
      <c r="F80" s="183">
        <v>31.536000000000001</v>
      </c>
    </row>
    <row r="81" spans="2:22" ht="12.6" customHeight="1" x14ac:dyDescent="0.25">
      <c r="B81" s="45" t="str">
        <f t="shared" si="17"/>
        <v>TER_TS_SH_GAS_E01</v>
      </c>
      <c r="C81" s="45" t="str">
        <f t="shared" si="18"/>
        <v>Services (Public) SpHeat Gas (E)</v>
      </c>
      <c r="E81" s="209" t="str">
        <f>Commodities!$Z$11</f>
        <v>TER_TS_SH</v>
      </c>
      <c r="F81" s="183">
        <v>31.536000000000001</v>
      </c>
    </row>
    <row r="82" spans="2:22" ht="12.6" customHeight="1" x14ac:dyDescent="0.25">
      <c r="B82" s="45" t="str">
        <f t="shared" si="17"/>
        <v>TER_TS_SH_LTH_E01</v>
      </c>
      <c r="C82" s="45" t="str">
        <f t="shared" si="18"/>
        <v>Services (Public) SpHeat Dist. Heat (E)</v>
      </c>
      <c r="E82" s="209" t="str">
        <f>Commodities!$Z$11</f>
        <v>TER_TS_SH</v>
      </c>
      <c r="F82" s="183">
        <v>31.536000000000001</v>
      </c>
    </row>
    <row r="83" spans="2:22" x14ac:dyDescent="0.25">
      <c r="B83" s="45" t="str">
        <f t="shared" si="17"/>
        <v>TER_TS_SH_LOG_E01</v>
      </c>
      <c r="C83" s="45" t="str">
        <f t="shared" si="18"/>
        <v>Services (Public) SpHeat Wood  (E)</v>
      </c>
      <c r="D83" s="173"/>
      <c r="E83" s="209" t="str">
        <f>Commodities!$Z$11</f>
        <v>TER_TS_SH</v>
      </c>
      <c r="F83" s="183">
        <v>31.536000000000001</v>
      </c>
      <c r="R83" s="45"/>
      <c r="S83" s="45"/>
      <c r="T83" s="45"/>
      <c r="U83" s="45"/>
      <c r="V83" s="45"/>
    </row>
    <row r="84" spans="2:22" x14ac:dyDescent="0.25">
      <c r="B84" s="45" t="str">
        <f t="shared" si="17"/>
        <v>TER_TS_SH_ELC_E01</v>
      </c>
      <c r="C84" s="45" t="str">
        <f t="shared" si="18"/>
        <v>Services (Public) SpHeat Electric Heater (E)</v>
      </c>
      <c r="D84" s="173"/>
      <c r="E84" s="209" t="str">
        <f>Commodities!$Z$11</f>
        <v>TER_TS_SH</v>
      </c>
      <c r="F84" s="183">
        <f>31.536/5</f>
        <v>6.3071999999999999</v>
      </c>
      <c r="R84" s="45"/>
      <c r="S84" s="45"/>
      <c r="T84" s="45"/>
      <c r="U84" s="45"/>
      <c r="V84" s="45"/>
    </row>
    <row r="85" spans="2:22" x14ac:dyDescent="0.25">
      <c r="B85" s="45" t="str">
        <f t="shared" si="17"/>
        <v>TER_TS_SH_GEO_E01</v>
      </c>
      <c r="C85" s="45" t="str">
        <f t="shared" si="18"/>
        <v>Services (Public) SpHeat Geothermal (E)</v>
      </c>
      <c r="D85" s="173"/>
      <c r="E85" s="209" t="str">
        <f>Commodities!$Z$11</f>
        <v>TER_TS_SH</v>
      </c>
      <c r="F85" s="183">
        <v>31.536000000000001</v>
      </c>
      <c r="R85" s="45"/>
      <c r="S85" s="45"/>
      <c r="T85" s="45"/>
      <c r="U85" s="45"/>
      <c r="V85" s="45"/>
    </row>
    <row r="86" spans="2:22" x14ac:dyDescent="0.25">
      <c r="B86" s="176" t="str">
        <f t="shared" si="17"/>
        <v>TER_TS_SH_LPG_E01</v>
      </c>
      <c r="C86" s="176" t="str">
        <f t="shared" si="18"/>
        <v>Services (Public) SpHeat LPG Boiler (E)</v>
      </c>
      <c r="D86" s="176"/>
      <c r="E86" s="217" t="str">
        <f>Commodities!$Z$11</f>
        <v>TER_TS_SH</v>
      </c>
      <c r="F86" s="227">
        <v>31.536000000000001</v>
      </c>
      <c r="R86" s="45"/>
      <c r="S86" s="45"/>
      <c r="T86" s="45"/>
      <c r="U86" s="45"/>
      <c r="V86" s="45"/>
    </row>
    <row r="87" spans="2:22" x14ac:dyDescent="0.25">
      <c r="D87" s="173"/>
      <c r="E87" s="173"/>
      <c r="F87" s="183"/>
      <c r="R87" s="45"/>
      <c r="S87" s="45"/>
      <c r="T87" s="45"/>
      <c r="U87" s="45"/>
      <c r="V87" s="45"/>
    </row>
    <row r="88" spans="2:22" x14ac:dyDescent="0.25">
      <c r="R88" s="45"/>
      <c r="S88" s="45"/>
      <c r="T88" s="45"/>
      <c r="U88" s="45"/>
      <c r="V88" s="45"/>
    </row>
    <row r="89" spans="2:22" ht="13.8" x14ac:dyDescent="0.25">
      <c r="E89" s="92" t="s">
        <v>294</v>
      </c>
      <c r="H89" s="92" t="s">
        <v>578</v>
      </c>
      <c r="I89" s="92"/>
      <c r="R89" s="45"/>
      <c r="S89" s="45"/>
      <c r="T89" s="45"/>
      <c r="U89" s="45"/>
      <c r="V89" s="45"/>
    </row>
    <row r="90" spans="2:22" ht="13.8" x14ac:dyDescent="0.25">
      <c r="B90" s="95" t="s">
        <v>1</v>
      </c>
      <c r="C90" s="95" t="s">
        <v>42</v>
      </c>
      <c r="D90" s="95" t="s">
        <v>7</v>
      </c>
      <c r="E90" s="95" t="s">
        <v>0</v>
      </c>
      <c r="F90" s="95" t="s">
        <v>405</v>
      </c>
      <c r="H90" s="95" t="s">
        <v>1</v>
      </c>
      <c r="I90" s="95" t="s">
        <v>405</v>
      </c>
      <c r="R90" s="45"/>
      <c r="S90" s="45"/>
      <c r="T90" s="45"/>
      <c r="U90" s="45"/>
      <c r="V90" s="45"/>
    </row>
    <row r="91" spans="2:22" ht="14.4" thickBot="1" x14ac:dyDescent="0.3">
      <c r="B91" s="113" t="s">
        <v>296</v>
      </c>
      <c r="C91" s="113" t="s">
        <v>26</v>
      </c>
      <c r="D91" s="112" t="s">
        <v>36</v>
      </c>
      <c r="E91" s="155"/>
      <c r="F91" s="113"/>
      <c r="H91" s="113" t="s">
        <v>296</v>
      </c>
      <c r="I91" s="113"/>
      <c r="R91" s="45"/>
      <c r="S91" s="45"/>
      <c r="T91" s="45"/>
      <c r="U91" s="45"/>
      <c r="V91" s="45"/>
    </row>
    <row r="92" spans="2:22" ht="14.4" thickBot="1" x14ac:dyDescent="0.3">
      <c r="B92" s="113" t="s">
        <v>229</v>
      </c>
      <c r="C92" s="113"/>
      <c r="D92" s="113"/>
      <c r="E92" s="155"/>
      <c r="F92" s="206"/>
      <c r="H92" s="113" t="s">
        <v>229</v>
      </c>
      <c r="I92" s="113"/>
      <c r="R92" s="45"/>
      <c r="S92" s="45"/>
      <c r="T92" s="45"/>
      <c r="U92" s="45"/>
      <c r="V92" s="45"/>
    </row>
    <row r="93" spans="2:22" x14ac:dyDescent="0.25">
      <c r="B93" s="45" t="str">
        <f t="shared" ref="B93:B115" si="19">Q7</f>
        <v>TER_TP_SH_SUB_E01</v>
      </c>
      <c r="C93" s="45" t="str">
        <f t="shared" ref="C93:C115" si="20">R7</f>
        <v>Private (Commercial) SpHeat Sub-bituminous  (E)</v>
      </c>
      <c r="E93" s="173" t="str">
        <f>Commodities!$Z$10</f>
        <v>TER_TP_SH</v>
      </c>
      <c r="F93" s="228">
        <f>IFERROR(K7*F35/(F7*F64),0.15)</f>
        <v>0.15</v>
      </c>
      <c r="H93" s="45" t="str">
        <f t="shared" ref="H93:H94" si="21">B93</f>
        <v>TER_TP_SH_SUB_E01</v>
      </c>
      <c r="I93" s="228">
        <f t="shared" ref="I93:I115" si="22">IF(F93*Stk_Mult&gt;1,1,F93*Stk_Mult)</f>
        <v>0.15</v>
      </c>
      <c r="R93" s="45"/>
      <c r="S93" s="45"/>
      <c r="T93" s="45"/>
      <c r="U93" s="45"/>
      <c r="V93" s="45"/>
    </row>
    <row r="94" spans="2:22" x14ac:dyDescent="0.25">
      <c r="B94" s="45" t="str">
        <f t="shared" si="19"/>
        <v>TER_TP_SH_BIC_E01</v>
      </c>
      <c r="C94" s="45" t="str">
        <f t="shared" si="20"/>
        <v>Private (Commercial) SpHeat Bituminus  (E)</v>
      </c>
      <c r="E94" s="173" t="str">
        <f>Commodities!$Z$10</f>
        <v>TER_TP_SH</v>
      </c>
      <c r="F94" s="228">
        <f t="shared" ref="F94:F101" si="23">IFERROR(K8*F36/(F8*F65),0.2)</f>
        <v>0.20820046061897521</v>
      </c>
      <c r="H94" s="45" t="str">
        <f t="shared" si="21"/>
        <v>TER_TP_SH_BIC_E01</v>
      </c>
      <c r="I94" s="228">
        <f t="shared" si="22"/>
        <v>0.20820046061897521</v>
      </c>
      <c r="R94" s="45"/>
      <c r="S94" s="45"/>
      <c r="T94" s="45"/>
      <c r="U94" s="45"/>
      <c r="V94" s="45"/>
    </row>
    <row r="95" spans="2:22" x14ac:dyDescent="0.25">
      <c r="B95" s="45" t="str">
        <f t="shared" si="19"/>
        <v>TER_TP_SH_BCO_E01</v>
      </c>
      <c r="C95" s="45" t="str">
        <f t="shared" si="20"/>
        <v>Private (Commercial) SpHeat Lignite  (E)</v>
      </c>
      <c r="E95" s="173" t="str">
        <f>Commodities!$Z$10</f>
        <v>TER_TP_SH</v>
      </c>
      <c r="F95" s="228">
        <f t="shared" si="23"/>
        <v>0.2290205066808727</v>
      </c>
      <c r="H95" s="45" t="str">
        <f t="shared" ref="H95:H103" si="24">B95</f>
        <v>TER_TP_SH_BCO_E01</v>
      </c>
      <c r="I95" s="228">
        <f t="shared" si="22"/>
        <v>0.2290205066808727</v>
      </c>
      <c r="R95" s="45"/>
      <c r="S95" s="45"/>
      <c r="T95" s="45"/>
      <c r="U95" s="45"/>
      <c r="V95" s="45"/>
    </row>
    <row r="96" spans="2:22" x14ac:dyDescent="0.25">
      <c r="B96" s="45" t="str">
        <f t="shared" si="19"/>
        <v>TER_TP_SH_BKB_E01</v>
      </c>
      <c r="C96" s="45" t="str">
        <f t="shared" si="20"/>
        <v>Private (Commercial) SpHeat BKB  (E)</v>
      </c>
      <c r="E96" s="173" t="str">
        <f>Commodities!$Z$10</f>
        <v>TER_TP_SH</v>
      </c>
      <c r="F96" s="228">
        <f t="shared" si="23"/>
        <v>0.2</v>
      </c>
      <c r="H96" s="45" t="str">
        <f t="shared" si="24"/>
        <v>TER_TP_SH_BKB_E01</v>
      </c>
      <c r="I96" s="228">
        <f t="shared" si="22"/>
        <v>0.2</v>
      </c>
      <c r="R96" s="45"/>
      <c r="S96" s="45"/>
      <c r="T96" s="45"/>
      <c r="U96" s="45"/>
      <c r="V96" s="45"/>
    </row>
    <row r="97" spans="2:22" x14ac:dyDescent="0.25">
      <c r="B97" s="45" t="str">
        <f t="shared" si="19"/>
        <v>TER_TP_SH_DSL_E01</v>
      </c>
      <c r="C97" s="45" t="str">
        <f t="shared" si="20"/>
        <v>Private (Commercial) SpHeat DSL  (E)</v>
      </c>
      <c r="E97" s="173" t="str">
        <f>Commodities!$Z$10</f>
        <v>TER_TP_SH</v>
      </c>
      <c r="F97" s="228">
        <f t="shared" si="23"/>
        <v>0.31230069092846274</v>
      </c>
      <c r="H97" s="45" t="str">
        <f t="shared" si="24"/>
        <v>TER_TP_SH_DSL_E01</v>
      </c>
      <c r="I97" s="228">
        <f t="shared" si="22"/>
        <v>0.31230069092846274</v>
      </c>
      <c r="R97" s="45"/>
      <c r="S97" s="45"/>
      <c r="T97" s="45"/>
      <c r="U97" s="45"/>
      <c r="V97" s="45"/>
    </row>
    <row r="98" spans="2:22" x14ac:dyDescent="0.25">
      <c r="B98" s="45" t="str">
        <f t="shared" si="19"/>
        <v>TER_TP_SH_HFO_E01</v>
      </c>
      <c r="C98" s="45" t="str">
        <f t="shared" si="20"/>
        <v>Private (Commercial) SpHeat HFO  (E)</v>
      </c>
      <c r="D98" s="173"/>
      <c r="E98" s="173" t="str">
        <f>Commodities!$Z$10</f>
        <v>TER_TP_SH</v>
      </c>
      <c r="F98" s="228">
        <f t="shared" si="23"/>
        <v>0.29148064486656516</v>
      </c>
      <c r="H98" s="45" t="str">
        <f t="shared" si="24"/>
        <v>TER_TP_SH_HFO_E01</v>
      </c>
      <c r="I98" s="228">
        <f t="shared" si="22"/>
        <v>0.29148064486656516</v>
      </c>
      <c r="R98" s="45"/>
      <c r="S98" s="45"/>
      <c r="T98" s="45"/>
      <c r="U98" s="45"/>
      <c r="V98" s="45"/>
    </row>
    <row r="99" spans="2:22" x14ac:dyDescent="0.25">
      <c r="B99" s="45" t="str">
        <f t="shared" si="19"/>
        <v>TER_TP_SH_GAS_E01</v>
      </c>
      <c r="C99" s="45" t="str">
        <f t="shared" si="20"/>
        <v>Private (Commercial) SpHeat Gas (E)</v>
      </c>
      <c r="E99" s="173" t="str">
        <f>Commodities!$Z$10</f>
        <v>TER_TP_SH</v>
      </c>
      <c r="F99" s="228">
        <f t="shared" si="23"/>
        <v>0.33312073699036032</v>
      </c>
      <c r="H99" s="45" t="str">
        <f t="shared" si="24"/>
        <v>TER_TP_SH_GAS_E01</v>
      </c>
      <c r="I99" s="228">
        <f t="shared" si="22"/>
        <v>0.33312073699036032</v>
      </c>
      <c r="R99" s="45"/>
      <c r="S99" s="45"/>
      <c r="T99" s="45"/>
      <c r="U99" s="45"/>
      <c r="V99" s="45"/>
    </row>
    <row r="100" spans="2:22" x14ac:dyDescent="0.25">
      <c r="B100" s="45" t="str">
        <f t="shared" si="19"/>
        <v>TER_TP_SH_LTH_E01</v>
      </c>
      <c r="C100" s="45" t="str">
        <f t="shared" si="20"/>
        <v>Private (Commercial) SpHeat Dist. Heat (E)</v>
      </c>
      <c r="E100" s="173" t="str">
        <f>Commodities!$Z$10</f>
        <v>TER_TP_SH</v>
      </c>
      <c r="F100" s="228">
        <f t="shared" si="23"/>
        <v>0.35394078305225785</v>
      </c>
      <c r="H100" s="45" t="str">
        <f t="shared" si="24"/>
        <v>TER_TP_SH_LTH_E01</v>
      </c>
      <c r="I100" s="228">
        <f t="shared" si="22"/>
        <v>0.35394078305225785</v>
      </c>
      <c r="R100" s="45"/>
      <c r="S100" s="45"/>
      <c r="T100" s="45"/>
      <c r="U100" s="45"/>
      <c r="V100" s="45"/>
    </row>
    <row r="101" spans="2:22" x14ac:dyDescent="0.25">
      <c r="B101" s="45" t="str">
        <f t="shared" si="19"/>
        <v>TER_TP_SH_LOG_E01</v>
      </c>
      <c r="C101" s="45" t="str">
        <f t="shared" si="20"/>
        <v>Private (Commercial) SpHeat Wood  (E)</v>
      </c>
      <c r="D101" s="173"/>
      <c r="E101" s="173" t="str">
        <f>Commodities!$Z$10</f>
        <v>TER_TP_SH</v>
      </c>
      <c r="F101" s="228">
        <f t="shared" si="23"/>
        <v>0.2</v>
      </c>
      <c r="H101" s="45" t="str">
        <f t="shared" si="24"/>
        <v>TER_TP_SH_LOG_E01</v>
      </c>
      <c r="I101" s="228">
        <f t="shared" si="22"/>
        <v>0.2</v>
      </c>
      <c r="R101" s="45"/>
      <c r="S101" s="45"/>
      <c r="T101" s="45"/>
      <c r="U101" s="45"/>
      <c r="V101" s="45"/>
    </row>
    <row r="102" spans="2:22" x14ac:dyDescent="0.25">
      <c r="B102" s="45" t="str">
        <f t="shared" si="19"/>
        <v>TER_TP_SH_ELC_E01</v>
      </c>
      <c r="C102" s="45" t="str">
        <f t="shared" si="20"/>
        <v>Private (Commercial) SpHeat Electric Heater (E)</v>
      </c>
      <c r="D102" s="173"/>
      <c r="E102" s="173" t="str">
        <f>Commodities!$Z$10</f>
        <v>TER_TP_SH</v>
      </c>
      <c r="F102" s="228">
        <f>IFERROR(K16*F44/(F16*F73),0.4)</f>
        <v>0.53537261302022188</v>
      </c>
      <c r="H102" s="45" t="str">
        <f t="shared" si="24"/>
        <v>TER_TP_SH_ELC_E01</v>
      </c>
      <c r="I102" s="228">
        <f t="shared" si="22"/>
        <v>0.53537261302022188</v>
      </c>
      <c r="R102" s="45"/>
      <c r="S102" s="45"/>
      <c r="T102" s="45"/>
      <c r="U102" s="45"/>
      <c r="V102" s="45"/>
    </row>
    <row r="103" spans="2:22" x14ac:dyDescent="0.25">
      <c r="B103" s="176" t="str">
        <f t="shared" si="19"/>
        <v>TER_TP_SH_LPG_E01</v>
      </c>
      <c r="C103" s="176" t="str">
        <f t="shared" si="20"/>
        <v>Private (Commercial) SpHeat LPG Boiler (E)</v>
      </c>
      <c r="D103" s="176"/>
      <c r="E103" s="176" t="str">
        <f>Commodities!$Z$10</f>
        <v>TER_TP_SH</v>
      </c>
      <c r="F103" s="227">
        <f>IFERROR(K17*F45/(F17*F74),0.2)</f>
        <v>0.2</v>
      </c>
      <c r="H103" s="176" t="str">
        <f t="shared" si="24"/>
        <v>TER_TP_SH_LPG_E01</v>
      </c>
      <c r="I103" s="227">
        <f t="shared" si="22"/>
        <v>0.2</v>
      </c>
      <c r="R103" s="45"/>
      <c r="S103" s="45"/>
      <c r="T103" s="45"/>
      <c r="U103" s="45"/>
      <c r="V103" s="45"/>
    </row>
    <row r="104" spans="2:22" x14ac:dyDescent="0.25">
      <c r="B104" s="45" t="str">
        <f t="shared" si="19"/>
        <v>TER_TS_SH_SUB_E01</v>
      </c>
      <c r="C104" s="45" t="str">
        <f t="shared" si="20"/>
        <v>Services (Public) SpHeat Sub-bituminous  (E)</v>
      </c>
      <c r="E104" s="209" t="str">
        <f>Commodities!$Z$11</f>
        <v>TER_TS_SH</v>
      </c>
      <c r="F104" s="228">
        <f t="shared" ref="F104:F112" si="25">IFERROR(K18*F46/(F18*F75),0.25)</f>
        <v>0.25</v>
      </c>
      <c r="H104" s="45" t="str">
        <f t="shared" ref="H104:H105" si="26">B104</f>
        <v>TER_TS_SH_SUB_E01</v>
      </c>
      <c r="I104" s="228">
        <f t="shared" si="22"/>
        <v>0.25</v>
      </c>
      <c r="R104" s="45"/>
      <c r="S104" s="45"/>
      <c r="T104" s="45"/>
      <c r="U104" s="45"/>
      <c r="V104" s="45"/>
    </row>
    <row r="105" spans="2:22" x14ac:dyDescent="0.25">
      <c r="B105" s="45" t="str">
        <f t="shared" si="19"/>
        <v>TER_TS_SH_BIC_E01</v>
      </c>
      <c r="C105" s="45" t="str">
        <f t="shared" si="20"/>
        <v>Services (Public) SpHeat Bituminus  (E)</v>
      </c>
      <c r="E105" s="209" t="str">
        <f>Commodities!$Z$11</f>
        <v>TER_TS_SH</v>
      </c>
      <c r="F105" s="228">
        <f t="shared" si="25"/>
        <v>0.25248084049813208</v>
      </c>
      <c r="H105" s="45" t="str">
        <f t="shared" si="26"/>
        <v>TER_TS_SH_BIC_E01</v>
      </c>
      <c r="I105" s="228">
        <f t="shared" si="22"/>
        <v>0.25248084049813208</v>
      </c>
      <c r="R105" s="45"/>
      <c r="S105" s="45"/>
      <c r="T105" s="45"/>
      <c r="U105" s="45"/>
      <c r="V105" s="45"/>
    </row>
    <row r="106" spans="2:22" x14ac:dyDescent="0.25">
      <c r="B106" s="45" t="str">
        <f t="shared" si="19"/>
        <v>TER_TS_SH_BCO_E01</v>
      </c>
      <c r="C106" s="45" t="str">
        <f t="shared" si="20"/>
        <v>Services (Public) SpHeat Lignite  (E)</v>
      </c>
      <c r="E106" s="209" t="str">
        <f>Commodities!$Z$11</f>
        <v>TER_TS_SH</v>
      </c>
      <c r="F106" s="228">
        <f t="shared" si="25"/>
        <v>0.27772892454794529</v>
      </c>
      <c r="H106" s="45" t="str">
        <f t="shared" ref="H106:H115" si="27">B106</f>
        <v>TER_TS_SH_BCO_E01</v>
      </c>
      <c r="I106" s="228">
        <f t="shared" si="22"/>
        <v>0.27772892454794529</v>
      </c>
      <c r="R106" s="45"/>
      <c r="S106" s="45"/>
      <c r="T106" s="45"/>
      <c r="U106" s="45"/>
      <c r="V106" s="45"/>
    </row>
    <row r="107" spans="2:22" x14ac:dyDescent="0.25">
      <c r="B107" s="45" t="str">
        <f t="shared" si="19"/>
        <v>TER_TS_SH_BKB_E01</v>
      </c>
      <c r="C107" s="45" t="str">
        <f t="shared" si="20"/>
        <v>Services (Public) SpHeat BKB  (E)</v>
      </c>
      <c r="E107" s="209" t="str">
        <f>Commodities!$Z$11</f>
        <v>TER_TS_SH</v>
      </c>
      <c r="F107" s="228">
        <f t="shared" si="25"/>
        <v>0.25</v>
      </c>
      <c r="H107" s="45" t="str">
        <f t="shared" si="27"/>
        <v>TER_TS_SH_BKB_E01</v>
      </c>
      <c r="I107" s="228">
        <f t="shared" si="22"/>
        <v>0.25</v>
      </c>
      <c r="R107" s="45"/>
      <c r="S107" s="45"/>
      <c r="T107" s="45"/>
      <c r="U107" s="45"/>
      <c r="V107" s="45"/>
    </row>
    <row r="108" spans="2:22" x14ac:dyDescent="0.25">
      <c r="B108" s="45" t="str">
        <f t="shared" si="19"/>
        <v>TER_TS_SH_DSL_E01</v>
      </c>
      <c r="C108" s="45" t="str">
        <f t="shared" si="20"/>
        <v>Services (Public) SpHeat DSL  (E)</v>
      </c>
      <c r="E108" s="209" t="str">
        <f>Commodities!$Z$11</f>
        <v>TER_TS_SH</v>
      </c>
      <c r="F108" s="228">
        <f t="shared" si="25"/>
        <v>0.37872126074719809</v>
      </c>
      <c r="H108" s="45" t="str">
        <f t="shared" si="27"/>
        <v>TER_TS_SH_DSL_E01</v>
      </c>
      <c r="I108" s="228">
        <f t="shared" si="22"/>
        <v>0.37872126074719809</v>
      </c>
      <c r="R108" s="45"/>
      <c r="S108" s="45"/>
      <c r="T108" s="45"/>
      <c r="U108" s="45"/>
      <c r="V108" s="45"/>
    </row>
    <row r="109" spans="2:22" x14ac:dyDescent="0.25">
      <c r="B109" s="45" t="str">
        <f t="shared" si="19"/>
        <v>TER_TS_SH_HFO_E01</v>
      </c>
      <c r="C109" s="45" t="str">
        <f t="shared" si="20"/>
        <v>Services (Public) SpHeat HFO  (E)</v>
      </c>
      <c r="D109" s="173"/>
      <c r="E109" s="209" t="str">
        <f>Commodities!$Z$11</f>
        <v>TER_TS_SH</v>
      </c>
      <c r="F109" s="228">
        <f t="shared" si="25"/>
        <v>0.35347317669738487</v>
      </c>
      <c r="H109" s="45" t="str">
        <f t="shared" si="27"/>
        <v>TER_TS_SH_HFO_E01</v>
      </c>
      <c r="I109" s="228">
        <f t="shared" si="22"/>
        <v>0.35347317669738487</v>
      </c>
      <c r="R109" s="45"/>
      <c r="S109" s="45"/>
      <c r="T109" s="45"/>
      <c r="U109" s="45"/>
      <c r="V109" s="45"/>
    </row>
    <row r="110" spans="2:22" x14ac:dyDescent="0.25">
      <c r="B110" s="45" t="str">
        <f t="shared" si="19"/>
        <v>TER_TS_SH_GAS_E01</v>
      </c>
      <c r="C110" s="45" t="str">
        <f t="shared" si="20"/>
        <v>Services (Public) SpHeat Gas (E)</v>
      </c>
      <c r="E110" s="209" t="str">
        <f>Commodities!$Z$11</f>
        <v>TER_TS_SH</v>
      </c>
      <c r="F110" s="228">
        <f t="shared" si="25"/>
        <v>0.40396934479701135</v>
      </c>
      <c r="H110" s="45" t="str">
        <f t="shared" si="27"/>
        <v>TER_TS_SH_GAS_E01</v>
      </c>
      <c r="I110" s="228">
        <f t="shared" si="22"/>
        <v>0.40396934479701135</v>
      </c>
      <c r="R110" s="45"/>
      <c r="S110" s="45"/>
      <c r="T110" s="45"/>
      <c r="U110" s="45"/>
      <c r="V110" s="45"/>
    </row>
    <row r="111" spans="2:22" x14ac:dyDescent="0.25">
      <c r="B111" s="45" t="str">
        <f t="shared" si="19"/>
        <v>TER_TS_SH_LTH_E01</v>
      </c>
      <c r="C111" s="45" t="str">
        <f t="shared" si="20"/>
        <v>Services (Public) SpHeat Dist. Heat (E)</v>
      </c>
      <c r="E111" s="209" t="str">
        <f>Commodities!$Z$11</f>
        <v>TER_TS_SH</v>
      </c>
      <c r="F111" s="228">
        <f t="shared" si="25"/>
        <v>0.4292174288468244</v>
      </c>
      <c r="H111" s="45" t="str">
        <f t="shared" si="27"/>
        <v>TER_TS_SH_LTH_E01</v>
      </c>
      <c r="I111" s="228">
        <f t="shared" si="22"/>
        <v>0.4292174288468244</v>
      </c>
      <c r="R111" s="45"/>
      <c r="S111" s="45"/>
      <c r="T111" s="45"/>
      <c r="U111" s="45"/>
      <c r="V111" s="45"/>
    </row>
    <row r="112" spans="2:22" x14ac:dyDescent="0.25">
      <c r="B112" s="45" t="str">
        <f t="shared" si="19"/>
        <v>TER_TS_SH_LOG_E01</v>
      </c>
      <c r="C112" s="45" t="str">
        <f t="shared" si="20"/>
        <v>Services (Public) SpHeat Wood  (E)</v>
      </c>
      <c r="D112" s="173"/>
      <c r="E112" s="209" t="str">
        <f>Commodities!$Z$11</f>
        <v>TER_TS_SH</v>
      </c>
      <c r="F112" s="228">
        <f t="shared" si="25"/>
        <v>0.25</v>
      </c>
      <c r="H112" s="45" t="str">
        <f t="shared" si="27"/>
        <v>TER_TS_SH_LOG_E01</v>
      </c>
      <c r="I112" s="228">
        <f t="shared" si="22"/>
        <v>0.25</v>
      </c>
      <c r="R112" s="45"/>
      <c r="S112" s="45"/>
      <c r="T112" s="45"/>
      <c r="U112" s="45"/>
      <c r="V112" s="45"/>
    </row>
    <row r="113" spans="2:22" x14ac:dyDescent="0.25">
      <c r="B113" s="45" t="str">
        <f t="shared" si="19"/>
        <v>TER_TS_SH_ELC_E01</v>
      </c>
      <c r="C113" s="45" t="str">
        <f t="shared" si="20"/>
        <v>Services (Public) SpHeat Electric Heater (E)</v>
      </c>
      <c r="D113" s="173"/>
      <c r="E113" s="209" t="str">
        <f>Commodities!$Z$11</f>
        <v>TER_TS_SH</v>
      </c>
      <c r="F113" s="228">
        <f>IFERROR(K27*F55/(F27*F84),0.4)</f>
        <v>0.4</v>
      </c>
      <c r="H113" s="45" t="str">
        <f t="shared" si="27"/>
        <v>TER_TS_SH_ELC_E01</v>
      </c>
      <c r="I113" s="228">
        <f t="shared" si="22"/>
        <v>0.4</v>
      </c>
      <c r="R113" s="45"/>
      <c r="S113" s="45"/>
      <c r="T113" s="45"/>
      <c r="U113" s="45"/>
      <c r="V113" s="45"/>
    </row>
    <row r="114" spans="2:22" x14ac:dyDescent="0.25">
      <c r="B114" s="45" t="str">
        <f t="shared" si="19"/>
        <v>TER_TS_SH_GEO_E01</v>
      </c>
      <c r="C114" s="45" t="str">
        <f t="shared" si="20"/>
        <v>Services (Public) SpHeat Geothermal (E)</v>
      </c>
      <c r="D114" s="173"/>
      <c r="E114" s="209" t="str">
        <f>Commodities!$Z$11</f>
        <v>TER_TS_SH</v>
      </c>
      <c r="F114" s="228">
        <f>IFERROR(K28*F56/(F28*F85),0.25)</f>
        <v>0.25</v>
      </c>
      <c r="H114" s="45" t="str">
        <f t="shared" si="27"/>
        <v>TER_TS_SH_GEO_E01</v>
      </c>
      <c r="I114" s="228">
        <f t="shared" si="22"/>
        <v>0.25</v>
      </c>
      <c r="R114" s="45"/>
      <c r="S114" s="45"/>
      <c r="T114" s="45"/>
      <c r="U114" s="45"/>
      <c r="V114" s="45"/>
    </row>
    <row r="115" spans="2:22" x14ac:dyDescent="0.25">
      <c r="B115" s="176" t="str">
        <f t="shared" si="19"/>
        <v>TER_TS_SH_LPG_E01</v>
      </c>
      <c r="C115" s="176" t="str">
        <f t="shared" si="20"/>
        <v>Services (Public) SpHeat LPG Boiler (E)</v>
      </c>
      <c r="D115" s="176"/>
      <c r="E115" s="217" t="str">
        <f>Commodities!$Z$11</f>
        <v>TER_TS_SH</v>
      </c>
      <c r="F115" s="227">
        <f>IFERROR(K29*F57/(F29*F86),0.25)</f>
        <v>0.25</v>
      </c>
      <c r="H115" s="176" t="str">
        <f t="shared" si="27"/>
        <v>TER_TS_SH_LPG_E01</v>
      </c>
      <c r="I115" s="227">
        <f t="shared" si="22"/>
        <v>0.25</v>
      </c>
      <c r="R115" s="45"/>
      <c r="S115" s="45"/>
      <c r="T115" s="45"/>
      <c r="U115" s="45"/>
      <c r="V115" s="45"/>
    </row>
    <row r="116" spans="2:22" x14ac:dyDescent="0.25">
      <c r="D116" s="173"/>
      <c r="E116" s="173"/>
      <c r="F116" s="183"/>
      <c r="R116" s="45"/>
      <c r="S116" s="45"/>
      <c r="T116" s="45"/>
      <c r="U116" s="45"/>
      <c r="V116" s="45"/>
    </row>
    <row r="117" spans="2:22" x14ac:dyDescent="0.25">
      <c r="R117" s="45"/>
      <c r="S117" s="45"/>
      <c r="T117" s="45"/>
      <c r="U117" s="45"/>
      <c r="V117" s="45"/>
    </row>
    <row r="118" spans="2:22" ht="13.8" x14ac:dyDescent="0.25">
      <c r="E118" s="92" t="s">
        <v>295</v>
      </c>
      <c r="R118" s="45"/>
      <c r="S118" s="45"/>
      <c r="T118" s="45"/>
      <c r="U118" s="45"/>
      <c r="V118" s="45"/>
    </row>
    <row r="119" spans="2:22" ht="13.8" x14ac:dyDescent="0.25">
      <c r="B119" s="95" t="s">
        <v>1</v>
      </c>
      <c r="C119" s="95" t="s">
        <v>42</v>
      </c>
      <c r="D119" s="95" t="s">
        <v>7</v>
      </c>
      <c r="E119" s="95" t="s">
        <v>0</v>
      </c>
      <c r="F119" s="95" t="s">
        <v>405</v>
      </c>
      <c r="R119" s="45"/>
      <c r="S119" s="45"/>
      <c r="T119" s="45"/>
      <c r="U119" s="45"/>
      <c r="V119" s="45"/>
    </row>
    <row r="120" spans="2:22" ht="14.4" thickBot="1" x14ac:dyDescent="0.3">
      <c r="B120" s="113" t="s">
        <v>296</v>
      </c>
      <c r="C120" s="113" t="s">
        <v>26</v>
      </c>
      <c r="D120" s="112" t="s">
        <v>36</v>
      </c>
      <c r="E120" s="155"/>
      <c r="F120" s="113"/>
      <c r="R120" s="45"/>
      <c r="S120" s="45"/>
      <c r="T120" s="45"/>
      <c r="U120" s="45"/>
      <c r="V120" s="45"/>
    </row>
    <row r="121" spans="2:22" ht="14.4" thickBot="1" x14ac:dyDescent="0.3">
      <c r="B121" s="113" t="s">
        <v>229</v>
      </c>
      <c r="C121" s="113"/>
      <c r="D121" s="113"/>
      <c r="E121" s="155"/>
      <c r="F121" s="112" t="str">
        <f>General!$D$20</f>
        <v>Years</v>
      </c>
      <c r="R121" s="45"/>
      <c r="S121" s="45"/>
      <c r="T121" s="45"/>
      <c r="U121" s="45"/>
      <c r="V121" s="45"/>
    </row>
    <row r="122" spans="2:22" x14ac:dyDescent="0.25">
      <c r="B122" s="45" t="str">
        <f t="shared" ref="B122:C122" si="28">Q7</f>
        <v>TER_TP_SH_SUB_E01</v>
      </c>
      <c r="C122" s="45" t="str">
        <f t="shared" si="28"/>
        <v>Private (Commercial) SpHeat Sub-bituminous  (E)</v>
      </c>
      <c r="E122" s="229" t="str">
        <f>Commodities!$Z$10</f>
        <v>TER_TP_SH</v>
      </c>
      <c r="F122" s="230">
        <v>25</v>
      </c>
      <c r="H122" s="231"/>
      <c r="R122" s="45"/>
      <c r="S122" s="45"/>
      <c r="T122" s="45"/>
      <c r="U122" s="45"/>
      <c r="V122" s="45"/>
    </row>
    <row r="123" spans="2:22" x14ac:dyDescent="0.25">
      <c r="B123" s="45" t="str">
        <f t="shared" ref="B123:C123" si="29">Q8</f>
        <v>TER_TP_SH_BIC_E01</v>
      </c>
      <c r="C123" s="45" t="str">
        <f t="shared" si="29"/>
        <v>Private (Commercial) SpHeat Bituminus  (E)</v>
      </c>
      <c r="E123" s="209" t="str">
        <f>Commodities!$Z$10</f>
        <v>TER_TP_SH</v>
      </c>
      <c r="F123" s="230">
        <v>25</v>
      </c>
      <c r="H123" s="231"/>
      <c r="R123" s="45"/>
      <c r="S123" s="45"/>
      <c r="T123" s="45"/>
      <c r="U123" s="45"/>
      <c r="V123" s="45"/>
    </row>
    <row r="124" spans="2:22" x14ac:dyDescent="0.25">
      <c r="B124" s="45" t="str">
        <f t="shared" ref="B124:B132" si="30">Q9</f>
        <v>TER_TP_SH_BCO_E01</v>
      </c>
      <c r="C124" s="45" t="str">
        <f t="shared" ref="C124:C132" si="31">R9</f>
        <v>Private (Commercial) SpHeat Lignite  (E)</v>
      </c>
      <c r="E124" s="209" t="str">
        <f>Commodities!$Z$10</f>
        <v>TER_TP_SH</v>
      </c>
      <c r="F124" s="230">
        <v>25</v>
      </c>
      <c r="H124" s="231"/>
      <c r="R124" s="45"/>
      <c r="S124" s="45"/>
      <c r="T124" s="45"/>
      <c r="U124" s="45"/>
      <c r="V124" s="45"/>
    </row>
    <row r="125" spans="2:22" x14ac:dyDescent="0.25">
      <c r="B125" s="45" t="str">
        <f t="shared" si="30"/>
        <v>TER_TP_SH_BKB_E01</v>
      </c>
      <c r="C125" s="45" t="str">
        <f t="shared" si="31"/>
        <v>Private (Commercial) SpHeat BKB  (E)</v>
      </c>
      <c r="E125" s="209" t="str">
        <f>Commodities!$Z$10</f>
        <v>TER_TP_SH</v>
      </c>
      <c r="F125" s="230">
        <v>20</v>
      </c>
      <c r="H125" s="231"/>
      <c r="R125" s="45"/>
      <c r="S125" s="45"/>
      <c r="T125" s="45"/>
      <c r="U125" s="45"/>
      <c r="V125" s="45"/>
    </row>
    <row r="126" spans="2:22" x14ac:dyDescent="0.25">
      <c r="B126" s="45" t="str">
        <f t="shared" si="30"/>
        <v>TER_TP_SH_DSL_E01</v>
      </c>
      <c r="C126" s="45" t="str">
        <f t="shared" si="31"/>
        <v>Private (Commercial) SpHeat DSL  (E)</v>
      </c>
      <c r="E126" s="209" t="str">
        <f>Commodities!$Z$10</f>
        <v>TER_TP_SH</v>
      </c>
      <c r="F126" s="230">
        <v>25</v>
      </c>
      <c r="H126" s="231"/>
      <c r="R126" s="45"/>
      <c r="S126" s="45"/>
      <c r="T126" s="45"/>
      <c r="U126" s="45"/>
      <c r="V126" s="45"/>
    </row>
    <row r="127" spans="2:22" x14ac:dyDescent="0.25">
      <c r="B127" s="45" t="str">
        <f t="shared" si="30"/>
        <v>TER_TP_SH_HFO_E01</v>
      </c>
      <c r="C127" s="45" t="str">
        <f t="shared" si="31"/>
        <v>Private (Commercial) SpHeat HFO  (E)</v>
      </c>
      <c r="D127" s="173"/>
      <c r="E127" s="209" t="str">
        <f>Commodities!$Z$10</f>
        <v>TER_TP_SH</v>
      </c>
      <c r="F127" s="230">
        <v>25</v>
      </c>
      <c r="H127" s="231"/>
      <c r="R127" s="45"/>
      <c r="S127" s="45"/>
      <c r="T127" s="45"/>
      <c r="U127" s="45"/>
      <c r="V127" s="45"/>
    </row>
    <row r="128" spans="2:22" x14ac:dyDescent="0.25">
      <c r="B128" s="45" t="str">
        <f t="shared" si="30"/>
        <v>TER_TP_SH_GAS_E01</v>
      </c>
      <c r="C128" s="45" t="str">
        <f t="shared" si="31"/>
        <v>Private (Commercial) SpHeat Gas (E)</v>
      </c>
      <c r="E128" s="209" t="str">
        <f>Commodities!$Z$10</f>
        <v>TER_TP_SH</v>
      </c>
      <c r="F128" s="230">
        <v>30</v>
      </c>
      <c r="H128" s="231"/>
      <c r="R128" s="45"/>
      <c r="S128" s="45"/>
      <c r="T128" s="45"/>
      <c r="U128" s="45"/>
      <c r="V128" s="45"/>
    </row>
    <row r="129" spans="2:22" x14ac:dyDescent="0.25">
      <c r="B129" s="45" t="str">
        <f t="shared" si="30"/>
        <v>TER_TP_SH_LTH_E01</v>
      </c>
      <c r="C129" s="45" t="str">
        <f t="shared" si="31"/>
        <v>Private (Commercial) SpHeat Dist. Heat (E)</v>
      </c>
      <c r="E129" s="209" t="str">
        <f>Commodities!$Z$10</f>
        <v>TER_TP_SH</v>
      </c>
      <c r="F129" s="230">
        <v>30</v>
      </c>
      <c r="H129" s="231"/>
      <c r="R129" s="45"/>
      <c r="S129" s="45"/>
      <c r="T129" s="45"/>
      <c r="U129" s="45"/>
      <c r="V129" s="45"/>
    </row>
    <row r="130" spans="2:22" x14ac:dyDescent="0.25">
      <c r="B130" s="45" t="str">
        <f t="shared" si="30"/>
        <v>TER_TP_SH_LOG_E01</v>
      </c>
      <c r="C130" s="45" t="str">
        <f t="shared" si="31"/>
        <v>Private (Commercial) SpHeat Wood  (E)</v>
      </c>
      <c r="D130" s="173"/>
      <c r="E130" s="209" t="str">
        <f>Commodities!$Z$10</f>
        <v>TER_TP_SH</v>
      </c>
      <c r="F130" s="230">
        <v>20</v>
      </c>
      <c r="H130" s="231"/>
    </row>
    <row r="131" spans="2:22" x14ac:dyDescent="0.25">
      <c r="B131" s="45" t="str">
        <f t="shared" si="30"/>
        <v>TER_TP_SH_ELC_E01</v>
      </c>
      <c r="C131" s="45" t="str">
        <f t="shared" si="31"/>
        <v>Private (Commercial) SpHeat Electric Heater (E)</v>
      </c>
      <c r="D131" s="173"/>
      <c r="E131" s="209" t="str">
        <f>Commodities!$Z$10</f>
        <v>TER_TP_SH</v>
      </c>
      <c r="F131" s="230">
        <v>20</v>
      </c>
      <c r="H131" s="231"/>
    </row>
    <row r="132" spans="2:22" x14ac:dyDescent="0.25">
      <c r="B132" s="176" t="str">
        <f t="shared" si="30"/>
        <v>TER_TP_SH_LPG_E01</v>
      </c>
      <c r="C132" s="176" t="str">
        <f t="shared" si="31"/>
        <v>Private (Commercial) SpHeat LPG Boiler (E)</v>
      </c>
      <c r="D132" s="176"/>
      <c r="E132" s="217" t="str">
        <f>Commodities!$Z$10</f>
        <v>TER_TP_SH</v>
      </c>
      <c r="F132" s="232">
        <v>25</v>
      </c>
      <c r="H132" s="231"/>
    </row>
    <row r="133" spans="2:22" x14ac:dyDescent="0.25">
      <c r="B133" s="45" t="str">
        <f t="shared" ref="B133:C133" si="32">Q18</f>
        <v>TER_TS_SH_SUB_E01</v>
      </c>
      <c r="C133" s="45" t="str">
        <f t="shared" si="32"/>
        <v>Services (Public) SpHeat Sub-bituminous  (E)</v>
      </c>
      <c r="E133" s="209" t="str">
        <f>Commodities!$Z$11</f>
        <v>TER_TS_SH</v>
      </c>
      <c r="F133" s="230">
        <v>25</v>
      </c>
      <c r="H133" s="231"/>
    </row>
    <row r="134" spans="2:22" x14ac:dyDescent="0.25">
      <c r="B134" s="45" t="str">
        <f t="shared" ref="B134:C134" si="33">Q19</f>
        <v>TER_TS_SH_BIC_E01</v>
      </c>
      <c r="C134" s="45" t="str">
        <f t="shared" si="33"/>
        <v>Services (Public) SpHeat Bituminus  (E)</v>
      </c>
      <c r="E134" s="209" t="str">
        <f>Commodities!$Z$11</f>
        <v>TER_TS_SH</v>
      </c>
      <c r="F134" s="230">
        <v>25</v>
      </c>
      <c r="H134" s="231"/>
    </row>
    <row r="135" spans="2:22" x14ac:dyDescent="0.25">
      <c r="B135" s="45" t="str">
        <f t="shared" ref="B135:B144" si="34">Q20</f>
        <v>TER_TS_SH_BCO_E01</v>
      </c>
      <c r="C135" s="45" t="str">
        <f t="shared" ref="C135:C144" si="35">R20</f>
        <v>Services (Public) SpHeat Lignite  (E)</v>
      </c>
      <c r="E135" s="209" t="str">
        <f>Commodities!$Z$11</f>
        <v>TER_TS_SH</v>
      </c>
      <c r="F135" s="230">
        <v>25</v>
      </c>
      <c r="H135" s="231"/>
    </row>
    <row r="136" spans="2:22" x14ac:dyDescent="0.25">
      <c r="B136" s="45" t="str">
        <f t="shared" si="34"/>
        <v>TER_TS_SH_BKB_E01</v>
      </c>
      <c r="C136" s="45" t="str">
        <f t="shared" si="35"/>
        <v>Services (Public) SpHeat BKB  (E)</v>
      </c>
      <c r="E136" s="209" t="str">
        <f>Commodities!$Z$11</f>
        <v>TER_TS_SH</v>
      </c>
      <c r="F136" s="230">
        <v>20</v>
      </c>
      <c r="H136" s="231"/>
    </row>
    <row r="137" spans="2:22" x14ac:dyDescent="0.25">
      <c r="B137" s="45" t="str">
        <f t="shared" si="34"/>
        <v>TER_TS_SH_DSL_E01</v>
      </c>
      <c r="C137" s="45" t="str">
        <f t="shared" si="35"/>
        <v>Services (Public) SpHeat DSL  (E)</v>
      </c>
      <c r="E137" s="209" t="str">
        <f>Commodities!$Z$11</f>
        <v>TER_TS_SH</v>
      </c>
      <c r="F137" s="230">
        <v>25</v>
      </c>
      <c r="H137" s="231"/>
    </row>
    <row r="138" spans="2:22" x14ac:dyDescent="0.25">
      <c r="B138" s="45" t="str">
        <f t="shared" si="34"/>
        <v>TER_TS_SH_HFO_E01</v>
      </c>
      <c r="C138" s="45" t="str">
        <f t="shared" si="35"/>
        <v>Services (Public) SpHeat HFO  (E)</v>
      </c>
      <c r="D138" s="173"/>
      <c r="E138" s="209" t="str">
        <f>Commodities!$Z$11</f>
        <v>TER_TS_SH</v>
      </c>
      <c r="F138" s="230">
        <v>25</v>
      </c>
      <c r="H138" s="231"/>
    </row>
    <row r="139" spans="2:22" x14ac:dyDescent="0.25">
      <c r="B139" s="45" t="str">
        <f t="shared" si="34"/>
        <v>TER_TS_SH_GAS_E01</v>
      </c>
      <c r="C139" s="45" t="str">
        <f t="shared" si="35"/>
        <v>Services (Public) SpHeat Gas (E)</v>
      </c>
      <c r="E139" s="209" t="str">
        <f>Commodities!$Z$11</f>
        <v>TER_TS_SH</v>
      </c>
      <c r="F139" s="230">
        <v>30</v>
      </c>
      <c r="H139" s="231"/>
    </row>
    <row r="140" spans="2:22" x14ac:dyDescent="0.25">
      <c r="B140" s="45" t="str">
        <f t="shared" si="34"/>
        <v>TER_TS_SH_LTH_E01</v>
      </c>
      <c r="C140" s="45" t="str">
        <f t="shared" si="35"/>
        <v>Services (Public) SpHeat Dist. Heat (E)</v>
      </c>
      <c r="E140" s="209" t="str">
        <f>Commodities!$Z$11</f>
        <v>TER_TS_SH</v>
      </c>
      <c r="F140" s="230">
        <v>30</v>
      </c>
      <c r="H140" s="231"/>
    </row>
    <row r="141" spans="2:22" x14ac:dyDescent="0.25">
      <c r="B141" s="45" t="str">
        <f t="shared" si="34"/>
        <v>TER_TS_SH_LOG_E01</v>
      </c>
      <c r="C141" s="45" t="str">
        <f t="shared" si="35"/>
        <v>Services (Public) SpHeat Wood  (E)</v>
      </c>
      <c r="D141" s="173"/>
      <c r="E141" s="209" t="str">
        <f>Commodities!$Z$11</f>
        <v>TER_TS_SH</v>
      </c>
      <c r="F141" s="230">
        <v>20</v>
      </c>
      <c r="H141" s="231"/>
    </row>
    <row r="142" spans="2:22" x14ac:dyDescent="0.25">
      <c r="B142" s="45" t="str">
        <f t="shared" si="34"/>
        <v>TER_TS_SH_ELC_E01</v>
      </c>
      <c r="C142" s="45" t="str">
        <f t="shared" si="35"/>
        <v>Services (Public) SpHeat Electric Heater (E)</v>
      </c>
      <c r="D142" s="173"/>
      <c r="E142" s="209" t="str">
        <f>Commodities!$Z$11</f>
        <v>TER_TS_SH</v>
      </c>
      <c r="F142" s="230">
        <v>25</v>
      </c>
      <c r="H142" s="231"/>
    </row>
    <row r="143" spans="2:22" x14ac:dyDescent="0.25">
      <c r="B143" s="45" t="str">
        <f t="shared" si="34"/>
        <v>TER_TS_SH_GEO_E01</v>
      </c>
      <c r="C143" s="45" t="str">
        <f t="shared" si="35"/>
        <v>Services (Public) SpHeat Geothermal (E)</v>
      </c>
      <c r="D143" s="173"/>
      <c r="E143" s="209" t="str">
        <f>Commodities!$Z$11</f>
        <v>TER_TS_SH</v>
      </c>
      <c r="F143" s="230">
        <v>20</v>
      </c>
      <c r="H143" s="231"/>
    </row>
    <row r="144" spans="2:22" x14ac:dyDescent="0.25">
      <c r="B144" s="176" t="str">
        <f t="shared" si="34"/>
        <v>TER_TS_SH_LPG_E01</v>
      </c>
      <c r="C144" s="176" t="str">
        <f t="shared" si="35"/>
        <v>Services (Public) SpHeat LPG Boiler (E)</v>
      </c>
      <c r="D144" s="176"/>
      <c r="E144" s="217" t="str">
        <f>Commodities!$Z$11</f>
        <v>TER_TS_SH</v>
      </c>
      <c r="F144" s="232">
        <v>25</v>
      </c>
      <c r="H144" s="231"/>
    </row>
  </sheetData>
  <conditionalFormatting sqref="L26:L29">
    <cfRule type="cellIs" dxfId="5" priority="8" stopIfTrue="1" operator="notEqual">
      <formula>0</formula>
    </cfRule>
  </conditionalFormatting>
  <conditionalFormatting sqref="G95:G115">
    <cfRule type="cellIs" dxfId="4" priority="6" operator="greaterThan">
      <formula>1</formula>
    </cfRule>
  </conditionalFormatting>
  <conditionalFormatting sqref="F93:F115">
    <cfRule type="cellIs" dxfId="3" priority="5" operator="greaterThan">
      <formula>0.55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4"/>
  <sheetViews>
    <sheetView zoomScale="70" zoomScaleNormal="70" workbookViewId="0">
      <pane xSplit="6" ySplit="6" topLeftCell="G63" activePane="bottomRight" state="frozen"/>
      <selection activeCell="O50" sqref="O50"/>
      <selection pane="topRight" activeCell="O50" sqref="O50"/>
      <selection pane="bottomLeft" activeCell="O50" sqref="O50"/>
      <selection pane="bottomRight" sqref="A1:XFD1048576"/>
    </sheetView>
  </sheetViews>
  <sheetFormatPr defaultRowHeight="13.2" x14ac:dyDescent="0.25"/>
  <cols>
    <col min="1" max="1" width="4.33203125" style="45" customWidth="1"/>
    <col min="2" max="2" width="35.6640625" style="45" customWidth="1"/>
    <col min="3" max="3" width="76.88671875" style="45" bestFit="1" customWidth="1"/>
    <col min="4" max="4" width="18.109375" style="45" customWidth="1"/>
    <col min="5" max="5" width="25.5546875" style="45" customWidth="1"/>
    <col min="6" max="6" width="9.6640625" style="45" bestFit="1" customWidth="1"/>
    <col min="7" max="7" width="5.6640625" style="45" customWidth="1"/>
    <col min="8" max="8" width="23.88671875" style="45" customWidth="1"/>
    <col min="9" max="9" width="21.33203125" style="45" bestFit="1" customWidth="1"/>
    <col min="10" max="10" width="34.44140625" style="45" bestFit="1" customWidth="1"/>
    <col min="11" max="11" width="43.44140625" style="45" bestFit="1" customWidth="1"/>
    <col min="12" max="12" width="20.44140625" style="45" customWidth="1"/>
    <col min="13" max="13" width="20.44140625" style="248" customWidth="1"/>
    <col min="14" max="14" width="28.5546875" style="45" customWidth="1"/>
    <col min="15" max="15" width="25.109375" style="45" customWidth="1"/>
    <col min="16" max="16" width="38.44140625" style="45" customWidth="1"/>
    <col min="17" max="17" width="44.109375" style="45" customWidth="1"/>
    <col min="18" max="18" width="37" style="140" bestFit="1" customWidth="1"/>
    <col min="19" max="19" width="14.6640625" style="140" bestFit="1" customWidth="1"/>
    <col min="20" max="20" width="35" style="140" bestFit="1" customWidth="1"/>
    <col min="21" max="21" width="27.6640625" style="140" bestFit="1" customWidth="1"/>
    <col min="22" max="22" width="17.88671875" style="140" bestFit="1" customWidth="1"/>
    <col min="23" max="16384" width="8.88671875" style="45"/>
  </cols>
  <sheetData>
    <row r="1" spans="1:24" ht="17.399999999999999" x14ac:dyDescent="0.3">
      <c r="A1" s="93" t="s">
        <v>331</v>
      </c>
      <c r="B1" s="93"/>
      <c r="C1" s="93"/>
      <c r="D1" s="93"/>
      <c r="E1" s="93"/>
      <c r="F1" s="93"/>
      <c r="K1" s="247"/>
      <c r="P1" s="6"/>
      <c r="Q1" s="6"/>
      <c r="R1" s="6"/>
      <c r="S1" s="33"/>
      <c r="T1" s="33"/>
      <c r="U1" s="33"/>
      <c r="V1" s="33"/>
      <c r="W1" s="33"/>
      <c r="X1" s="6"/>
    </row>
    <row r="2" spans="1:24" ht="12.75" customHeight="1" x14ac:dyDescent="0.25">
      <c r="A2" s="92"/>
      <c r="F2" s="190">
        <v>3</v>
      </c>
      <c r="K2" s="247"/>
      <c r="L2" s="249"/>
      <c r="O2" s="6" t="s">
        <v>105</v>
      </c>
      <c r="P2" s="6"/>
      <c r="Q2" s="6"/>
      <c r="R2" s="6"/>
      <c r="S2" s="33"/>
      <c r="T2" s="33"/>
      <c r="U2" s="33"/>
      <c r="V2" s="33"/>
      <c r="W2" s="33"/>
      <c r="X2" s="6"/>
    </row>
    <row r="3" spans="1:24" ht="27" customHeight="1" x14ac:dyDescent="0.25">
      <c r="E3" s="92" t="s">
        <v>291</v>
      </c>
      <c r="H3" s="193" t="s">
        <v>585</v>
      </c>
      <c r="I3" s="233"/>
      <c r="J3" s="234"/>
      <c r="K3" s="234"/>
      <c r="L3" s="193"/>
      <c r="O3" s="142" t="s">
        <v>39</v>
      </c>
      <c r="P3" s="142"/>
      <c r="Q3" s="142" t="s">
        <v>276</v>
      </c>
      <c r="R3" s="142"/>
      <c r="S3" s="191"/>
      <c r="T3" s="191"/>
      <c r="U3" s="191"/>
      <c r="V3" s="191"/>
      <c r="W3" s="191"/>
      <c r="X3" s="6"/>
    </row>
    <row r="4" spans="1:24" ht="27.75" customHeight="1" x14ac:dyDescent="0.25">
      <c r="B4" s="95" t="s">
        <v>1</v>
      </c>
      <c r="C4" s="95" t="s">
        <v>42</v>
      </c>
      <c r="D4" s="95" t="s">
        <v>7</v>
      </c>
      <c r="E4" s="192" t="s">
        <v>8</v>
      </c>
      <c r="F4" s="143" t="s">
        <v>405</v>
      </c>
      <c r="H4" s="235" t="s">
        <v>297</v>
      </c>
      <c r="I4" s="236"/>
      <c r="J4" s="237"/>
      <c r="K4" s="237"/>
      <c r="L4" s="238" t="s">
        <v>298</v>
      </c>
      <c r="O4" s="170" t="s">
        <v>19</v>
      </c>
      <c r="P4" s="170"/>
      <c r="Q4" s="142"/>
      <c r="R4" s="142"/>
      <c r="S4" s="191"/>
      <c r="T4" s="191"/>
      <c r="U4" s="191"/>
      <c r="V4" s="191"/>
      <c r="W4" s="191"/>
      <c r="X4" s="6"/>
    </row>
    <row r="5" spans="1:24" ht="14.4" thickBot="1" x14ac:dyDescent="0.3">
      <c r="B5" s="113" t="s">
        <v>296</v>
      </c>
      <c r="C5" s="113" t="s">
        <v>26</v>
      </c>
      <c r="D5" s="112" t="s">
        <v>36</v>
      </c>
      <c r="E5" s="155" t="s">
        <v>37</v>
      </c>
      <c r="F5" s="113"/>
      <c r="H5" s="192"/>
      <c r="I5" s="236" t="s">
        <v>299</v>
      </c>
      <c r="J5" s="237" t="s">
        <v>300</v>
      </c>
      <c r="K5" s="237" t="s">
        <v>301</v>
      </c>
      <c r="L5" s="238" t="s">
        <v>298</v>
      </c>
      <c r="O5" s="147" t="s">
        <v>13</v>
      </c>
      <c r="P5" s="147" t="s">
        <v>34</v>
      </c>
      <c r="Q5" s="147" t="s">
        <v>1</v>
      </c>
      <c r="R5" s="147" t="s">
        <v>2</v>
      </c>
      <c r="S5" s="196" t="s">
        <v>20</v>
      </c>
      <c r="T5" s="196" t="s">
        <v>21</v>
      </c>
      <c r="U5" s="196" t="s">
        <v>22</v>
      </c>
      <c r="V5" s="196" t="s">
        <v>23</v>
      </c>
      <c r="W5" s="196" t="s">
        <v>24</v>
      </c>
      <c r="X5" s="6"/>
    </row>
    <row r="6" spans="1:24" s="207" customFormat="1" ht="19.5" customHeight="1" thickBot="1" x14ac:dyDescent="0.3">
      <c r="B6" s="239" t="s">
        <v>229</v>
      </c>
      <c r="C6" s="239"/>
      <c r="D6" s="239"/>
      <c r="E6" s="240"/>
      <c r="F6" s="201" t="str">
        <f>General!$B$5</f>
        <v>GW</v>
      </c>
      <c r="H6" s="241" t="s">
        <v>335</v>
      </c>
      <c r="I6" s="241" t="str">
        <f>General!$B$2</f>
        <v>PJ</v>
      </c>
      <c r="J6" s="242" t="str">
        <f>General!$B$2</f>
        <v>PJ</v>
      </c>
      <c r="K6" s="243" t="str">
        <f>General!$B$2</f>
        <v>PJ</v>
      </c>
      <c r="L6" s="199"/>
      <c r="M6" s="248"/>
      <c r="O6" s="202" t="s">
        <v>44</v>
      </c>
      <c r="P6" s="202" t="s">
        <v>35</v>
      </c>
      <c r="Q6" s="202" t="s">
        <v>25</v>
      </c>
      <c r="R6" s="202" t="s">
        <v>26</v>
      </c>
      <c r="S6" s="203" t="s">
        <v>27</v>
      </c>
      <c r="T6" s="203" t="s">
        <v>28</v>
      </c>
      <c r="U6" s="203" t="s">
        <v>48</v>
      </c>
      <c r="V6" s="203" t="s">
        <v>47</v>
      </c>
      <c r="W6" s="203" t="s">
        <v>29</v>
      </c>
      <c r="X6" s="244"/>
    </row>
    <row r="7" spans="1:24" ht="15" customHeight="1" x14ac:dyDescent="0.25">
      <c r="B7" s="250" t="str">
        <f t="shared" ref="B7:B21" si="0">Q7</f>
        <v>TER_TP_WH_BIC_E01</v>
      </c>
      <c r="C7" s="189" t="str">
        <f t="shared" ref="C7:C21" si="1">R7</f>
        <v>Private (Commercial) WatHeat Coal  (E)</v>
      </c>
      <c r="D7" s="189" t="str">
        <f>Commodities!$D$29</f>
        <v>TERCOABIC</v>
      </c>
      <c r="E7" s="251" t="str">
        <f>Commodities!$Z$12</f>
        <v>TER_TP_WH</v>
      </c>
      <c r="F7" s="252">
        <f>($H7*VLOOKUP(LEFT($B7,6),TER_Stock!$C$16:$E$17,F$2,FALSE)*VLOOKUP($B7,TER_Stock!$F$54:$G$68,2,FALSE)/1000)*(Stk_Mult)</f>
        <v>0.78967495521192854</v>
      </c>
      <c r="H7" s="253">
        <f>TER_Tech_SpHeat!H7*1.25</f>
        <v>0.125</v>
      </c>
      <c r="I7" s="254">
        <f t="shared" ref="I7:I21" si="2">F7*F49*F70</f>
        <v>0.85787532000000033</v>
      </c>
      <c r="J7" s="254">
        <f t="shared" ref="J7:J21" si="3">F7*F49*F70/F28</f>
        <v>1.7157506400000007</v>
      </c>
      <c r="K7" s="254">
        <f>VLOOKUP(LEFT($B7,9),COM_En_Balance!$C$36:$S$54,MATCH($D7,COM_En_Balance!$D$36:$S$36,0)+1,FALSE)</f>
        <v>1.7157506400000004</v>
      </c>
      <c r="L7" s="214">
        <f t="shared" ref="L7:L21" si="4">SUM(J7:J7)-SUM(K7:K7)</f>
        <v>0</v>
      </c>
      <c r="N7" s="187"/>
      <c r="O7" s="6" t="s">
        <v>230</v>
      </c>
      <c r="P7" s="6"/>
      <c r="Q7" s="6" t="str">
        <f>Commodities!$Z$12&amp;"_"&amp;RIGHT(Commodities!$D$29,3)&amp;"_"&amp;$Q$3&amp;"01"</f>
        <v>TER_TP_WH_BIC_E01</v>
      </c>
      <c r="R7" s="6" t="s">
        <v>426</v>
      </c>
      <c r="S7" s="33" t="str">
        <f>General!$B$2</f>
        <v>PJ</v>
      </c>
      <c r="T7" s="33" t="str">
        <f>General!$B$5</f>
        <v>GW</v>
      </c>
      <c r="U7" s="33" t="s">
        <v>93</v>
      </c>
      <c r="V7" s="33"/>
      <c r="W7" s="33"/>
      <c r="X7" s="6"/>
    </row>
    <row r="8" spans="1:24" ht="13.8" x14ac:dyDescent="0.25">
      <c r="B8" s="255" t="str">
        <f t="shared" si="0"/>
        <v>TER_TP_WH_GAS_E01</v>
      </c>
      <c r="C8" s="173" t="str">
        <f t="shared" si="1"/>
        <v>Private (Commercial) WatHeat Gas  (E)</v>
      </c>
      <c r="D8" s="173" t="str">
        <f>Commodities!$D$37</f>
        <v>TERGASNAT</v>
      </c>
      <c r="E8" s="209" t="str">
        <f>Commodities!$Z$12</f>
        <v>TER_TP_WH</v>
      </c>
      <c r="F8" s="256">
        <f>($H8*VLOOKUP(LEFT($B8,6),TER_Stock!$C$16:$E$17,F$2,FALSE)*VLOOKUP($B8,TER_Stock!$F$54:$G$68,2,FALSE)/1000)*(Stk_Mult)</f>
        <v>1.2290949603039421</v>
      </c>
      <c r="H8" s="253">
        <f>TER_Tech_SpHeat!H13*1.25</f>
        <v>0.125</v>
      </c>
      <c r="I8" s="257">
        <f t="shared" si="2"/>
        <v>2.0028688236000001</v>
      </c>
      <c r="J8" s="257">
        <f t="shared" si="3"/>
        <v>2.6704917647999999</v>
      </c>
      <c r="K8" s="257">
        <f>VLOOKUP(LEFT($B8,9),COM_En_Balance!$C$36:$S$54,MATCH($D8,COM_En_Balance!$D$36:$S$36,0)+1,FALSE)</f>
        <v>2.6704917647999999</v>
      </c>
      <c r="L8" s="214">
        <f t="shared" si="4"/>
        <v>0</v>
      </c>
      <c r="O8" s="9"/>
      <c r="P8" s="9"/>
      <c r="Q8" s="6" t="str">
        <f>Commodities!$Z$12&amp;"_"&amp;LEFT(RIGHT(Commodities!$D$26,6),3)&amp;"_"&amp;$Q$3&amp;"01"</f>
        <v>TER_TP_WH_GAS_E01</v>
      </c>
      <c r="R8" s="6" t="s">
        <v>427</v>
      </c>
      <c r="S8" s="33" t="str">
        <f>General!$B$2</f>
        <v>PJ</v>
      </c>
      <c r="T8" s="33" t="str">
        <f>General!$B$5</f>
        <v>GW</v>
      </c>
      <c r="U8" s="33" t="s">
        <v>93</v>
      </c>
      <c r="V8" s="12"/>
      <c r="W8" s="12"/>
      <c r="X8" s="6"/>
    </row>
    <row r="9" spans="1:24" ht="15.75" customHeight="1" x14ac:dyDescent="0.25">
      <c r="B9" s="255" t="str">
        <f t="shared" si="0"/>
        <v>TER_TP_WH_LTH_E01</v>
      </c>
      <c r="C9" s="173" t="str">
        <f t="shared" si="1"/>
        <v>Private (Commercial) WatHeat Dist. Heat (E)</v>
      </c>
      <c r="D9" s="173" t="str">
        <f>Commodities!$D$51</f>
        <v>TERLTH</v>
      </c>
      <c r="E9" s="209" t="str">
        <f>Commodities!$Z$12</f>
        <v>TER_TP_WH</v>
      </c>
      <c r="F9" s="256">
        <f>($H9*VLOOKUP(LEFT($B9,6),TER_Stock!$C$16:$E$17,F$2,FALSE)*VLOOKUP($B9,TER_Stock!$F$54:$G$68,2,FALSE)/1000)*(Stk_Mult)</f>
        <v>3.2434867852921379</v>
      </c>
      <c r="H9" s="253">
        <f>TER_Tech_SpHeat!H14*1.25</f>
        <v>0.125</v>
      </c>
      <c r="I9" s="257">
        <f t="shared" si="2"/>
        <v>6.3424995840000014</v>
      </c>
      <c r="J9" s="257">
        <f t="shared" si="3"/>
        <v>7.0472217600000011</v>
      </c>
      <c r="K9" s="257">
        <f>VLOOKUP(LEFT($B9,9),COM_En_Balance!$C$36:$S$54,MATCH($D9,COM_En_Balance!$D$36:$S$36,0)+1,FALSE)</f>
        <v>7.0472217600000011</v>
      </c>
      <c r="L9" s="214">
        <f t="shared" si="4"/>
        <v>0</v>
      </c>
      <c r="O9" s="9"/>
      <c r="P9" s="9"/>
      <c r="Q9" s="6" t="str">
        <f>Commodities!$Z$12&amp;"_LTH_"&amp;$Q$3&amp;"01"</f>
        <v>TER_TP_WH_LTH_E01</v>
      </c>
      <c r="R9" s="6" t="s">
        <v>428</v>
      </c>
      <c r="S9" s="33" t="str">
        <f>General!$B$2</f>
        <v>PJ</v>
      </c>
      <c r="T9" s="33" t="str">
        <f>General!$B$5</f>
        <v>GW</v>
      </c>
      <c r="U9" s="33" t="s">
        <v>93</v>
      </c>
      <c r="V9" s="12"/>
      <c r="W9" s="12"/>
      <c r="X9" s="6"/>
    </row>
    <row r="10" spans="1:24" ht="13.8" x14ac:dyDescent="0.25">
      <c r="B10" s="255" t="str">
        <f t="shared" si="0"/>
        <v>TER_TP_WH_LPG_E01</v>
      </c>
      <c r="C10" s="173" t="str">
        <f t="shared" si="1"/>
        <v>Private (Commercial) WatHeat LPG  (E)</v>
      </c>
      <c r="D10" s="173" t="str">
        <f>Commodities!$D$34</f>
        <v>TEROILLPG</v>
      </c>
      <c r="E10" s="209" t="str">
        <f>Commodities!$Z$12</f>
        <v>TER_TP_WH</v>
      </c>
      <c r="F10" s="256">
        <f>($H10*VLOOKUP(LEFT($B10,6),TER_Stock!$C$16:$E$17,F$2,FALSE)*VLOOKUP($B10,TER_Stock!$F$54:$G$68,2,FALSE)/1000)*(Stk_Mult)</f>
        <v>0</v>
      </c>
      <c r="H10" s="253">
        <f>TER_Tech_SpHeat!H17*1.25</f>
        <v>0.125</v>
      </c>
      <c r="I10" s="257">
        <f t="shared" si="2"/>
        <v>0</v>
      </c>
      <c r="J10" s="257">
        <f t="shared" si="3"/>
        <v>0</v>
      </c>
      <c r="K10" s="257">
        <f>VLOOKUP(LEFT($B10,9),COM_En_Balance!$C$36:$S$54,MATCH($D10,COM_En_Balance!$D$36:$S$36,0)+1,FALSE)</f>
        <v>0</v>
      </c>
      <c r="L10" s="214">
        <f t="shared" si="4"/>
        <v>0</v>
      </c>
      <c r="O10" s="9"/>
      <c r="P10" s="9"/>
      <c r="Q10" s="6" t="str">
        <f>Commodities!$Z$12&amp;"_"&amp;RIGHT(Commodities!$D$25,3)&amp;"_"&amp;$Q$3&amp;"01"</f>
        <v>TER_TP_WH_LPG_E01</v>
      </c>
      <c r="R10" s="6" t="s">
        <v>429</v>
      </c>
      <c r="S10" s="33" t="str">
        <f>General!$B$2</f>
        <v>PJ</v>
      </c>
      <c r="T10" s="33" t="str">
        <f>General!$B$5</f>
        <v>GW</v>
      </c>
      <c r="U10" s="33" t="s">
        <v>93</v>
      </c>
      <c r="V10" s="12"/>
      <c r="W10" s="12"/>
      <c r="X10" s="6"/>
    </row>
    <row r="11" spans="1:24" ht="13.8" x14ac:dyDescent="0.25">
      <c r="B11" s="255" t="str">
        <f t="shared" si="0"/>
        <v>TER_TP_WH_LOG_E01</v>
      </c>
      <c r="C11" s="173" t="str">
        <f t="shared" si="1"/>
        <v>Private (Commercial) WatHeat Wood  (E)</v>
      </c>
      <c r="D11" s="173" t="str">
        <f>Commodities!$D$38</f>
        <v>TERBIOLOG</v>
      </c>
      <c r="E11" s="209" t="str">
        <f>Commodities!$Z$12</f>
        <v>TER_TP_WH</v>
      </c>
      <c r="F11" s="256">
        <f>($H11*VLOOKUP(LEFT($B11,6),TER_Stock!$C$16:$E$17,F$2,FALSE)*VLOOKUP($B11,TER_Stock!$F$54:$G$68,2,FALSE)/1000)*(Stk_Mult)</f>
        <v>0</v>
      </c>
      <c r="H11" s="253">
        <f>TER_Tech_SpHeat!H15*1.25</f>
        <v>0.125</v>
      </c>
      <c r="I11" s="257">
        <f t="shared" si="2"/>
        <v>0</v>
      </c>
      <c r="J11" s="257">
        <f t="shared" si="3"/>
        <v>0</v>
      </c>
      <c r="K11" s="257">
        <f>VLOOKUP(LEFT($B11,9),COM_En_Balance!$C$36:$S$54,MATCH($D11,COM_En_Balance!$D$36:$S$36,0)+1,FALSE)</f>
        <v>0</v>
      </c>
      <c r="L11" s="214">
        <f t="shared" si="4"/>
        <v>0</v>
      </c>
      <c r="O11" s="9"/>
      <c r="P11" s="9"/>
      <c r="Q11" s="6" t="str">
        <f>Commodities!$Z$12&amp;"_"&amp;RIGHT(Commodities!$D$27,3)&amp;"_"&amp;$Q$3&amp;"01"</f>
        <v>TER_TP_WH_LOG_E01</v>
      </c>
      <c r="R11" s="6" t="s">
        <v>430</v>
      </c>
      <c r="S11" s="33" t="str">
        <f>General!$B$2</f>
        <v>PJ</v>
      </c>
      <c r="T11" s="33" t="str">
        <f>General!$B$5</f>
        <v>GW</v>
      </c>
      <c r="U11" s="33" t="s">
        <v>93</v>
      </c>
      <c r="V11" s="12"/>
      <c r="W11" s="12"/>
      <c r="X11" s="6"/>
    </row>
    <row r="12" spans="1:24" ht="13.8" x14ac:dyDescent="0.25">
      <c r="B12" s="255" t="str">
        <f t="shared" si="0"/>
        <v>TER_TP_WH_DSL_E01</v>
      </c>
      <c r="C12" s="173" t="str">
        <f t="shared" si="1"/>
        <v>Private (Commercial) WatHeat Diesel  (E)</v>
      </c>
      <c r="D12" s="173" t="str">
        <f>Commodities!$D$32</f>
        <v>TEROILDSL</v>
      </c>
      <c r="E12" s="209" t="str">
        <f>Commodities!$Z$12</f>
        <v>TER_TP_WH</v>
      </c>
      <c r="F12" s="256">
        <f>($H12*VLOOKUP(LEFT($B12,6),TER_Stock!$C$16:$E$17,F$2,FALSE)*VLOOKUP($B12,TER_Stock!$F$54:$G$68,2,FALSE)/1000)*(Stk_Mult)</f>
        <v>0.32681520840396056</v>
      </c>
      <c r="H12" s="253">
        <f>TER_Tech_SpHeat!H11*1.25</f>
        <v>0.125</v>
      </c>
      <c r="I12" s="257">
        <f t="shared" si="2"/>
        <v>0.39054470400000008</v>
      </c>
      <c r="J12" s="257">
        <f t="shared" si="3"/>
        <v>0.71008128000000004</v>
      </c>
      <c r="K12" s="257">
        <f>VLOOKUP(LEFT($B12,9),COM_En_Balance!$C$36:$S$54,MATCH($D12,COM_En_Balance!$D$36:$S$36,0)+1,FALSE)</f>
        <v>0.71008128000000004</v>
      </c>
      <c r="L12" s="214">
        <f t="shared" si="4"/>
        <v>0</v>
      </c>
      <c r="O12" s="9"/>
      <c r="P12" s="9"/>
      <c r="Q12" s="9" t="str">
        <f>Commodities!$Z$12&amp;"_"&amp;RIGHT(Commodities!$D$32,3)&amp;"_"&amp;$Q$3&amp;"01"</f>
        <v>TER_TP_WH_DSL_E01</v>
      </c>
      <c r="R12" s="6" t="s">
        <v>431</v>
      </c>
      <c r="S12" s="33" t="str">
        <f>General!$B$2</f>
        <v>PJ</v>
      </c>
      <c r="T12" s="33" t="str">
        <f>General!$B$5</f>
        <v>GW</v>
      </c>
      <c r="U12" s="33" t="s">
        <v>93</v>
      </c>
      <c r="V12" s="12"/>
      <c r="W12" s="12"/>
      <c r="X12" s="6"/>
    </row>
    <row r="13" spans="1:24" ht="13.8" x14ac:dyDescent="0.25">
      <c r="B13" s="258" t="str">
        <f t="shared" si="0"/>
        <v>TER_TP_WH_ELC_E01</v>
      </c>
      <c r="C13" s="176" t="str">
        <f t="shared" si="1"/>
        <v>Private (Commercial) WatHeat Electric  (E)</v>
      </c>
      <c r="D13" s="176" t="str">
        <f>Commodities!$D$49</f>
        <v>TERELC</v>
      </c>
      <c r="E13" s="217" t="str">
        <f>Commodities!$Z$12</f>
        <v>TER_TP_WH</v>
      </c>
      <c r="F13" s="259">
        <f>($H13*VLOOKUP(LEFT($B13,6),TER_Stock!$C$16:$E$17,F$2,FALSE)*VLOOKUP($B13,TER_Stock!$F$54:$G$68,2,FALSE)/1000)*(Stk_Mult)</f>
        <v>0.12574831775811071</v>
      </c>
      <c r="G13" s="173"/>
      <c r="H13" s="219">
        <f>TER_Tech_SpHeat!H16*1.25</f>
        <v>0.4375</v>
      </c>
      <c r="I13" s="260">
        <f t="shared" si="2"/>
        <v>7.0255843776000013E-2</v>
      </c>
      <c r="J13" s="260">
        <f t="shared" si="3"/>
        <v>7.8062048640000006E-2</v>
      </c>
      <c r="K13" s="260">
        <f>VLOOKUP(LEFT($B13,9),COM_En_Balance!$C$36:$S$54,MATCH($D13,COM_En_Balance!$D$36:$S$36,0)+1,FALSE)</f>
        <v>7.8062048640000006E-2</v>
      </c>
      <c r="L13" s="222">
        <f t="shared" si="4"/>
        <v>0</v>
      </c>
      <c r="O13" s="204"/>
      <c r="P13" s="204"/>
      <c r="Q13" s="204" t="str">
        <f>Commodities!$Z$12&amp;"_"&amp;RIGHT(Commodities!$D$48,3)&amp;"_"&amp;$Q$3&amp;"01"</f>
        <v>TER_TP_WH_ELC_E01</v>
      </c>
      <c r="R13" s="204" t="s">
        <v>432</v>
      </c>
      <c r="S13" s="120" t="str">
        <f>General!$B$2</f>
        <v>PJ</v>
      </c>
      <c r="T13" s="120" t="str">
        <f>General!$B$5</f>
        <v>GW</v>
      </c>
      <c r="U13" s="120" t="s">
        <v>93</v>
      </c>
      <c r="V13" s="120"/>
      <c r="W13" s="120"/>
      <c r="X13" s="204"/>
    </row>
    <row r="14" spans="1:24" ht="13.8" x14ac:dyDescent="0.25">
      <c r="B14" s="255" t="str">
        <f t="shared" si="0"/>
        <v>TER_TS_WH_BIC_E01</v>
      </c>
      <c r="C14" s="173" t="str">
        <f t="shared" si="1"/>
        <v>Services (Public) WatHeat Coal  (E)</v>
      </c>
      <c r="D14" s="173" t="str">
        <f>Commodities!$D$29</f>
        <v>TERCOABIC</v>
      </c>
      <c r="E14" s="209" t="str">
        <f>Commodities!$Z$13</f>
        <v>TER_TS_WH</v>
      </c>
      <c r="F14" s="256">
        <f>($H14*VLOOKUP(LEFT($B14,6),TER_Stock!$C$16:$E$17,F$2,FALSE)*VLOOKUP($B14,TER_Stock!$F$54:$G$68,2,FALSE)/1000)*(Stk_Mult)</f>
        <v>0.96515827859235692</v>
      </c>
      <c r="G14" s="173"/>
      <c r="H14" s="253">
        <f>H7</f>
        <v>0.125</v>
      </c>
      <c r="I14" s="257">
        <f t="shared" si="2"/>
        <v>1.2868129800000003</v>
      </c>
      <c r="J14" s="261">
        <f t="shared" si="3"/>
        <v>2.5736259600000007</v>
      </c>
      <c r="K14" s="261">
        <f>VLOOKUP(LEFT($B14,9),COM_En_Balance!$C$36:$S$54,MATCH($D14,COM_En_Balance!$D$36:$S$36,0)+1,FALSE)</f>
        <v>2.5736259600000007</v>
      </c>
      <c r="L14" s="214">
        <f t="shared" si="4"/>
        <v>0</v>
      </c>
      <c r="N14" s="187"/>
      <c r="O14" s="245"/>
      <c r="P14" s="245"/>
      <c r="Q14" s="245" t="str">
        <f>Commodities!$Z$13&amp;"_"&amp;RIGHT(Commodities!$D$29,3)&amp;"_"&amp;$Q$3&amp;"01"</f>
        <v>TER_TS_WH_BIC_E01</v>
      </c>
      <c r="R14" s="245" t="s">
        <v>433</v>
      </c>
      <c r="S14" s="246" t="str">
        <f>General!$B$2</f>
        <v>PJ</v>
      </c>
      <c r="T14" s="246" t="str">
        <f>General!$B$5</f>
        <v>GW</v>
      </c>
      <c r="U14" s="33" t="s">
        <v>93</v>
      </c>
      <c r="V14" s="246"/>
      <c r="W14" s="246"/>
      <c r="X14" s="6"/>
    </row>
    <row r="15" spans="1:24" ht="13.8" x14ac:dyDescent="0.25">
      <c r="B15" s="255" t="str">
        <f t="shared" si="0"/>
        <v>TER_TS_WH_BKB_E01</v>
      </c>
      <c r="C15" s="173" t="str">
        <f t="shared" si="1"/>
        <v>Services (Public)Communal  WatHeat BKB  (E)</v>
      </c>
      <c r="D15" s="173" t="str">
        <f>Commodities!$D$31</f>
        <v>TERCOABKB</v>
      </c>
      <c r="E15" s="209" t="str">
        <f>Commodities!$Z$13</f>
        <v>TER_TS_WH</v>
      </c>
      <c r="F15" s="256">
        <f>($H15*VLOOKUP(LEFT($B15,6),TER_Stock!$C$16:$E$17,F$2,FALSE)*VLOOKUP($B15,TER_Stock!$F$54:$G$68,2,FALSE)/1000)*(Stk_Mult)</f>
        <v>0</v>
      </c>
      <c r="G15" s="173"/>
      <c r="H15" s="253">
        <f t="shared" ref="H15:H19" si="5">H8</f>
        <v>0.125</v>
      </c>
      <c r="I15" s="257">
        <f t="shared" si="2"/>
        <v>0</v>
      </c>
      <c r="J15" s="257">
        <f t="shared" si="3"/>
        <v>0</v>
      </c>
      <c r="K15" s="257">
        <f>VLOOKUP(LEFT($B15,9),COM_En_Balance!$C$36:$S$54,MATCH($D15,COM_En_Balance!$D$36:$S$36,0)+1,FALSE)</f>
        <v>0</v>
      </c>
      <c r="L15" s="214">
        <f t="shared" si="4"/>
        <v>0</v>
      </c>
      <c r="O15" s="9"/>
      <c r="P15" s="9"/>
      <c r="Q15" s="9" t="str">
        <f>Commodities!$Z$13&amp;"_"&amp;RIGHT(Commodities!$D$31,3)&amp;"_"&amp;$Q$3&amp;"01"</f>
        <v>TER_TS_WH_BKB_E01</v>
      </c>
      <c r="R15" s="9" t="s">
        <v>434</v>
      </c>
      <c r="S15" s="12" t="str">
        <f>General!$B$2</f>
        <v>PJ</v>
      </c>
      <c r="T15" s="12" t="str">
        <f>General!$B$5</f>
        <v>GW</v>
      </c>
      <c r="U15" s="33" t="s">
        <v>93</v>
      </c>
      <c r="V15" s="12"/>
      <c r="W15" s="12"/>
      <c r="X15" s="6"/>
    </row>
    <row r="16" spans="1:24" ht="13.8" x14ac:dyDescent="0.25">
      <c r="B16" s="255" t="str">
        <f t="shared" si="0"/>
        <v>TER_TS_WH_GAS_E01</v>
      </c>
      <c r="C16" s="173" t="str">
        <f t="shared" si="1"/>
        <v>Services (Public) WatHeat Gas  (E)</v>
      </c>
      <c r="D16" s="173" t="str">
        <f>Commodities!$D$37</f>
        <v>TERGASNAT</v>
      </c>
      <c r="E16" s="209" t="str">
        <f>Commodities!$Z$13</f>
        <v>TER_TS_WH</v>
      </c>
      <c r="F16" s="256">
        <f>($H16*VLOOKUP(LEFT($B16,6),TER_Stock!$C$16:$E$17,F$2,FALSE)*VLOOKUP($B16,TER_Stock!$F$54:$G$68,2,FALSE)/1000)*(Stk_Mult)</f>
        <v>1.5022271737048176</v>
      </c>
      <c r="G16" s="173"/>
      <c r="H16" s="253">
        <f t="shared" si="5"/>
        <v>0.125</v>
      </c>
      <c r="I16" s="257">
        <f t="shared" si="2"/>
        <v>3.0043032353999992</v>
      </c>
      <c r="J16" s="257">
        <f t="shared" si="3"/>
        <v>4.0057376471999993</v>
      </c>
      <c r="K16" s="257">
        <f>VLOOKUP(LEFT($B16,9),COM_En_Balance!$C$36:$S$54,MATCH($D16,COM_En_Balance!$D$36:$S$36,0)+1,FALSE)</f>
        <v>4.0057376471999993</v>
      </c>
      <c r="L16" s="214">
        <f t="shared" si="4"/>
        <v>0</v>
      </c>
      <c r="N16" s="187"/>
      <c r="O16" s="9"/>
      <c r="P16" s="9"/>
      <c r="Q16" s="9" t="str">
        <f>Commodities!$Z$13&amp;"_"&amp;LEFT(RIGHT(Commodities!$D$26,6),3)&amp;"_"&amp;$Q$3&amp;"01"</f>
        <v>TER_TS_WH_GAS_E01</v>
      </c>
      <c r="R16" s="9" t="s">
        <v>435</v>
      </c>
      <c r="S16" s="12" t="str">
        <f>General!$B$2</f>
        <v>PJ</v>
      </c>
      <c r="T16" s="12" t="str">
        <f>General!$B$5</f>
        <v>GW</v>
      </c>
      <c r="U16" s="33" t="s">
        <v>93</v>
      </c>
      <c r="V16" s="12"/>
      <c r="W16" s="12"/>
      <c r="X16" s="6"/>
    </row>
    <row r="17" spans="2:24" ht="13.8" x14ac:dyDescent="0.25">
      <c r="B17" s="255" t="str">
        <f t="shared" si="0"/>
        <v>TER_TS_WH_LTH_E01</v>
      </c>
      <c r="C17" s="173" t="str">
        <f t="shared" si="1"/>
        <v>Services (Public) WatHeat Dist. Heat (E)</v>
      </c>
      <c r="D17" s="173" t="str">
        <f>Commodities!$D$51</f>
        <v>TERLTH</v>
      </c>
      <c r="E17" s="209" t="str">
        <f>Commodities!$Z$13</f>
        <v>TER_TS_WH</v>
      </c>
      <c r="F17" s="256">
        <f>($H17*VLOOKUP(LEFT($B17,6),TER_Stock!$C$16:$E$17,F$2,FALSE)*VLOOKUP($B17,TER_Stock!$F$54:$G$68,2,FALSE)/1000)*(Stk_Mult)</f>
        <v>3.964261626468168</v>
      </c>
      <c r="G17" s="173"/>
      <c r="H17" s="253">
        <f t="shared" si="5"/>
        <v>0.125</v>
      </c>
      <c r="I17" s="257">
        <f t="shared" si="2"/>
        <v>9.5137493760000034</v>
      </c>
      <c r="J17" s="257">
        <f t="shared" si="3"/>
        <v>10.570832640000004</v>
      </c>
      <c r="K17" s="257">
        <f>VLOOKUP(LEFT($B17,9),COM_En_Balance!$C$36:$S$54,MATCH($D17,COM_En_Balance!$D$36:$S$36,0)+1,FALSE)</f>
        <v>10.570832640000003</v>
      </c>
      <c r="L17" s="214">
        <f t="shared" si="4"/>
        <v>0</v>
      </c>
      <c r="O17" s="9"/>
      <c r="P17" s="9"/>
      <c r="Q17" s="9" t="str">
        <f>Commodities!$Z$13&amp;"_LTH_"&amp;$Q$3&amp;"01"</f>
        <v>TER_TS_WH_LTH_E01</v>
      </c>
      <c r="R17" s="9" t="s">
        <v>436</v>
      </c>
      <c r="S17" s="12" t="str">
        <f>General!$B$2</f>
        <v>PJ</v>
      </c>
      <c r="T17" s="12" t="str">
        <f>General!$B$5</f>
        <v>GW</v>
      </c>
      <c r="U17" s="33" t="s">
        <v>93</v>
      </c>
      <c r="V17" s="12"/>
      <c r="W17" s="12"/>
      <c r="X17" s="6"/>
    </row>
    <row r="18" spans="2:24" ht="13.8" x14ac:dyDescent="0.25">
      <c r="B18" s="255" t="str">
        <f t="shared" si="0"/>
        <v>TER_TS_WH_LPG_E01</v>
      </c>
      <c r="C18" s="173" t="str">
        <f t="shared" si="1"/>
        <v>Services (Public) WatHeat LPG  (E)</v>
      </c>
      <c r="D18" s="173" t="str">
        <f>Commodities!$D$34</f>
        <v>TEROILLPG</v>
      </c>
      <c r="E18" s="209" t="str">
        <f>Commodities!$Z$13</f>
        <v>TER_TS_WH</v>
      </c>
      <c r="F18" s="256">
        <f>($H18*VLOOKUP(LEFT($B18,6),TER_Stock!$C$16:$E$17,F$2,FALSE)*VLOOKUP($B18,TER_Stock!$F$54:$G$68,2,FALSE)/1000)*(Stk_Mult)</f>
        <v>0</v>
      </c>
      <c r="G18" s="173"/>
      <c r="H18" s="253">
        <f t="shared" si="5"/>
        <v>0.125</v>
      </c>
      <c r="I18" s="257">
        <f t="shared" si="2"/>
        <v>0</v>
      </c>
      <c r="J18" s="257">
        <f t="shared" si="3"/>
        <v>0</v>
      </c>
      <c r="K18" s="257">
        <f>VLOOKUP(LEFT($B18,9),COM_En_Balance!$C$36:$S$54,MATCH($D18,COM_En_Balance!$D$36:$S$36,0)+1,FALSE)</f>
        <v>0</v>
      </c>
      <c r="L18" s="214">
        <f t="shared" si="4"/>
        <v>0</v>
      </c>
      <c r="O18" s="9"/>
      <c r="P18" s="9"/>
      <c r="Q18" s="9" t="str">
        <f>Commodities!$Z$13&amp;"_"&amp;RIGHT(Commodities!$D$25,3)&amp;"_"&amp;$Q$3&amp;"01"</f>
        <v>TER_TS_WH_LPG_E01</v>
      </c>
      <c r="R18" s="9" t="s">
        <v>437</v>
      </c>
      <c r="S18" s="12" t="str">
        <f>General!$B$2</f>
        <v>PJ</v>
      </c>
      <c r="T18" s="12" t="str">
        <f>General!$B$5</f>
        <v>GW</v>
      </c>
      <c r="U18" s="33" t="s">
        <v>93</v>
      </c>
      <c r="V18" s="12"/>
      <c r="W18" s="12"/>
      <c r="X18" s="6"/>
    </row>
    <row r="19" spans="2:24" ht="13.8" x14ac:dyDescent="0.25">
      <c r="B19" s="255" t="str">
        <f t="shared" si="0"/>
        <v>TER_TS_WH_LOG_E01</v>
      </c>
      <c r="C19" s="173" t="str">
        <f t="shared" si="1"/>
        <v>Services (Public) WatHeat Wood  (E)</v>
      </c>
      <c r="D19" s="173" t="str">
        <f>Commodities!$D$38</f>
        <v>TERBIOLOG</v>
      </c>
      <c r="E19" s="209" t="str">
        <f>Commodities!$Z$13</f>
        <v>TER_TS_WH</v>
      </c>
      <c r="F19" s="256">
        <f>($H19*VLOOKUP(LEFT($B19,6),TER_Stock!$C$16:$E$17,F$2,FALSE)*VLOOKUP($B19,TER_Stock!$F$54:$G$68,2,FALSE)/1000)*(Stk_Mult)</f>
        <v>0</v>
      </c>
      <c r="G19" s="173"/>
      <c r="H19" s="253">
        <f t="shared" si="5"/>
        <v>0.125</v>
      </c>
      <c r="I19" s="257">
        <f t="shared" si="2"/>
        <v>0</v>
      </c>
      <c r="J19" s="257">
        <f t="shared" si="3"/>
        <v>0</v>
      </c>
      <c r="K19" s="257">
        <f>VLOOKUP(LEFT($B19,9),COM_En_Balance!$C$36:$S$54,MATCH($D19,COM_En_Balance!$D$36:$S$36,0)+1,FALSE)</f>
        <v>0</v>
      </c>
      <c r="L19" s="214">
        <f t="shared" si="4"/>
        <v>0</v>
      </c>
      <c r="O19" s="9"/>
      <c r="P19" s="9"/>
      <c r="Q19" s="9" t="str">
        <f>Commodities!$Z$13&amp;"_"&amp;RIGHT(Commodities!$D$27,3)&amp;"_"&amp;$Q$3&amp;"01"</f>
        <v>TER_TS_WH_LOG_E01</v>
      </c>
      <c r="R19" s="9" t="s">
        <v>438</v>
      </c>
      <c r="S19" s="12" t="str">
        <f>General!$B$2</f>
        <v>PJ</v>
      </c>
      <c r="T19" s="12" t="str">
        <f>General!$B$5</f>
        <v>GW</v>
      </c>
      <c r="U19" s="33" t="s">
        <v>93</v>
      </c>
      <c r="V19" s="12"/>
      <c r="W19" s="12"/>
      <c r="X19" s="6"/>
    </row>
    <row r="20" spans="2:24" ht="13.8" x14ac:dyDescent="0.25">
      <c r="B20" s="255" t="str">
        <f t="shared" si="0"/>
        <v>TER_TS_WH_DSL_E01</v>
      </c>
      <c r="C20" s="173" t="str">
        <f t="shared" si="1"/>
        <v>Services (Public) WatHeat Diesel  (E)</v>
      </c>
      <c r="D20" s="173" t="str">
        <f>Commodities!$D$32</f>
        <v>TEROILDSL</v>
      </c>
      <c r="E20" s="209" t="str">
        <f>Commodities!$Z$13</f>
        <v>TER_TS_WH</v>
      </c>
      <c r="F20" s="256">
        <f>($H20*VLOOKUP(LEFT($B20,6),TER_Stock!$C$16:$E$17,F$2,FALSE)*VLOOKUP($B20,TER_Stock!$F$54:$G$68,2,FALSE)/1000)*(Stk_Mult)</f>
        <v>0.39944081027150713</v>
      </c>
      <c r="G20" s="173"/>
      <c r="H20" s="253">
        <f>H19</f>
        <v>0.125</v>
      </c>
      <c r="I20" s="262">
        <f t="shared" si="2"/>
        <v>0.58581705599999978</v>
      </c>
      <c r="J20" s="257">
        <f t="shared" si="3"/>
        <v>1.0651219199999995</v>
      </c>
      <c r="K20" s="257">
        <f>VLOOKUP(LEFT($B20,9),COM_En_Balance!$C$36:$S$54,MATCH($D20,COM_En_Balance!$D$36:$S$36,0)+1,FALSE)</f>
        <v>1.0651219199999995</v>
      </c>
      <c r="L20" s="214">
        <f t="shared" si="4"/>
        <v>0</v>
      </c>
      <c r="O20" s="9"/>
      <c r="P20" s="9"/>
      <c r="Q20" s="9" t="str">
        <f>Commodities!$Z$13&amp;"_"&amp;RIGHT(Commodities!$D$32,3)&amp;"_"&amp;$Q$3&amp;"01"</f>
        <v>TER_TS_WH_DSL_E01</v>
      </c>
      <c r="R20" s="9" t="s">
        <v>439</v>
      </c>
      <c r="S20" s="12" t="str">
        <f>General!$B$2</f>
        <v>PJ</v>
      </c>
      <c r="T20" s="12" t="str">
        <f>General!$B$5</f>
        <v>GW</v>
      </c>
      <c r="U20" s="33" t="s">
        <v>93</v>
      </c>
      <c r="V20" s="12"/>
      <c r="W20" s="12"/>
      <c r="X20" s="6"/>
    </row>
    <row r="21" spans="2:24" ht="13.8" x14ac:dyDescent="0.25">
      <c r="B21" s="258" t="str">
        <f t="shared" si="0"/>
        <v>TER_TS_WH_ELC_E01</v>
      </c>
      <c r="C21" s="176" t="str">
        <f t="shared" si="1"/>
        <v>Services (Public) WatHeat Electric  (E)</v>
      </c>
      <c r="D21" s="176" t="str">
        <f>Commodities!$D$49</f>
        <v>TERELC</v>
      </c>
      <c r="E21" s="217" t="str">
        <f>Commodities!$Z$13</f>
        <v>TER_TS_WH</v>
      </c>
      <c r="F21" s="259">
        <f>($H21*VLOOKUP(LEFT($B21,6),TER_Stock!$C$16:$E$17,F$2,FALSE)*VLOOKUP($B21,TER_Stock!$F$54:$G$68,2,FALSE)/1000)*(Stk_Mult)</f>
        <v>0.15369238837102414</v>
      </c>
      <c r="G21" s="173"/>
      <c r="H21" s="219">
        <f>H13</f>
        <v>0.4375</v>
      </c>
      <c r="I21" s="260">
        <f t="shared" si="2"/>
        <v>0.10538376566399998</v>
      </c>
      <c r="J21" s="260">
        <f t="shared" si="3"/>
        <v>0.11709307295999997</v>
      </c>
      <c r="K21" s="260">
        <f>VLOOKUP(LEFT($B21,9),COM_En_Balance!$C$36:$S$54,MATCH($D21,COM_En_Balance!$D$36:$S$36,0)+1,FALSE)</f>
        <v>0.11709307295999999</v>
      </c>
      <c r="L21" s="222">
        <f t="shared" si="4"/>
        <v>0</v>
      </c>
      <c r="O21" s="204"/>
      <c r="P21" s="204"/>
      <c r="Q21" s="204" t="str">
        <f>Commodities!$Z$13&amp;"_"&amp;RIGHT(Commodities!$D$48,3)&amp;"_"&amp;$Q$3&amp;"01"</f>
        <v>TER_TS_WH_ELC_E01</v>
      </c>
      <c r="R21" s="204" t="s">
        <v>440</v>
      </c>
      <c r="S21" s="120" t="str">
        <f>General!$B$2</f>
        <v>PJ</v>
      </c>
      <c r="T21" s="120" t="str">
        <f>General!$B$5</f>
        <v>GW</v>
      </c>
      <c r="U21" s="120" t="s">
        <v>93</v>
      </c>
      <c r="V21" s="120"/>
      <c r="W21" s="120"/>
      <c r="X21" s="204"/>
    </row>
    <row r="22" spans="2:24" x14ac:dyDescent="0.25">
      <c r="D22" s="173"/>
      <c r="E22" s="173"/>
      <c r="F22" s="183"/>
      <c r="G22" s="173"/>
      <c r="N22" s="187"/>
      <c r="R22" s="45"/>
      <c r="W22" s="140"/>
    </row>
    <row r="23" spans="2:24" x14ac:dyDescent="0.25">
      <c r="F23" s="231"/>
      <c r="R23" s="45"/>
      <c r="W23" s="140"/>
    </row>
    <row r="24" spans="2:24" ht="13.8" x14ac:dyDescent="0.25">
      <c r="E24" s="92" t="s">
        <v>292</v>
      </c>
    </row>
    <row r="25" spans="2:24" ht="13.8" x14ac:dyDescent="0.25">
      <c r="B25" s="95" t="s">
        <v>1</v>
      </c>
      <c r="C25" s="95" t="s">
        <v>42</v>
      </c>
      <c r="D25" s="95" t="s">
        <v>7</v>
      </c>
      <c r="E25" s="95" t="s">
        <v>0</v>
      </c>
      <c r="F25" s="143" t="s">
        <v>405</v>
      </c>
    </row>
    <row r="26" spans="2:24" ht="14.4" thickBot="1" x14ac:dyDescent="0.3">
      <c r="B26" s="113" t="s">
        <v>296</v>
      </c>
      <c r="C26" s="113" t="s">
        <v>26</v>
      </c>
      <c r="D26" s="112" t="s">
        <v>36</v>
      </c>
      <c r="E26" s="155" t="s">
        <v>37</v>
      </c>
      <c r="F26" s="113"/>
    </row>
    <row r="27" spans="2:24" ht="14.4" thickBot="1" x14ac:dyDescent="0.3">
      <c r="B27" s="113" t="s">
        <v>229</v>
      </c>
      <c r="C27" s="113"/>
      <c r="D27" s="113"/>
      <c r="E27" s="155"/>
      <c r="F27" s="205"/>
    </row>
    <row r="28" spans="2:24" x14ac:dyDescent="0.25">
      <c r="B28" s="174" t="str">
        <f t="shared" ref="B28:B42" si="6">Q7</f>
        <v>TER_TP_WH_BIC_E01</v>
      </c>
      <c r="C28" s="174" t="str">
        <f t="shared" ref="C28:C42" si="7">R7</f>
        <v>Private (Commercial) WatHeat Coal  (E)</v>
      </c>
      <c r="D28" s="174"/>
      <c r="E28" s="229" t="str">
        <f>Commodities!$Z$12</f>
        <v>TER_TP_WH</v>
      </c>
      <c r="F28" s="263">
        <v>0.5</v>
      </c>
      <c r="H28" s="226"/>
    </row>
    <row r="29" spans="2:24" x14ac:dyDescent="0.25">
      <c r="B29" s="173" t="str">
        <f t="shared" si="6"/>
        <v>TER_TP_WH_GAS_E01</v>
      </c>
      <c r="C29" s="173" t="str">
        <f t="shared" si="7"/>
        <v>Private (Commercial) WatHeat Gas  (E)</v>
      </c>
      <c r="D29" s="173"/>
      <c r="E29" s="209" t="str">
        <f>Commodities!$Z$12</f>
        <v>TER_TP_WH</v>
      </c>
      <c r="F29" s="183">
        <v>0.75</v>
      </c>
    </row>
    <row r="30" spans="2:24" x14ac:dyDescent="0.25">
      <c r="B30" s="173" t="str">
        <f t="shared" si="6"/>
        <v>TER_TP_WH_LTH_E01</v>
      </c>
      <c r="C30" s="173" t="str">
        <f t="shared" si="7"/>
        <v>Private (Commercial) WatHeat Dist. Heat (E)</v>
      </c>
      <c r="D30" s="173"/>
      <c r="E30" s="209" t="str">
        <f>Commodities!$Z$12</f>
        <v>TER_TP_WH</v>
      </c>
      <c r="F30" s="183">
        <v>0.9</v>
      </c>
    </row>
    <row r="31" spans="2:24" x14ac:dyDescent="0.25">
      <c r="B31" s="173" t="str">
        <f t="shared" si="6"/>
        <v>TER_TP_WH_LPG_E01</v>
      </c>
      <c r="C31" s="173" t="str">
        <f t="shared" si="7"/>
        <v>Private (Commercial) WatHeat LPG  (E)</v>
      </c>
      <c r="D31" s="173"/>
      <c r="E31" s="209" t="str">
        <f>Commodities!$Z$12</f>
        <v>TER_TP_WH</v>
      </c>
      <c r="F31" s="183">
        <v>0.75</v>
      </c>
    </row>
    <row r="32" spans="2:24" x14ac:dyDescent="0.25">
      <c r="B32" s="173" t="str">
        <f t="shared" si="6"/>
        <v>TER_TP_WH_LOG_E01</v>
      </c>
      <c r="C32" s="173" t="str">
        <f t="shared" si="7"/>
        <v>Private (Commercial) WatHeat Wood  (E)</v>
      </c>
      <c r="D32" s="173"/>
      <c r="E32" s="209" t="str">
        <f>Commodities!$Z$12</f>
        <v>TER_TP_WH</v>
      </c>
      <c r="F32" s="183">
        <v>0.55000000000000004</v>
      </c>
    </row>
    <row r="33" spans="2:6" x14ac:dyDescent="0.25">
      <c r="B33" s="173" t="str">
        <f t="shared" si="6"/>
        <v>TER_TP_WH_DSL_E01</v>
      </c>
      <c r="C33" s="173" t="str">
        <f t="shared" si="7"/>
        <v>Private (Commercial) WatHeat Diesel  (E)</v>
      </c>
      <c r="D33" s="173"/>
      <c r="E33" s="209" t="str">
        <f>Commodities!$Z$12</f>
        <v>TER_TP_WH</v>
      </c>
      <c r="F33" s="183">
        <v>0.55000000000000004</v>
      </c>
    </row>
    <row r="34" spans="2:6" ht="13.8" thickBot="1" x14ac:dyDescent="0.3">
      <c r="B34" s="176" t="str">
        <f t="shared" si="6"/>
        <v>TER_TP_WH_ELC_E01</v>
      </c>
      <c r="C34" s="176" t="str">
        <f t="shared" si="7"/>
        <v>Private (Commercial) WatHeat Electric  (E)</v>
      </c>
      <c r="D34" s="176"/>
      <c r="E34" s="217" t="str">
        <f>Commodities!$Z$12</f>
        <v>TER_TP_WH</v>
      </c>
      <c r="F34" s="227">
        <v>0.9</v>
      </c>
    </row>
    <row r="35" spans="2:6" x14ac:dyDescent="0.25">
      <c r="B35" s="174" t="str">
        <f t="shared" si="6"/>
        <v>TER_TS_WH_BIC_E01</v>
      </c>
      <c r="C35" s="174" t="str">
        <f t="shared" si="7"/>
        <v>Services (Public) WatHeat Coal  (E)</v>
      </c>
      <c r="D35" s="174"/>
      <c r="E35" s="174" t="str">
        <f>Commodities!$Z$13</f>
        <v>TER_TS_WH</v>
      </c>
      <c r="F35" s="264">
        <f>F28</f>
        <v>0.5</v>
      </c>
    </row>
    <row r="36" spans="2:6" x14ac:dyDescent="0.25">
      <c r="B36" s="173" t="str">
        <f t="shared" si="6"/>
        <v>TER_TS_WH_BKB_E01</v>
      </c>
      <c r="C36" s="173" t="str">
        <f t="shared" si="7"/>
        <v>Services (Public)Communal  WatHeat BKB  (E)</v>
      </c>
      <c r="D36" s="173"/>
      <c r="E36" s="173" t="str">
        <f>Commodities!$Z$13</f>
        <v>TER_TS_WH</v>
      </c>
      <c r="F36" s="228">
        <f>F35</f>
        <v>0.5</v>
      </c>
    </row>
    <row r="37" spans="2:6" x14ac:dyDescent="0.25">
      <c r="B37" s="173" t="str">
        <f t="shared" si="6"/>
        <v>TER_TS_WH_GAS_E01</v>
      </c>
      <c r="C37" s="173" t="str">
        <f t="shared" si="7"/>
        <v>Services (Public) WatHeat Gas  (E)</v>
      </c>
      <c r="D37" s="173"/>
      <c r="E37" s="173" t="str">
        <f>Commodities!$Z$13</f>
        <v>TER_TS_WH</v>
      </c>
      <c r="F37" s="228">
        <f>F29</f>
        <v>0.75</v>
      </c>
    </row>
    <row r="38" spans="2:6" x14ac:dyDescent="0.25">
      <c r="B38" s="173" t="str">
        <f t="shared" si="6"/>
        <v>TER_TS_WH_LTH_E01</v>
      </c>
      <c r="C38" s="173" t="str">
        <f t="shared" si="7"/>
        <v>Services (Public) WatHeat Dist. Heat (E)</v>
      </c>
      <c r="D38" s="173"/>
      <c r="E38" s="173" t="str">
        <f>Commodities!$Z$13</f>
        <v>TER_TS_WH</v>
      </c>
      <c r="F38" s="228">
        <f t="shared" ref="F38:F41" si="8">F30</f>
        <v>0.9</v>
      </c>
    </row>
    <row r="39" spans="2:6" x14ac:dyDescent="0.25">
      <c r="B39" s="173" t="str">
        <f t="shared" si="6"/>
        <v>TER_TS_WH_LPG_E01</v>
      </c>
      <c r="C39" s="173" t="str">
        <f t="shared" si="7"/>
        <v>Services (Public) WatHeat LPG  (E)</v>
      </c>
      <c r="D39" s="173"/>
      <c r="E39" s="173" t="str">
        <f>Commodities!$Z$13</f>
        <v>TER_TS_WH</v>
      </c>
      <c r="F39" s="228">
        <f t="shared" si="8"/>
        <v>0.75</v>
      </c>
    </row>
    <row r="40" spans="2:6" x14ac:dyDescent="0.25">
      <c r="B40" s="173" t="str">
        <f t="shared" si="6"/>
        <v>TER_TS_WH_LOG_E01</v>
      </c>
      <c r="C40" s="173" t="str">
        <f t="shared" si="7"/>
        <v>Services (Public) WatHeat Wood  (E)</v>
      </c>
      <c r="D40" s="173"/>
      <c r="E40" s="173" t="str">
        <f>Commodities!$Z$13</f>
        <v>TER_TS_WH</v>
      </c>
      <c r="F40" s="228">
        <f t="shared" si="8"/>
        <v>0.55000000000000004</v>
      </c>
    </row>
    <row r="41" spans="2:6" x14ac:dyDescent="0.25">
      <c r="B41" s="173" t="str">
        <f t="shared" si="6"/>
        <v>TER_TS_WH_DSL_E01</v>
      </c>
      <c r="C41" s="173" t="str">
        <f t="shared" si="7"/>
        <v>Services (Public) WatHeat Diesel  (E)</v>
      </c>
      <c r="D41" s="173"/>
      <c r="E41" s="173" t="str">
        <f>Commodities!$Z$13</f>
        <v>TER_TS_WH</v>
      </c>
      <c r="F41" s="228">
        <f t="shared" si="8"/>
        <v>0.55000000000000004</v>
      </c>
    </row>
    <row r="42" spans="2:6" x14ac:dyDescent="0.25">
      <c r="B42" s="176" t="str">
        <f t="shared" si="6"/>
        <v>TER_TS_WH_ELC_E01</v>
      </c>
      <c r="C42" s="176" t="str">
        <f t="shared" si="7"/>
        <v>Services (Public) WatHeat Electric  (E)</v>
      </c>
      <c r="D42" s="176"/>
      <c r="E42" s="217" t="str">
        <f>Commodities!$Z$13</f>
        <v>TER_TS_WH</v>
      </c>
      <c r="F42" s="227">
        <f>F34</f>
        <v>0.9</v>
      </c>
    </row>
    <row r="45" spans="2:6" ht="13.8" x14ac:dyDescent="0.25">
      <c r="E45" s="92" t="s">
        <v>293</v>
      </c>
    </row>
    <row r="46" spans="2:6" ht="13.8" x14ac:dyDescent="0.25">
      <c r="B46" s="95" t="s">
        <v>1</v>
      </c>
      <c r="C46" s="95" t="s">
        <v>42</v>
      </c>
      <c r="D46" s="95" t="s">
        <v>7</v>
      </c>
      <c r="E46" s="95" t="s">
        <v>0</v>
      </c>
      <c r="F46" s="143" t="s">
        <v>405</v>
      </c>
    </row>
    <row r="47" spans="2:6" ht="14.4" thickBot="1" x14ac:dyDescent="0.3">
      <c r="B47" s="113" t="s">
        <v>296</v>
      </c>
      <c r="C47" s="113" t="s">
        <v>26</v>
      </c>
      <c r="D47" s="112" t="s">
        <v>36</v>
      </c>
      <c r="E47" s="155"/>
      <c r="F47" s="113"/>
    </row>
    <row r="48" spans="2:6" ht="14.4" thickBot="1" x14ac:dyDescent="0.3">
      <c r="B48" s="113" t="s">
        <v>229</v>
      </c>
      <c r="C48" s="113"/>
      <c r="D48" s="113"/>
      <c r="E48" s="155"/>
      <c r="F48" s="112"/>
    </row>
    <row r="49" spans="2:7" x14ac:dyDescent="0.25">
      <c r="B49" s="174" t="str">
        <f t="shared" ref="B49:B63" si="9">Q7</f>
        <v>TER_TP_WH_BIC_E01</v>
      </c>
      <c r="C49" s="174" t="str">
        <f t="shared" ref="C49:C63" si="10">R7</f>
        <v>Private (Commercial) WatHeat Coal  (E)</v>
      </c>
      <c r="D49" s="174"/>
      <c r="E49" s="229" t="str">
        <f>Commodities!$Z$12</f>
        <v>TER_TP_WH</v>
      </c>
      <c r="F49" s="263">
        <v>31.536000000000001</v>
      </c>
    </row>
    <row r="50" spans="2:7" x14ac:dyDescent="0.25">
      <c r="B50" s="173" t="str">
        <f t="shared" si="9"/>
        <v>TER_TP_WH_GAS_E01</v>
      </c>
      <c r="C50" s="173" t="str">
        <f t="shared" si="10"/>
        <v>Private (Commercial) WatHeat Gas  (E)</v>
      </c>
      <c r="D50" s="173"/>
      <c r="E50" s="209" t="str">
        <f>Commodities!$Z$12</f>
        <v>TER_TP_WH</v>
      </c>
      <c r="F50" s="183">
        <v>31.536000000000001</v>
      </c>
    </row>
    <row r="51" spans="2:7" x14ac:dyDescent="0.25">
      <c r="B51" s="173" t="str">
        <f t="shared" si="9"/>
        <v>TER_TP_WH_LTH_E01</v>
      </c>
      <c r="C51" s="173" t="str">
        <f t="shared" si="10"/>
        <v>Private (Commercial) WatHeat Dist. Heat (E)</v>
      </c>
      <c r="D51" s="173"/>
      <c r="E51" s="209" t="str">
        <f>Commodities!$Z$12</f>
        <v>TER_TP_WH</v>
      </c>
      <c r="F51" s="183">
        <v>31.536000000000001</v>
      </c>
    </row>
    <row r="52" spans="2:7" x14ac:dyDescent="0.25">
      <c r="B52" s="173" t="str">
        <f t="shared" si="9"/>
        <v>TER_TP_WH_LPG_E01</v>
      </c>
      <c r="C52" s="173" t="str">
        <f t="shared" si="10"/>
        <v>Private (Commercial) WatHeat LPG  (E)</v>
      </c>
      <c r="D52" s="173"/>
      <c r="E52" s="209" t="str">
        <f>Commodities!$Z$12</f>
        <v>TER_TP_WH</v>
      </c>
      <c r="F52" s="183">
        <v>31.536000000000001</v>
      </c>
    </row>
    <row r="53" spans="2:7" x14ac:dyDescent="0.25">
      <c r="B53" s="173" t="str">
        <f t="shared" si="9"/>
        <v>TER_TP_WH_LOG_E01</v>
      </c>
      <c r="C53" s="173" t="str">
        <f t="shared" si="10"/>
        <v>Private (Commercial) WatHeat Wood  (E)</v>
      </c>
      <c r="D53" s="173"/>
      <c r="E53" s="209" t="str">
        <f>Commodities!$Z$12</f>
        <v>TER_TP_WH</v>
      </c>
      <c r="F53" s="183">
        <v>31.536000000000001</v>
      </c>
    </row>
    <row r="54" spans="2:7" x14ac:dyDescent="0.25">
      <c r="B54" s="173" t="str">
        <f t="shared" si="9"/>
        <v>TER_TP_WH_DSL_E01</v>
      </c>
      <c r="C54" s="173" t="str">
        <f t="shared" si="10"/>
        <v>Private (Commercial) WatHeat Diesel  (E)</v>
      </c>
      <c r="D54" s="173"/>
      <c r="E54" s="209" t="str">
        <f>Commodities!$Z$12</f>
        <v>TER_TP_WH</v>
      </c>
      <c r="F54" s="183">
        <v>31.536000000000001</v>
      </c>
    </row>
    <row r="55" spans="2:7" ht="13.8" thickBot="1" x14ac:dyDescent="0.3">
      <c r="B55" s="176" t="str">
        <f t="shared" si="9"/>
        <v>TER_TP_WH_ELC_E01</v>
      </c>
      <c r="C55" s="176" t="str">
        <f t="shared" si="10"/>
        <v>Private (Commercial) WatHeat Electric  (E)</v>
      </c>
      <c r="D55" s="176"/>
      <c r="E55" s="217" t="str">
        <f>Commodities!$Z$12</f>
        <v>TER_TP_WH</v>
      </c>
      <c r="F55" s="227">
        <v>31.536000000000001</v>
      </c>
    </row>
    <row r="56" spans="2:7" x14ac:dyDescent="0.25">
      <c r="B56" s="174" t="str">
        <f t="shared" si="9"/>
        <v>TER_TS_WH_BIC_E01</v>
      </c>
      <c r="C56" s="174" t="str">
        <f t="shared" si="10"/>
        <v>Services (Public) WatHeat Coal  (E)</v>
      </c>
      <c r="D56" s="174"/>
      <c r="E56" s="229" t="str">
        <f>Commodities!$Z$13</f>
        <v>TER_TS_WH</v>
      </c>
      <c r="F56" s="263">
        <v>31.536000000000001</v>
      </c>
    </row>
    <row r="57" spans="2:7" x14ac:dyDescent="0.25">
      <c r="B57" s="173" t="str">
        <f t="shared" si="9"/>
        <v>TER_TS_WH_BKB_E01</v>
      </c>
      <c r="C57" s="173" t="str">
        <f t="shared" si="10"/>
        <v>Services (Public)Communal  WatHeat BKB  (E)</v>
      </c>
      <c r="D57" s="173"/>
      <c r="E57" s="209" t="str">
        <f>Commodities!$Z$13</f>
        <v>TER_TS_WH</v>
      </c>
      <c r="F57" s="183">
        <v>31.536000000000001</v>
      </c>
    </row>
    <row r="58" spans="2:7" x14ac:dyDescent="0.25">
      <c r="B58" s="173" t="str">
        <f t="shared" si="9"/>
        <v>TER_TS_WH_GAS_E01</v>
      </c>
      <c r="C58" s="173" t="str">
        <f t="shared" si="10"/>
        <v>Services (Public) WatHeat Gas  (E)</v>
      </c>
      <c r="D58" s="173"/>
      <c r="E58" s="209" t="str">
        <f>Commodities!$Z$13</f>
        <v>TER_TS_WH</v>
      </c>
      <c r="F58" s="183">
        <v>31.536000000000001</v>
      </c>
    </row>
    <row r="59" spans="2:7" x14ac:dyDescent="0.25">
      <c r="B59" s="173" t="str">
        <f t="shared" si="9"/>
        <v>TER_TS_WH_LTH_E01</v>
      </c>
      <c r="C59" s="173" t="str">
        <f t="shared" si="10"/>
        <v>Services (Public) WatHeat Dist. Heat (E)</v>
      </c>
      <c r="D59" s="173"/>
      <c r="E59" s="209" t="str">
        <f>Commodities!$Z$13</f>
        <v>TER_TS_WH</v>
      </c>
      <c r="F59" s="183">
        <v>31.536000000000001</v>
      </c>
    </row>
    <row r="60" spans="2:7" x14ac:dyDescent="0.25">
      <c r="B60" s="173" t="str">
        <f t="shared" si="9"/>
        <v>TER_TS_WH_LPG_E01</v>
      </c>
      <c r="C60" s="173" t="str">
        <f t="shared" si="10"/>
        <v>Services (Public) WatHeat LPG  (E)</v>
      </c>
      <c r="D60" s="173"/>
      <c r="E60" s="209" t="str">
        <f>Commodities!$Z$13</f>
        <v>TER_TS_WH</v>
      </c>
      <c r="F60" s="183">
        <v>31.536000000000001</v>
      </c>
    </row>
    <row r="61" spans="2:7" x14ac:dyDescent="0.25">
      <c r="B61" s="173" t="str">
        <f t="shared" si="9"/>
        <v>TER_TS_WH_LOG_E01</v>
      </c>
      <c r="C61" s="173" t="str">
        <f t="shared" si="10"/>
        <v>Services (Public) WatHeat Wood  (E)</v>
      </c>
      <c r="D61" s="173"/>
      <c r="E61" s="209" t="str">
        <f>Commodities!$Z$13</f>
        <v>TER_TS_WH</v>
      </c>
      <c r="F61" s="183">
        <v>31.536000000000001</v>
      </c>
    </row>
    <row r="62" spans="2:7" x14ac:dyDescent="0.25">
      <c r="B62" s="173" t="str">
        <f t="shared" si="9"/>
        <v>TER_TS_WH_DSL_E01</v>
      </c>
      <c r="C62" s="173" t="str">
        <f t="shared" si="10"/>
        <v>Services (Public) WatHeat Diesel  (E)</v>
      </c>
      <c r="D62" s="173"/>
      <c r="E62" s="209" t="str">
        <f>Commodities!$Z$13</f>
        <v>TER_TS_WH</v>
      </c>
      <c r="F62" s="183">
        <v>31.536000000000001</v>
      </c>
    </row>
    <row r="63" spans="2:7" x14ac:dyDescent="0.25">
      <c r="B63" s="176" t="str">
        <f t="shared" si="9"/>
        <v>TER_TS_WH_ELC_E01</v>
      </c>
      <c r="C63" s="176" t="str">
        <f t="shared" si="10"/>
        <v>Services (Public) WatHeat Electric  (E)</v>
      </c>
      <c r="D63" s="176"/>
      <c r="E63" s="217" t="str">
        <f>Commodities!$Z$13</f>
        <v>TER_TS_WH</v>
      </c>
      <c r="F63" s="265">
        <v>31.536000000000001</v>
      </c>
    </row>
    <row r="64" spans="2:7" x14ac:dyDescent="0.25">
      <c r="F64" s="183"/>
      <c r="G64" s="173"/>
    </row>
    <row r="66" spans="2:9" ht="13.8" x14ac:dyDescent="0.25">
      <c r="E66" s="92" t="s">
        <v>294</v>
      </c>
      <c r="H66" s="92" t="s">
        <v>578</v>
      </c>
      <c r="I66" s="92"/>
    </row>
    <row r="67" spans="2:9" ht="13.8" x14ac:dyDescent="0.25">
      <c r="B67" s="95" t="s">
        <v>1</v>
      </c>
      <c r="C67" s="95" t="s">
        <v>42</v>
      </c>
      <c r="D67" s="95" t="s">
        <v>7</v>
      </c>
      <c r="E67" s="95" t="s">
        <v>0</v>
      </c>
      <c r="F67" s="143" t="s">
        <v>405</v>
      </c>
      <c r="H67" s="95" t="s">
        <v>1</v>
      </c>
      <c r="I67" s="143" t="s">
        <v>405</v>
      </c>
    </row>
    <row r="68" spans="2:9" ht="14.4" thickBot="1" x14ac:dyDescent="0.3">
      <c r="B68" s="113" t="s">
        <v>296</v>
      </c>
      <c r="C68" s="113" t="s">
        <v>26</v>
      </c>
      <c r="D68" s="112" t="s">
        <v>36</v>
      </c>
      <c r="E68" s="155"/>
      <c r="F68" s="113"/>
      <c r="H68" s="113" t="s">
        <v>296</v>
      </c>
      <c r="I68" s="113"/>
    </row>
    <row r="69" spans="2:9" ht="14.4" thickBot="1" x14ac:dyDescent="0.3">
      <c r="B69" s="113" t="s">
        <v>229</v>
      </c>
      <c r="C69" s="113"/>
      <c r="D69" s="113"/>
      <c r="E69" s="155"/>
      <c r="F69" s="112"/>
      <c r="H69" s="113" t="s">
        <v>229</v>
      </c>
      <c r="I69" s="113"/>
    </row>
    <row r="70" spans="2:9" x14ac:dyDescent="0.25">
      <c r="B70" s="174" t="str">
        <f t="shared" ref="B70:B84" si="11">Q7</f>
        <v>TER_TP_WH_BIC_E01</v>
      </c>
      <c r="C70" s="174" t="str">
        <f t="shared" ref="C70:C84" si="12">R7</f>
        <v>Private (Commercial) WatHeat Coal  (E)</v>
      </c>
      <c r="D70" s="174"/>
      <c r="E70" s="229" t="str">
        <f>Commodities!$Z$12</f>
        <v>TER_TP_WH</v>
      </c>
      <c r="F70" s="266">
        <f t="shared" ref="F70:F76" si="13">IFERROR(K7*F28/(F7*F49),0.04)</f>
        <v>3.4448411673262305E-2</v>
      </c>
      <c r="H70" s="229" t="str">
        <f t="shared" ref="H70:H84" si="14">B70</f>
        <v>TER_TP_WH_BIC_E01</v>
      </c>
      <c r="I70" s="266">
        <f t="shared" ref="I70:I84" si="15">IF(F70*Stk_Mult&gt;1,1,F70*Stk_Mult)</f>
        <v>3.4448411673262305E-2</v>
      </c>
    </row>
    <row r="71" spans="2:9" x14ac:dyDescent="0.25">
      <c r="B71" s="173" t="str">
        <f t="shared" si="11"/>
        <v>TER_TP_WH_GAS_E01</v>
      </c>
      <c r="C71" s="173" t="str">
        <f t="shared" si="12"/>
        <v>Private (Commercial) WatHeat Gas  (E)</v>
      </c>
      <c r="D71" s="173"/>
      <c r="E71" s="209" t="str">
        <f>Commodities!$Z$12</f>
        <v>TER_TP_WH</v>
      </c>
      <c r="F71" s="267">
        <f t="shared" si="13"/>
        <v>5.1672617509893465E-2</v>
      </c>
      <c r="H71" s="209" t="str">
        <f t="shared" si="14"/>
        <v>TER_TP_WH_GAS_E01</v>
      </c>
      <c r="I71" s="267">
        <f t="shared" si="15"/>
        <v>5.1672617509893465E-2</v>
      </c>
    </row>
    <row r="72" spans="2:9" x14ac:dyDescent="0.25">
      <c r="B72" s="173" t="str">
        <f t="shared" si="11"/>
        <v>TER_TP_WH_LTH_E01</v>
      </c>
      <c r="C72" s="173" t="str">
        <f t="shared" si="12"/>
        <v>Private (Commercial) WatHeat Dist. Heat (E)</v>
      </c>
      <c r="D72" s="173"/>
      <c r="E72" s="209" t="str">
        <f>Commodities!$Z$12</f>
        <v>TER_TP_WH</v>
      </c>
      <c r="F72" s="267">
        <f t="shared" si="13"/>
        <v>6.2007141011872144E-2</v>
      </c>
      <c r="H72" s="209" t="str">
        <f t="shared" si="14"/>
        <v>TER_TP_WH_LTH_E01</v>
      </c>
      <c r="I72" s="267">
        <f t="shared" si="15"/>
        <v>6.2007141011872144E-2</v>
      </c>
    </row>
    <row r="73" spans="2:9" x14ac:dyDescent="0.25">
      <c r="B73" s="173" t="str">
        <f t="shared" si="11"/>
        <v>TER_TP_WH_LPG_E01</v>
      </c>
      <c r="C73" s="173" t="str">
        <f t="shared" si="12"/>
        <v>Private (Commercial) WatHeat LPG  (E)</v>
      </c>
      <c r="D73" s="173"/>
      <c r="E73" s="209" t="str">
        <f>Commodities!$Z$12</f>
        <v>TER_TP_WH</v>
      </c>
      <c r="F73" s="267">
        <f t="shared" si="13"/>
        <v>0.04</v>
      </c>
      <c r="H73" s="209" t="str">
        <f t="shared" si="14"/>
        <v>TER_TP_WH_LPG_E01</v>
      </c>
      <c r="I73" s="267">
        <f t="shared" si="15"/>
        <v>0.04</v>
      </c>
    </row>
    <row r="74" spans="2:9" x14ac:dyDescent="0.25">
      <c r="B74" s="173" t="str">
        <f t="shared" si="11"/>
        <v>TER_TP_WH_LOG_E01</v>
      </c>
      <c r="C74" s="173" t="str">
        <f t="shared" si="12"/>
        <v>Private (Commercial) WatHeat Wood  (E)</v>
      </c>
      <c r="D74" s="173"/>
      <c r="E74" s="209" t="str">
        <f>Commodities!$Z$12</f>
        <v>TER_TP_WH</v>
      </c>
      <c r="F74" s="267">
        <f t="shared" si="13"/>
        <v>0.04</v>
      </c>
      <c r="H74" s="209" t="str">
        <f t="shared" si="14"/>
        <v>TER_TP_WH_LOG_E01</v>
      </c>
      <c r="I74" s="267">
        <f t="shared" si="15"/>
        <v>0.04</v>
      </c>
    </row>
    <row r="75" spans="2:9" x14ac:dyDescent="0.25">
      <c r="B75" s="173" t="str">
        <f t="shared" si="11"/>
        <v>TER_TP_WH_DSL_E01</v>
      </c>
      <c r="C75" s="173" t="str">
        <f t="shared" si="12"/>
        <v>Private (Commercial) WatHeat Diesel  (E)</v>
      </c>
      <c r="D75" s="173"/>
      <c r="E75" s="209" t="str">
        <f>Commodities!$Z$12</f>
        <v>TER_TP_WH</v>
      </c>
      <c r="F75" s="267">
        <f t="shared" si="13"/>
        <v>3.7893252840588545E-2</v>
      </c>
      <c r="H75" s="209" t="str">
        <f t="shared" si="14"/>
        <v>TER_TP_WH_DSL_E01</v>
      </c>
      <c r="I75" s="267">
        <f t="shared" si="15"/>
        <v>3.7893252840588545E-2</v>
      </c>
    </row>
    <row r="76" spans="2:9" ht="13.8" thickBot="1" x14ac:dyDescent="0.3">
      <c r="B76" s="176" t="str">
        <f t="shared" si="11"/>
        <v>TER_TP_WH_ELC_E01</v>
      </c>
      <c r="C76" s="176" t="str">
        <f t="shared" si="12"/>
        <v>Private (Commercial) WatHeat Electric  (E)</v>
      </c>
      <c r="D76" s="176"/>
      <c r="E76" s="217" t="str">
        <f>Commodities!$Z$12</f>
        <v>TER_TP_WH</v>
      </c>
      <c r="F76" s="268">
        <f t="shared" si="13"/>
        <v>1.7716326003392045E-2</v>
      </c>
      <c r="H76" s="217" t="str">
        <f t="shared" si="14"/>
        <v>TER_TP_WH_ELC_E01</v>
      </c>
      <c r="I76" s="268">
        <f t="shared" si="15"/>
        <v>1.7716326003392045E-2</v>
      </c>
    </row>
    <row r="77" spans="2:9" x14ac:dyDescent="0.25">
      <c r="B77" s="174" t="str">
        <f t="shared" si="11"/>
        <v>TER_TS_WH_BIC_E01</v>
      </c>
      <c r="C77" s="174" t="str">
        <f t="shared" si="12"/>
        <v>Services (Public) WatHeat Coal  (E)</v>
      </c>
      <c r="D77" s="174"/>
      <c r="E77" s="229" t="str">
        <f>Commodities!$Z$13</f>
        <v>TER_TS_WH</v>
      </c>
      <c r="F77" s="266">
        <f t="shared" ref="F77:F84" si="16">IFERROR(K14*F35/(F14*F56),0.05)</f>
        <v>4.2277596144458286E-2</v>
      </c>
      <c r="H77" s="229" t="str">
        <f t="shared" si="14"/>
        <v>TER_TS_WH_BIC_E01</v>
      </c>
      <c r="I77" s="266">
        <f t="shared" si="15"/>
        <v>4.2277596144458286E-2</v>
      </c>
    </row>
    <row r="78" spans="2:9" x14ac:dyDescent="0.25">
      <c r="B78" s="173" t="str">
        <f t="shared" si="11"/>
        <v>TER_TS_WH_BKB_E01</v>
      </c>
      <c r="C78" s="173" t="str">
        <f t="shared" si="12"/>
        <v>Services (Public)Communal  WatHeat BKB  (E)</v>
      </c>
      <c r="D78" s="173"/>
      <c r="E78" s="209" t="str">
        <f>Commodities!$Z$13</f>
        <v>TER_TS_WH</v>
      </c>
      <c r="F78" s="267">
        <f t="shared" si="16"/>
        <v>0.05</v>
      </c>
      <c r="H78" s="209" t="str">
        <f t="shared" si="14"/>
        <v>TER_TS_WH_BKB_E01</v>
      </c>
      <c r="I78" s="267">
        <f t="shared" si="15"/>
        <v>0.05</v>
      </c>
    </row>
    <row r="79" spans="2:9" x14ac:dyDescent="0.25">
      <c r="B79" s="173" t="str">
        <f t="shared" si="11"/>
        <v>TER_TS_WH_GAS_E01</v>
      </c>
      <c r="C79" s="173" t="str">
        <f t="shared" si="12"/>
        <v>Services (Public) WatHeat Gas  (E)</v>
      </c>
      <c r="D79" s="173"/>
      <c r="E79" s="209" t="str">
        <f>Commodities!$Z$13</f>
        <v>TER_TS_WH</v>
      </c>
      <c r="F79" s="267">
        <f t="shared" si="16"/>
        <v>6.3416394216687433E-2</v>
      </c>
      <c r="H79" s="209" t="str">
        <f t="shared" si="14"/>
        <v>TER_TS_WH_GAS_E01</v>
      </c>
      <c r="I79" s="267">
        <f t="shared" si="15"/>
        <v>6.3416394216687433E-2</v>
      </c>
    </row>
    <row r="80" spans="2:9" x14ac:dyDescent="0.25">
      <c r="B80" s="173" t="str">
        <f t="shared" si="11"/>
        <v>TER_TS_WH_LTH_E01</v>
      </c>
      <c r="C80" s="173" t="str">
        <f t="shared" si="12"/>
        <v>Services (Public) WatHeat Dist. Heat (E)</v>
      </c>
      <c r="D80" s="173"/>
      <c r="E80" s="209" t="str">
        <f>Commodities!$Z$13</f>
        <v>TER_TS_WH</v>
      </c>
      <c r="F80" s="267">
        <f t="shared" si="16"/>
        <v>7.6099673060024922E-2</v>
      </c>
      <c r="H80" s="209" t="str">
        <f t="shared" si="14"/>
        <v>TER_TS_WH_LTH_E01</v>
      </c>
      <c r="I80" s="267">
        <f t="shared" si="15"/>
        <v>7.6099673060024922E-2</v>
      </c>
    </row>
    <row r="81" spans="2:9" x14ac:dyDescent="0.25">
      <c r="B81" s="173" t="str">
        <f t="shared" si="11"/>
        <v>TER_TS_WH_LPG_E01</v>
      </c>
      <c r="C81" s="173" t="str">
        <f t="shared" si="12"/>
        <v>Services (Public) WatHeat LPG  (E)</v>
      </c>
      <c r="D81" s="173"/>
      <c r="E81" s="209" t="str">
        <f>Commodities!$Z$13</f>
        <v>TER_TS_WH</v>
      </c>
      <c r="F81" s="267">
        <f t="shared" si="16"/>
        <v>0.05</v>
      </c>
      <c r="H81" s="209" t="str">
        <f t="shared" si="14"/>
        <v>TER_TS_WH_LPG_E01</v>
      </c>
      <c r="I81" s="267">
        <f t="shared" si="15"/>
        <v>0.05</v>
      </c>
    </row>
    <row r="82" spans="2:9" x14ac:dyDescent="0.25">
      <c r="B82" s="173" t="str">
        <f t="shared" si="11"/>
        <v>TER_TS_WH_LOG_E01</v>
      </c>
      <c r="C82" s="173" t="str">
        <f t="shared" si="12"/>
        <v>Services (Public) WatHeat Wood  (E)</v>
      </c>
      <c r="D82" s="173"/>
      <c r="E82" s="209" t="str">
        <f>Commodities!$Z$13</f>
        <v>TER_TS_WH</v>
      </c>
      <c r="F82" s="267">
        <f t="shared" si="16"/>
        <v>0.05</v>
      </c>
      <c r="H82" s="209" t="str">
        <f t="shared" si="14"/>
        <v>TER_TS_WH_LOG_E01</v>
      </c>
      <c r="I82" s="267">
        <f t="shared" si="15"/>
        <v>0.05</v>
      </c>
    </row>
    <row r="83" spans="2:9" x14ac:dyDescent="0.25">
      <c r="B83" s="173" t="str">
        <f t="shared" si="11"/>
        <v>TER_TS_WH_DSL_E01</v>
      </c>
      <c r="C83" s="173" t="str">
        <f t="shared" si="12"/>
        <v>Services (Public) WatHeat Diesel  (E)</v>
      </c>
      <c r="D83" s="173"/>
      <c r="E83" s="209" t="str">
        <f>Commodities!$Z$13</f>
        <v>TER_TS_WH</v>
      </c>
      <c r="F83" s="267">
        <f t="shared" si="16"/>
        <v>4.6505355758904118E-2</v>
      </c>
      <c r="H83" s="209" t="str">
        <f t="shared" si="14"/>
        <v>TER_TS_WH_DSL_E01</v>
      </c>
      <c r="I83" s="267">
        <f t="shared" si="15"/>
        <v>4.6505355758904118E-2</v>
      </c>
    </row>
    <row r="84" spans="2:9" x14ac:dyDescent="0.25">
      <c r="B84" s="176" t="str">
        <f t="shared" si="11"/>
        <v>TER_TS_WH_ELC_E01</v>
      </c>
      <c r="C84" s="176" t="str">
        <f t="shared" si="12"/>
        <v>Services (Public) WatHeat Electric  (E)</v>
      </c>
      <c r="D84" s="176"/>
      <c r="E84" s="217" t="str">
        <f>Commodities!$Z$13</f>
        <v>TER_TS_WH</v>
      </c>
      <c r="F84" s="268">
        <f t="shared" si="16"/>
        <v>2.1742763731435692E-2</v>
      </c>
      <c r="H84" s="217" t="str">
        <f t="shared" si="14"/>
        <v>TER_TS_WH_ELC_E01</v>
      </c>
      <c r="I84" s="268">
        <f t="shared" si="15"/>
        <v>2.1742763731435692E-2</v>
      </c>
    </row>
    <row r="87" spans="2:9" ht="13.8" x14ac:dyDescent="0.25">
      <c r="E87" s="92" t="s">
        <v>295</v>
      </c>
    </row>
    <row r="88" spans="2:9" ht="13.8" x14ac:dyDescent="0.25">
      <c r="B88" s="95" t="s">
        <v>1</v>
      </c>
      <c r="C88" s="95" t="s">
        <v>42</v>
      </c>
      <c r="D88" s="95" t="s">
        <v>7</v>
      </c>
      <c r="E88" s="95" t="s">
        <v>0</v>
      </c>
      <c r="F88" s="143" t="s">
        <v>405</v>
      </c>
    </row>
    <row r="89" spans="2:9" ht="14.4" thickBot="1" x14ac:dyDescent="0.3">
      <c r="B89" s="113" t="s">
        <v>296</v>
      </c>
      <c r="C89" s="113" t="s">
        <v>26</v>
      </c>
      <c r="D89" s="112" t="s">
        <v>36</v>
      </c>
      <c r="E89" s="155"/>
      <c r="F89" s="113"/>
    </row>
    <row r="90" spans="2:9" ht="14.4" thickBot="1" x14ac:dyDescent="0.3">
      <c r="B90" s="113" t="s">
        <v>229</v>
      </c>
      <c r="C90" s="113"/>
      <c r="D90" s="113"/>
      <c r="E90" s="155"/>
      <c r="F90" s="112"/>
    </row>
    <row r="91" spans="2:9" x14ac:dyDescent="0.25">
      <c r="B91" s="174" t="str">
        <f t="shared" ref="B91:C98" si="17">Q7</f>
        <v>TER_TP_WH_BIC_E01</v>
      </c>
      <c r="C91" s="174" t="str">
        <f t="shared" si="17"/>
        <v>Private (Commercial) WatHeat Coal  (E)</v>
      </c>
      <c r="D91" s="174"/>
      <c r="E91" s="229" t="str">
        <f>Commodities!$Z$12</f>
        <v>TER_TP_WH</v>
      </c>
      <c r="F91" s="263">
        <v>20</v>
      </c>
    </row>
    <row r="92" spans="2:9" x14ac:dyDescent="0.25">
      <c r="B92" s="173" t="str">
        <f t="shared" si="17"/>
        <v>TER_TP_WH_GAS_E01</v>
      </c>
      <c r="C92" s="173" t="str">
        <f t="shared" si="17"/>
        <v>Private (Commercial) WatHeat Gas  (E)</v>
      </c>
      <c r="D92" s="173"/>
      <c r="E92" s="209" t="str">
        <f>Commodities!$Z$12</f>
        <v>TER_TP_WH</v>
      </c>
      <c r="F92" s="183">
        <v>20</v>
      </c>
    </row>
    <row r="93" spans="2:9" x14ac:dyDescent="0.25">
      <c r="B93" s="173" t="str">
        <f t="shared" si="17"/>
        <v>TER_TP_WH_LTH_E01</v>
      </c>
      <c r="C93" s="173" t="str">
        <f t="shared" si="17"/>
        <v>Private (Commercial) WatHeat Dist. Heat (E)</v>
      </c>
      <c r="D93" s="173"/>
      <c r="E93" s="209" t="str">
        <f>Commodities!$Z$12</f>
        <v>TER_TP_WH</v>
      </c>
      <c r="F93" s="183">
        <v>25</v>
      </c>
    </row>
    <row r="94" spans="2:9" x14ac:dyDescent="0.25">
      <c r="B94" s="173" t="str">
        <f t="shared" si="17"/>
        <v>TER_TP_WH_LPG_E01</v>
      </c>
      <c r="C94" s="173" t="str">
        <f t="shared" si="17"/>
        <v>Private (Commercial) WatHeat LPG  (E)</v>
      </c>
      <c r="D94" s="173"/>
      <c r="E94" s="209" t="str">
        <f>Commodities!$Z$12</f>
        <v>TER_TP_WH</v>
      </c>
      <c r="F94" s="183">
        <v>20</v>
      </c>
    </row>
    <row r="95" spans="2:9" x14ac:dyDescent="0.25">
      <c r="B95" s="173" t="str">
        <f t="shared" si="17"/>
        <v>TER_TP_WH_LOG_E01</v>
      </c>
      <c r="C95" s="173" t="str">
        <f t="shared" si="17"/>
        <v>Private (Commercial) WatHeat Wood  (E)</v>
      </c>
      <c r="D95" s="173"/>
      <c r="E95" s="209" t="str">
        <f>Commodities!$Z$12</f>
        <v>TER_TP_WH</v>
      </c>
      <c r="F95" s="183">
        <v>20</v>
      </c>
    </row>
    <row r="96" spans="2:9" x14ac:dyDescent="0.25">
      <c r="B96" s="173" t="str">
        <f t="shared" si="17"/>
        <v>TER_TP_WH_DSL_E01</v>
      </c>
      <c r="C96" s="173" t="str">
        <f t="shared" si="17"/>
        <v>Private (Commercial) WatHeat Diesel  (E)</v>
      </c>
      <c r="D96" s="173"/>
      <c r="E96" s="209" t="str">
        <f>Commodities!$Z$12</f>
        <v>TER_TP_WH</v>
      </c>
      <c r="F96" s="183">
        <v>20</v>
      </c>
    </row>
    <row r="97" spans="2:6" ht="13.8" thickBot="1" x14ac:dyDescent="0.3">
      <c r="B97" s="176" t="str">
        <f t="shared" si="17"/>
        <v>TER_TP_WH_ELC_E01</v>
      </c>
      <c r="C97" s="176" t="str">
        <f t="shared" si="17"/>
        <v>Private (Commercial) WatHeat Electric  (E)</v>
      </c>
      <c r="D97" s="176"/>
      <c r="E97" s="217" t="str">
        <f>Commodities!$Z$12</f>
        <v>TER_TP_WH</v>
      </c>
      <c r="F97" s="227">
        <v>15</v>
      </c>
    </row>
    <row r="98" spans="2:6" x14ac:dyDescent="0.25">
      <c r="B98" s="174" t="str">
        <f t="shared" si="17"/>
        <v>TER_TS_WH_BIC_E01</v>
      </c>
      <c r="C98" s="174" t="str">
        <f t="shared" si="17"/>
        <v>Services (Public) WatHeat Coal  (E)</v>
      </c>
      <c r="D98" s="174"/>
      <c r="E98" s="229" t="str">
        <f>Commodities!$Z$13</f>
        <v>TER_TS_WH</v>
      </c>
      <c r="F98" s="263">
        <v>20</v>
      </c>
    </row>
    <row r="99" spans="2:6" x14ac:dyDescent="0.25">
      <c r="B99" s="173" t="str">
        <f t="shared" ref="B99:C104" si="18">Q16</f>
        <v>TER_TS_WH_GAS_E01</v>
      </c>
      <c r="C99" s="173" t="str">
        <f t="shared" si="18"/>
        <v>Services (Public) WatHeat Gas  (E)</v>
      </c>
      <c r="D99" s="173"/>
      <c r="E99" s="209" t="str">
        <f>Commodities!$Z$13</f>
        <v>TER_TS_WH</v>
      </c>
      <c r="F99" s="183">
        <v>20</v>
      </c>
    </row>
    <row r="100" spans="2:6" x14ac:dyDescent="0.25">
      <c r="B100" s="173" t="str">
        <f t="shared" si="18"/>
        <v>TER_TS_WH_LTH_E01</v>
      </c>
      <c r="C100" s="173" t="str">
        <f t="shared" si="18"/>
        <v>Services (Public) WatHeat Dist. Heat (E)</v>
      </c>
      <c r="D100" s="173"/>
      <c r="E100" s="209" t="str">
        <f>Commodities!$Z$13</f>
        <v>TER_TS_WH</v>
      </c>
      <c r="F100" s="183">
        <v>25</v>
      </c>
    </row>
    <row r="101" spans="2:6" x14ac:dyDescent="0.25">
      <c r="B101" s="173" t="str">
        <f t="shared" si="18"/>
        <v>TER_TS_WH_LPG_E01</v>
      </c>
      <c r="C101" s="173" t="str">
        <f t="shared" si="18"/>
        <v>Services (Public) WatHeat LPG  (E)</v>
      </c>
      <c r="D101" s="173"/>
      <c r="E101" s="209" t="str">
        <f>Commodities!$Z$13</f>
        <v>TER_TS_WH</v>
      </c>
      <c r="F101" s="183">
        <v>20</v>
      </c>
    </row>
    <row r="102" spans="2:6" x14ac:dyDescent="0.25">
      <c r="B102" s="173" t="str">
        <f t="shared" si="18"/>
        <v>TER_TS_WH_LOG_E01</v>
      </c>
      <c r="C102" s="173" t="str">
        <f t="shared" si="18"/>
        <v>Services (Public) WatHeat Wood  (E)</v>
      </c>
      <c r="D102" s="173"/>
      <c r="E102" s="209" t="str">
        <f>Commodities!$Z$13</f>
        <v>TER_TS_WH</v>
      </c>
      <c r="F102" s="183">
        <v>20</v>
      </c>
    </row>
    <row r="103" spans="2:6" x14ac:dyDescent="0.25">
      <c r="B103" s="173" t="str">
        <f t="shared" si="18"/>
        <v>TER_TS_WH_DSL_E01</v>
      </c>
      <c r="C103" s="173" t="str">
        <f t="shared" si="18"/>
        <v>Services (Public) WatHeat Diesel  (E)</v>
      </c>
      <c r="D103" s="173"/>
      <c r="E103" s="209" t="str">
        <f>Commodities!$Z$13</f>
        <v>TER_TS_WH</v>
      </c>
      <c r="F103" s="183">
        <v>20</v>
      </c>
    </row>
    <row r="104" spans="2:6" x14ac:dyDescent="0.25">
      <c r="B104" s="176" t="str">
        <f t="shared" si="18"/>
        <v>TER_TS_WH_ELC_E01</v>
      </c>
      <c r="C104" s="176" t="str">
        <f t="shared" si="18"/>
        <v>Services (Public) WatHeat Electric  (E)</v>
      </c>
      <c r="D104" s="176"/>
      <c r="E104" s="217" t="str">
        <f>Commodities!$Z$13</f>
        <v>TER_TS_WH</v>
      </c>
      <c r="F104" s="227">
        <v>15</v>
      </c>
    </row>
  </sheetData>
  <conditionalFormatting sqref="L7:L21">
    <cfRule type="cellIs" dxfId="2" priority="14" stopIfTrue="1" operator="notEqual">
      <formula>0</formula>
    </cfRule>
  </conditionalFormatting>
  <pageMargins left="0.7" right="0.7" top="0.75" bottom="0.75" header="0.3" footer="0.3"/>
  <pageSetup orientation="portrait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207"/>
  <sheetViews>
    <sheetView zoomScale="70" zoomScaleNormal="70" workbookViewId="0">
      <selection sqref="A1:XFD1048576"/>
    </sheetView>
  </sheetViews>
  <sheetFormatPr defaultRowHeight="13.2" x14ac:dyDescent="0.25"/>
  <cols>
    <col min="1" max="1" width="2.88671875" style="45" customWidth="1"/>
    <col min="2" max="2" width="31" style="45" customWidth="1"/>
    <col min="3" max="3" width="61.44140625" style="45" customWidth="1"/>
    <col min="4" max="4" width="18.109375" style="45" customWidth="1"/>
    <col min="5" max="5" width="25.5546875" style="45" customWidth="1"/>
    <col min="6" max="6" width="10" style="45" bestFit="1" customWidth="1"/>
    <col min="7" max="7" width="4" style="45" customWidth="1"/>
    <col min="8" max="8" width="30.109375" style="45" customWidth="1"/>
    <col min="9" max="9" width="23" style="45" customWidth="1"/>
    <col min="10" max="10" width="22.33203125" style="45" customWidth="1"/>
    <col min="11" max="11" width="37.33203125" style="45" bestFit="1" customWidth="1"/>
    <col min="12" max="12" width="8.88671875" style="45" bestFit="1" customWidth="1"/>
    <col min="13" max="15" width="8.88671875" style="45"/>
    <col min="16" max="16" width="16.44140625" style="45" customWidth="1"/>
    <col min="17" max="17" width="14.44140625" style="45" customWidth="1"/>
    <col min="18" max="18" width="31.109375" style="45" bestFit="1" customWidth="1"/>
    <col min="19" max="19" width="91.5546875" style="45" bestFit="1" customWidth="1"/>
    <col min="20" max="20" width="12.109375" style="45" bestFit="1" customWidth="1"/>
    <col min="21" max="21" width="9.6640625" style="45" bestFit="1" customWidth="1"/>
    <col min="22" max="22" width="10.5546875" style="45" bestFit="1" customWidth="1"/>
    <col min="23" max="16384" width="8.88671875" style="45"/>
  </cols>
  <sheetData>
    <row r="1" spans="1:25" ht="17.399999999999999" x14ac:dyDescent="0.3">
      <c r="A1" s="93" t="s">
        <v>326</v>
      </c>
      <c r="B1" s="93"/>
      <c r="C1" s="93"/>
      <c r="D1" s="93"/>
      <c r="E1" s="93"/>
      <c r="F1" s="93"/>
      <c r="O1" s="6"/>
      <c r="P1" s="6" t="s">
        <v>105</v>
      </c>
      <c r="Q1" s="6"/>
      <c r="R1" s="33"/>
      <c r="S1" s="33"/>
      <c r="T1" s="33"/>
      <c r="U1" s="33"/>
      <c r="V1" s="33"/>
      <c r="W1" s="6"/>
      <c r="X1" s="6"/>
    </row>
    <row r="2" spans="1:25" ht="13.8" x14ac:dyDescent="0.25">
      <c r="F2" s="190">
        <v>3</v>
      </c>
      <c r="P2" s="142" t="s">
        <v>39</v>
      </c>
      <c r="Q2" s="142"/>
      <c r="R2" s="142" t="s">
        <v>276</v>
      </c>
      <c r="S2" s="142"/>
      <c r="T2" s="191"/>
      <c r="U2" s="191"/>
      <c r="V2" s="191"/>
      <c r="W2" s="191"/>
      <c r="X2" s="191"/>
      <c r="Y2" s="6"/>
    </row>
    <row r="3" spans="1:25" ht="23.25" customHeight="1" x14ac:dyDescent="0.25">
      <c r="E3" s="92" t="s">
        <v>291</v>
      </c>
      <c r="H3" s="193" t="s">
        <v>585</v>
      </c>
      <c r="I3" s="193"/>
      <c r="J3" s="193"/>
      <c r="K3" s="193"/>
      <c r="L3" s="193"/>
      <c r="P3" s="170" t="s">
        <v>19</v>
      </c>
      <c r="Q3" s="170"/>
      <c r="R3" s="142"/>
      <c r="S3" s="142"/>
      <c r="T3" s="191"/>
      <c r="U3" s="191"/>
      <c r="V3" s="191"/>
      <c r="W3" s="191"/>
      <c r="X3" s="191"/>
      <c r="Y3" s="6"/>
    </row>
    <row r="4" spans="1:25" ht="13.8" x14ac:dyDescent="0.25">
      <c r="B4" s="95" t="s">
        <v>1</v>
      </c>
      <c r="C4" s="95" t="s">
        <v>42</v>
      </c>
      <c r="D4" s="95" t="s">
        <v>7</v>
      </c>
      <c r="E4" s="192" t="s">
        <v>8</v>
      </c>
      <c r="F4" s="143" t="s">
        <v>405</v>
      </c>
      <c r="H4" s="235" t="s">
        <v>297</v>
      </c>
      <c r="I4" s="269"/>
      <c r="J4" s="269"/>
      <c r="K4" s="269"/>
      <c r="L4" s="269"/>
      <c r="P4" s="147" t="s">
        <v>13</v>
      </c>
      <c r="Q4" s="147" t="s">
        <v>34</v>
      </c>
      <c r="R4" s="147" t="s">
        <v>1</v>
      </c>
      <c r="S4" s="147" t="s">
        <v>2</v>
      </c>
      <c r="T4" s="196" t="s">
        <v>20</v>
      </c>
      <c r="U4" s="196" t="s">
        <v>21</v>
      </c>
      <c r="V4" s="196" t="s">
        <v>22</v>
      </c>
      <c r="W4" s="196" t="s">
        <v>23</v>
      </c>
      <c r="X4" s="196" t="s">
        <v>24</v>
      </c>
      <c r="Y4" s="6"/>
    </row>
    <row r="5" spans="1:25" s="274" customFormat="1" ht="18.75" customHeight="1" thickBot="1" x14ac:dyDescent="0.3">
      <c r="B5" s="112" t="s">
        <v>296</v>
      </c>
      <c r="C5" s="112" t="s">
        <v>26</v>
      </c>
      <c r="D5" s="112" t="s">
        <v>36</v>
      </c>
      <c r="E5" s="270" t="s">
        <v>37</v>
      </c>
      <c r="F5" s="112"/>
      <c r="H5" s="192"/>
      <c r="I5" s="271" t="s">
        <v>299</v>
      </c>
      <c r="J5" s="271" t="s">
        <v>300</v>
      </c>
      <c r="K5" s="271" t="s">
        <v>301</v>
      </c>
      <c r="L5" s="271" t="s">
        <v>298</v>
      </c>
      <c r="P5" s="272" t="s">
        <v>44</v>
      </c>
      <c r="Q5" s="272" t="s">
        <v>35</v>
      </c>
      <c r="R5" s="272" t="s">
        <v>25</v>
      </c>
      <c r="S5" s="272" t="s">
        <v>26</v>
      </c>
      <c r="T5" s="273" t="s">
        <v>27</v>
      </c>
      <c r="U5" s="273" t="s">
        <v>28</v>
      </c>
      <c r="V5" s="273" t="s">
        <v>48</v>
      </c>
      <c r="W5" s="273" t="s">
        <v>47</v>
      </c>
      <c r="X5" s="273" t="s">
        <v>29</v>
      </c>
      <c r="Y5" s="244"/>
    </row>
    <row r="6" spans="1:25" ht="14.4" thickBot="1" x14ac:dyDescent="0.3">
      <c r="B6" s="197" t="s">
        <v>229</v>
      </c>
      <c r="C6" s="197"/>
      <c r="D6" s="197"/>
      <c r="E6" s="198"/>
      <c r="F6" s="199" t="str">
        <f>General!$B$5</f>
        <v>GW</v>
      </c>
      <c r="H6" s="241" t="s">
        <v>335</v>
      </c>
      <c r="I6" s="242" t="str">
        <f>General!$B$2</f>
        <v>PJ</v>
      </c>
      <c r="J6" s="242" t="str">
        <f>General!$B$2</f>
        <v>PJ</v>
      </c>
      <c r="K6" s="242" t="str">
        <f>General!$B$2</f>
        <v>PJ</v>
      </c>
      <c r="L6" s="242"/>
      <c r="P6" s="6" t="s">
        <v>230</v>
      </c>
      <c r="Q6" s="6"/>
      <c r="R6" s="6" t="str">
        <f>Commodities!$Z$14&amp;"_"&amp;RIGHT(Commodities!$D$48,3)&amp;"_"&amp;$AD$3&amp;"E01"</f>
        <v>TER_TP_SC_ELC_E01</v>
      </c>
      <c r="S6" s="6" t="s">
        <v>441</v>
      </c>
      <c r="T6" s="33" t="str">
        <f>General!$B$2</f>
        <v>PJ</v>
      </c>
      <c r="U6" s="33" t="str">
        <f>General!$B$5</f>
        <v>GW</v>
      </c>
      <c r="V6" s="33" t="s">
        <v>93</v>
      </c>
      <c r="W6" s="33"/>
      <c r="X6" s="33"/>
      <c r="Y6" s="6"/>
    </row>
    <row r="7" spans="1:25" ht="13.8" x14ac:dyDescent="0.25">
      <c r="B7" s="45" t="str">
        <f>R6</f>
        <v>TER_TP_SC_ELC_E01</v>
      </c>
      <c r="C7" s="45" t="str">
        <f>S6</f>
        <v>Private (Commercial) SpCool A/C (E)</v>
      </c>
      <c r="D7" s="173" t="str">
        <f>Commodities!$D$49</f>
        <v>TERELC</v>
      </c>
      <c r="E7" s="229" t="str">
        <f>Commodities!$Z$14</f>
        <v>TER_TP_SC</v>
      </c>
      <c r="F7" s="225">
        <f>($H7*VLOOKUP(LEFT($B7,6),TER_Stock!$C$16:$E$17,F$2,FALSE)*VLOOKUP($B7,TER_Stock!F73:G74,2,FALSE)/1000)*(Stk_Mult)</f>
        <v>1.35</v>
      </c>
      <c r="H7" s="211">
        <v>0.1</v>
      </c>
      <c r="I7" s="275">
        <f>F7*F22*F30</f>
        <v>0.78062048640000015</v>
      </c>
      <c r="J7" s="275">
        <f>F7*F22*F30/F14</f>
        <v>0.31224819456000008</v>
      </c>
      <c r="K7" s="275">
        <f>VLOOKUP(LEFT($B7,9),COM_En_Balance!$C$36:$S$54,MATCH($D7,COM_En_Balance!$D$36:$S$36,0)+1,FALSE)</f>
        <v>0.31224819456000003</v>
      </c>
      <c r="L7" s="275">
        <f>SUM(J7:J7)-SUM(K7:K7)</f>
        <v>0</v>
      </c>
      <c r="P7" s="6"/>
      <c r="Q7" s="6"/>
      <c r="R7" s="6" t="str">
        <f>Commodities!$Z$15&amp;"_"&amp;RIGHT(Commodities!$D$48,3)&amp;"_"&amp;$AD$3&amp;"E01"</f>
        <v>TER_TS_SC_ELC_E01</v>
      </c>
      <c r="S7" s="6" t="s">
        <v>442</v>
      </c>
      <c r="T7" s="33" t="str">
        <f>General!$B$2</f>
        <v>PJ</v>
      </c>
      <c r="U7" s="33" t="str">
        <f>General!$B$5</f>
        <v>GW</v>
      </c>
      <c r="V7" s="33" t="s">
        <v>93</v>
      </c>
      <c r="W7" s="33"/>
      <c r="X7" s="33"/>
      <c r="Y7" s="6"/>
    </row>
    <row r="8" spans="1:25" ht="13.8" x14ac:dyDescent="0.25">
      <c r="B8" s="45" t="str">
        <f>R7</f>
        <v>TER_TS_SC_ELC_E01</v>
      </c>
      <c r="C8" s="45" t="str">
        <f>S7</f>
        <v>Services (Public) SpCool A/C (E)</v>
      </c>
      <c r="D8" s="173" t="str">
        <f>Commodities!$D$49</f>
        <v>TERELC</v>
      </c>
      <c r="E8" s="209" t="str">
        <f>Commodities!$Z$15</f>
        <v>TER_TS_SC</v>
      </c>
      <c r="F8" s="225">
        <f>($H8*VLOOKUP(LEFT($B8,6),TER_Stock!$C$16:$E$17,F$2,FALSE)*VLOOKUP($B8,TER_Stock!F73:G74,2,FALSE)/1000)*(Stk_Mult)</f>
        <v>1.1000000000000001</v>
      </c>
      <c r="H8" s="211">
        <v>0.1</v>
      </c>
      <c r="I8" s="275">
        <f>F8*F23*F31</f>
        <v>1.4636634120000001</v>
      </c>
      <c r="J8" s="275">
        <f>F8*F23*F31/F15</f>
        <v>0.5854653648</v>
      </c>
      <c r="K8" s="275">
        <f>VLOOKUP(LEFT($B8,9),COM_En_Balance!$C$36:$S$54,MATCH($D8,COM_En_Balance!$D$36:$S$36,0)+1,FALSE)</f>
        <v>0.5854653648</v>
      </c>
      <c r="L8" s="275">
        <f>SUM(J8:J8)-SUM(K8:K8)</f>
        <v>0</v>
      </c>
      <c r="P8" s="6"/>
      <c r="Q8" s="6"/>
      <c r="R8" s="6"/>
      <c r="S8" s="6"/>
      <c r="T8" s="33"/>
      <c r="U8" s="33"/>
      <c r="V8" s="33"/>
      <c r="W8" s="33"/>
      <c r="X8" s="33"/>
      <c r="Y8" s="6"/>
    </row>
    <row r="9" spans="1:25" x14ac:dyDescent="0.25">
      <c r="F9" s="231"/>
      <c r="H9" s="173"/>
      <c r="J9" s="275"/>
      <c r="K9" s="275"/>
    </row>
    <row r="10" spans="1:25" ht="13.8" x14ac:dyDescent="0.25">
      <c r="E10" s="92" t="s">
        <v>292</v>
      </c>
    </row>
    <row r="11" spans="1:25" ht="13.8" x14ac:dyDescent="0.25">
      <c r="B11" s="95" t="s">
        <v>1</v>
      </c>
      <c r="C11" s="95" t="s">
        <v>42</v>
      </c>
      <c r="D11" s="95" t="s">
        <v>7</v>
      </c>
      <c r="E11" s="95" t="s">
        <v>0</v>
      </c>
      <c r="F11" s="143" t="s">
        <v>405</v>
      </c>
    </row>
    <row r="12" spans="1:25" ht="14.4" thickBot="1" x14ac:dyDescent="0.3">
      <c r="B12" s="113" t="s">
        <v>296</v>
      </c>
      <c r="C12" s="113" t="s">
        <v>26</v>
      </c>
      <c r="D12" s="112" t="s">
        <v>36</v>
      </c>
      <c r="E12" s="155" t="s">
        <v>37</v>
      </c>
      <c r="F12" s="113"/>
    </row>
    <row r="13" spans="1:25" ht="14.4" thickBot="1" x14ac:dyDescent="0.3">
      <c r="B13" s="113" t="s">
        <v>229</v>
      </c>
      <c r="C13" s="113"/>
      <c r="D13" s="113"/>
      <c r="E13" s="155"/>
      <c r="F13" s="205"/>
      <c r="S13" s="6"/>
    </row>
    <row r="14" spans="1:25" ht="13.8" x14ac:dyDescent="0.25">
      <c r="B14" s="45" t="str">
        <f>R6</f>
        <v>TER_TP_SC_ELC_E01</v>
      </c>
      <c r="C14" s="45" t="str">
        <f>S6</f>
        <v>Private (Commercial) SpCool A/C (E)</v>
      </c>
      <c r="E14" s="229" t="str">
        <f>Commodities!$Z$14</f>
        <v>TER_TP_SC</v>
      </c>
      <c r="F14" s="248">
        <v>2.5</v>
      </c>
      <c r="S14" s="6"/>
    </row>
    <row r="15" spans="1:25" x14ac:dyDescent="0.25">
      <c r="B15" s="45" t="str">
        <f>R7</f>
        <v>TER_TS_SC_ELC_E01</v>
      </c>
      <c r="C15" s="45" t="str">
        <f>S7</f>
        <v>Services (Public) SpCool A/C (E)</v>
      </c>
      <c r="E15" s="209" t="str">
        <f>Commodities!$Z$15</f>
        <v>TER_TS_SC</v>
      </c>
      <c r="F15" s="248">
        <v>2.5</v>
      </c>
    </row>
    <row r="18" spans="2:9" ht="13.8" x14ac:dyDescent="0.25">
      <c r="E18" s="92" t="s">
        <v>293</v>
      </c>
    </row>
    <row r="19" spans="2:9" ht="13.8" x14ac:dyDescent="0.25">
      <c r="B19" s="95" t="s">
        <v>1</v>
      </c>
      <c r="C19" s="95" t="s">
        <v>42</v>
      </c>
      <c r="D19" s="95" t="s">
        <v>7</v>
      </c>
      <c r="E19" s="95" t="s">
        <v>0</v>
      </c>
      <c r="F19" s="143" t="s">
        <v>405</v>
      </c>
    </row>
    <row r="20" spans="2:9" ht="14.4" thickBot="1" x14ac:dyDescent="0.3">
      <c r="B20" s="113" t="s">
        <v>296</v>
      </c>
      <c r="C20" s="113" t="s">
        <v>26</v>
      </c>
      <c r="D20" s="112" t="s">
        <v>36</v>
      </c>
      <c r="E20" s="155"/>
      <c r="F20" s="113"/>
    </row>
    <row r="21" spans="2:9" ht="14.4" thickBot="1" x14ac:dyDescent="0.3">
      <c r="B21" s="113" t="s">
        <v>229</v>
      </c>
      <c r="C21" s="113"/>
      <c r="D21" s="113"/>
      <c r="E21" s="155"/>
      <c r="F21" s="112"/>
    </row>
    <row r="22" spans="2:9" x14ac:dyDescent="0.25">
      <c r="B22" s="45" t="str">
        <f>R6</f>
        <v>TER_TP_SC_ELC_E01</v>
      </c>
      <c r="C22" s="45" t="str">
        <f>S6</f>
        <v>Private (Commercial) SpCool A/C (E)</v>
      </c>
      <c r="E22" s="229" t="str">
        <f>Commodities!$Z$14</f>
        <v>TER_TP_SC</v>
      </c>
      <c r="F22" s="248">
        <v>31.536000000000001</v>
      </c>
    </row>
    <row r="23" spans="2:9" x14ac:dyDescent="0.25">
      <c r="B23" s="45" t="str">
        <f>R7</f>
        <v>TER_TS_SC_ELC_E01</v>
      </c>
      <c r="C23" s="45" t="str">
        <f>S7</f>
        <v>Services (Public) SpCool A/C (E)</v>
      </c>
      <c r="E23" s="209" t="str">
        <f>Commodities!$Z$15</f>
        <v>TER_TS_SC</v>
      </c>
      <c r="F23" s="248">
        <v>31.536000000000001</v>
      </c>
    </row>
    <row r="24" spans="2:9" x14ac:dyDescent="0.25">
      <c r="F24" s="183"/>
    </row>
    <row r="26" spans="2:9" ht="13.8" x14ac:dyDescent="0.25">
      <c r="E26" s="92" t="s">
        <v>294</v>
      </c>
      <c r="H26" s="92" t="s">
        <v>578</v>
      </c>
      <c r="I26" s="92"/>
    </row>
    <row r="27" spans="2:9" ht="13.8" x14ac:dyDescent="0.25">
      <c r="B27" s="95" t="s">
        <v>1</v>
      </c>
      <c r="C27" s="95" t="s">
        <v>42</v>
      </c>
      <c r="D27" s="95" t="s">
        <v>7</v>
      </c>
      <c r="E27" s="95" t="s">
        <v>0</v>
      </c>
      <c r="F27" s="143" t="s">
        <v>405</v>
      </c>
      <c r="H27" s="95" t="s">
        <v>1</v>
      </c>
      <c r="I27" s="143" t="s">
        <v>405</v>
      </c>
    </row>
    <row r="28" spans="2:9" ht="14.4" thickBot="1" x14ac:dyDescent="0.3">
      <c r="B28" s="113" t="s">
        <v>296</v>
      </c>
      <c r="C28" s="113" t="s">
        <v>26</v>
      </c>
      <c r="D28" s="112" t="s">
        <v>36</v>
      </c>
      <c r="E28" s="155"/>
      <c r="F28" s="113"/>
      <c r="H28" s="113" t="s">
        <v>296</v>
      </c>
      <c r="I28" s="113"/>
    </row>
    <row r="29" spans="2:9" ht="14.4" thickBot="1" x14ac:dyDescent="0.3">
      <c r="B29" s="113" t="s">
        <v>229</v>
      </c>
      <c r="C29" s="113"/>
      <c r="D29" s="113"/>
      <c r="E29" s="155"/>
      <c r="F29" s="112"/>
      <c r="H29" s="113" t="s">
        <v>229</v>
      </c>
      <c r="I29" s="113"/>
    </row>
    <row r="30" spans="2:9" x14ac:dyDescent="0.25">
      <c r="B30" s="45" t="str">
        <f>R6</f>
        <v>TER_TP_SC_ELC_E01</v>
      </c>
      <c r="C30" s="45" t="str">
        <f>S6</f>
        <v>Private (Commercial) SpCool A/C (E)</v>
      </c>
      <c r="E30" s="229" t="str">
        <f>Commodities!$Z$14</f>
        <v>TER_TP_SC</v>
      </c>
      <c r="F30" s="248">
        <f>K7*F14/(F7*F22)</f>
        <v>1.8335787586673431E-2</v>
      </c>
      <c r="H30" s="229" t="str">
        <f>B30</f>
        <v>TER_TP_SC_ELC_E01</v>
      </c>
      <c r="I30" s="248">
        <f>IF(F30*Stk_Mult&gt;1,1,F30*Stk_Mult)</f>
        <v>1.8335787586673431E-2</v>
      </c>
    </row>
    <row r="31" spans="2:9" x14ac:dyDescent="0.25">
      <c r="B31" s="45" t="str">
        <f>R7</f>
        <v>TER_TS_SC_ELC_E01</v>
      </c>
      <c r="C31" s="45" t="str">
        <f>S7</f>
        <v>Services (Public) SpCool A/C (E)</v>
      </c>
      <c r="E31" s="209" t="str">
        <f>Commodities!$Z$15</f>
        <v>TER_TS_SC</v>
      </c>
      <c r="F31" s="248">
        <f>K8*F15/(F8*F23)</f>
        <v>4.2193147571606471E-2</v>
      </c>
      <c r="H31" s="209" t="str">
        <f>B31</f>
        <v>TER_TS_SC_ELC_E01</v>
      </c>
      <c r="I31" s="248">
        <f>IF(F31*Stk_Mult&gt;1,1,F31*Stk_Mult)</f>
        <v>4.2193147571606471E-2</v>
      </c>
    </row>
    <row r="33" spans="2:6" ht="13.8" x14ac:dyDescent="0.25">
      <c r="E33" s="92" t="s">
        <v>295</v>
      </c>
    </row>
    <row r="34" spans="2:6" ht="13.8" x14ac:dyDescent="0.25">
      <c r="B34" s="95" t="s">
        <v>1</v>
      </c>
      <c r="C34" s="95" t="s">
        <v>42</v>
      </c>
      <c r="D34" s="95" t="s">
        <v>7</v>
      </c>
      <c r="E34" s="95" t="s">
        <v>0</v>
      </c>
      <c r="F34" s="143" t="s">
        <v>405</v>
      </c>
    </row>
    <row r="35" spans="2:6" ht="14.4" thickBot="1" x14ac:dyDescent="0.3">
      <c r="B35" s="113" t="s">
        <v>296</v>
      </c>
      <c r="C35" s="113" t="s">
        <v>26</v>
      </c>
      <c r="D35" s="112" t="s">
        <v>36</v>
      </c>
      <c r="E35" s="155"/>
      <c r="F35" s="113"/>
    </row>
    <row r="36" spans="2:6" ht="14.4" thickBot="1" x14ac:dyDescent="0.3">
      <c r="B36" s="113" t="s">
        <v>229</v>
      </c>
      <c r="C36" s="113"/>
      <c r="D36" s="113"/>
      <c r="E36" s="155"/>
      <c r="F36" s="112"/>
    </row>
    <row r="37" spans="2:6" x14ac:dyDescent="0.25">
      <c r="B37" s="45" t="str">
        <f>R6</f>
        <v>TER_TP_SC_ELC_E01</v>
      </c>
      <c r="C37" s="45" t="str">
        <f>S6</f>
        <v>Private (Commercial) SpCool A/C (E)</v>
      </c>
      <c r="E37" s="229" t="str">
        <f>Commodities!$Z$14</f>
        <v>TER_TP_SC</v>
      </c>
      <c r="F37" s="248">
        <v>15</v>
      </c>
    </row>
    <row r="38" spans="2:6" x14ac:dyDescent="0.25">
      <c r="B38" s="45" t="str">
        <f>R7</f>
        <v>TER_TS_SC_ELC_E01</v>
      </c>
      <c r="C38" s="45" t="str">
        <f>S7</f>
        <v>Services (Public) SpCool A/C (E)</v>
      </c>
      <c r="E38" s="209" t="str">
        <f>Commodities!$Z$15</f>
        <v>TER_TS_SC</v>
      </c>
      <c r="F38" s="248">
        <v>15</v>
      </c>
    </row>
    <row r="206" spans="2:6" x14ac:dyDescent="0.25">
      <c r="B206" s="173"/>
      <c r="C206" s="173"/>
      <c r="D206" s="173"/>
      <c r="E206" s="209"/>
    </row>
    <row r="207" spans="2:6" x14ac:dyDescent="0.25">
      <c r="B207" s="173"/>
      <c r="C207" s="173"/>
      <c r="D207" s="173"/>
      <c r="E207" s="209"/>
      <c r="F207" s="173"/>
    </row>
  </sheetData>
  <conditionalFormatting sqref="F30:F31">
    <cfRule type="cellIs" dxfId="1" priority="2" stopIfTrue="1" operator="greaterThan">
      <formula>1</formula>
    </cfRule>
  </conditionalFormatting>
  <conditionalFormatting sqref="I30:I31">
    <cfRule type="cellIs" dxfId="0" priority="1" stopIfTrue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U77"/>
  <sheetViews>
    <sheetView zoomScale="70" zoomScaleNormal="70" workbookViewId="0">
      <selection sqref="A1:XFD1048576"/>
    </sheetView>
  </sheetViews>
  <sheetFormatPr defaultColWidth="9.33203125" defaultRowHeight="13.2" x14ac:dyDescent="0.25"/>
  <cols>
    <col min="1" max="1" width="6.44140625" style="45" customWidth="1"/>
    <col min="2" max="2" width="30" style="45" customWidth="1"/>
    <col min="3" max="3" width="83.44140625" style="45" bestFit="1" customWidth="1"/>
    <col min="4" max="4" width="17.109375" style="45" bestFit="1" customWidth="1"/>
    <col min="5" max="5" width="25.44140625" style="45" bestFit="1" customWidth="1"/>
    <col min="6" max="6" width="14.5546875" style="45" customWidth="1"/>
    <col min="7" max="7" width="7.88671875" style="45" customWidth="1"/>
    <col min="8" max="8" width="23.88671875" style="45" customWidth="1"/>
    <col min="9" max="9" width="29.33203125" style="45" bestFit="1" customWidth="1"/>
    <col min="10" max="10" width="37.33203125" style="45" bestFit="1" customWidth="1"/>
    <col min="11" max="11" width="8.88671875" style="45" bestFit="1" customWidth="1"/>
    <col min="12" max="12" width="9.33203125" style="45" customWidth="1"/>
    <col min="13" max="13" width="17.33203125" style="45" customWidth="1"/>
    <col min="14" max="14" width="14.33203125" style="45" bestFit="1" customWidth="1"/>
    <col min="15" max="15" width="30.44140625" style="45" customWidth="1"/>
    <col min="16" max="16" width="44.44140625" style="45" customWidth="1"/>
    <col min="17" max="17" width="12.109375" style="45" bestFit="1" customWidth="1"/>
    <col min="18" max="18" width="14" style="45" bestFit="1" customWidth="1"/>
    <col min="19" max="19" width="33.88671875" style="45" bestFit="1" customWidth="1"/>
    <col min="20" max="20" width="26.44140625" style="45" bestFit="1" customWidth="1"/>
    <col min="21" max="21" width="17.44140625" style="45" bestFit="1" customWidth="1"/>
    <col min="22" max="16384" width="9.33203125" style="45"/>
  </cols>
  <sheetData>
    <row r="1" spans="1:21" ht="17.399999999999999" x14ac:dyDescent="0.3">
      <c r="A1" s="93" t="s">
        <v>327</v>
      </c>
      <c r="B1" s="93"/>
      <c r="C1" s="93"/>
      <c r="D1" s="93"/>
      <c r="E1" s="93"/>
      <c r="F1" s="93"/>
      <c r="N1" s="6"/>
      <c r="O1" s="6"/>
      <c r="P1" s="6"/>
      <c r="Q1" s="33"/>
      <c r="R1" s="33"/>
      <c r="S1" s="33"/>
      <c r="T1" s="33"/>
      <c r="U1" s="33"/>
    </row>
    <row r="2" spans="1:21" ht="12.75" customHeight="1" x14ac:dyDescent="0.25">
      <c r="A2" s="92"/>
      <c r="F2" s="190">
        <v>3</v>
      </c>
      <c r="M2" s="6" t="s">
        <v>105</v>
      </c>
      <c r="N2" s="6"/>
      <c r="O2" s="6"/>
      <c r="P2" s="6"/>
      <c r="Q2" s="33"/>
      <c r="R2" s="33"/>
      <c r="S2" s="33"/>
      <c r="T2" s="33"/>
      <c r="U2" s="33"/>
    </row>
    <row r="3" spans="1:21" ht="22.5" customHeight="1" x14ac:dyDescent="0.25">
      <c r="E3" s="92" t="s">
        <v>291</v>
      </c>
      <c r="H3" s="193" t="s">
        <v>585</v>
      </c>
      <c r="I3" s="193"/>
      <c r="J3" s="193"/>
      <c r="M3" s="142" t="s">
        <v>39</v>
      </c>
      <c r="N3" s="142"/>
      <c r="O3" s="142" t="s">
        <v>276</v>
      </c>
      <c r="P3" s="142"/>
      <c r="Q3" s="191"/>
      <c r="R3" s="191"/>
      <c r="S3" s="191"/>
      <c r="T3" s="191"/>
      <c r="U3" s="191"/>
    </row>
    <row r="4" spans="1:21" ht="13.5" customHeight="1" x14ac:dyDescent="0.25">
      <c r="B4" s="95" t="s">
        <v>1</v>
      </c>
      <c r="C4" s="192" t="s">
        <v>42</v>
      </c>
      <c r="D4" s="95" t="s">
        <v>7</v>
      </c>
      <c r="E4" s="192" t="s">
        <v>8</v>
      </c>
      <c r="F4" s="143" t="s">
        <v>405</v>
      </c>
      <c r="H4" s="235"/>
      <c r="I4" s="195"/>
      <c r="J4" s="195"/>
      <c r="M4" s="170" t="s">
        <v>19</v>
      </c>
      <c r="N4" s="170"/>
      <c r="O4" s="142"/>
      <c r="P4" s="142"/>
      <c r="Q4" s="191"/>
      <c r="R4" s="191"/>
      <c r="S4" s="191"/>
      <c r="T4" s="191"/>
      <c r="U4" s="191"/>
    </row>
    <row r="5" spans="1:21" ht="19.5" customHeight="1" thickBot="1" x14ac:dyDescent="0.3">
      <c r="B5" s="113" t="s">
        <v>296</v>
      </c>
      <c r="C5" s="155" t="s">
        <v>26</v>
      </c>
      <c r="D5" s="112" t="s">
        <v>36</v>
      </c>
      <c r="E5" s="155" t="s">
        <v>37</v>
      </c>
      <c r="F5" s="113"/>
      <c r="H5" s="192" t="s">
        <v>309</v>
      </c>
      <c r="I5" s="195" t="s">
        <v>300</v>
      </c>
      <c r="J5" s="195" t="s">
        <v>301</v>
      </c>
      <c r="M5" s="147" t="s">
        <v>13</v>
      </c>
      <c r="N5" s="147" t="s">
        <v>34</v>
      </c>
      <c r="O5" s="147" t="s">
        <v>1</v>
      </c>
      <c r="P5" s="147" t="s">
        <v>2</v>
      </c>
      <c r="Q5" s="196" t="s">
        <v>20</v>
      </c>
      <c r="R5" s="196" t="s">
        <v>21</v>
      </c>
      <c r="S5" s="196" t="s">
        <v>22</v>
      </c>
      <c r="T5" s="196" t="s">
        <v>23</v>
      </c>
      <c r="U5" s="196" t="s">
        <v>24</v>
      </c>
    </row>
    <row r="6" spans="1:21" s="207" customFormat="1" ht="19.5" customHeight="1" thickBot="1" x14ac:dyDescent="0.3">
      <c r="B6" s="197" t="s">
        <v>229</v>
      </c>
      <c r="C6" s="198"/>
      <c r="D6" s="197"/>
      <c r="E6" s="198"/>
      <c r="F6" s="198" t="str">
        <f>General!$D$18</f>
        <v>000s_Units</v>
      </c>
      <c r="H6" s="200" t="s">
        <v>328</v>
      </c>
      <c r="I6" s="201" t="str">
        <f>General!$B$2</f>
        <v>PJ</v>
      </c>
      <c r="J6" s="201" t="str">
        <f>General!$B$2</f>
        <v>PJ</v>
      </c>
      <c r="K6" s="45"/>
      <c r="M6" s="202" t="s">
        <v>44</v>
      </c>
      <c r="N6" s="202" t="s">
        <v>35</v>
      </c>
      <c r="O6" s="202" t="s">
        <v>25</v>
      </c>
      <c r="P6" s="202" t="s">
        <v>26</v>
      </c>
      <c r="Q6" s="203" t="s">
        <v>27</v>
      </c>
      <c r="R6" s="203" t="s">
        <v>28</v>
      </c>
      <c r="S6" s="203" t="s">
        <v>48</v>
      </c>
      <c r="T6" s="203" t="s">
        <v>47</v>
      </c>
      <c r="U6" s="203" t="s">
        <v>29</v>
      </c>
    </row>
    <row r="7" spans="1:21" ht="15" customHeight="1" x14ac:dyDescent="0.25">
      <c r="B7" s="45" t="str">
        <f t="shared" ref="B7:B16" si="0">O7</f>
        <v>TER_TP_CK_GAS_E01</v>
      </c>
      <c r="C7" s="45" t="str">
        <f t="shared" ref="C7:C16" si="1">P7</f>
        <v>Private (Commercial) Cook Gas  (E)</v>
      </c>
      <c r="D7" s="45" t="str">
        <f>Commodities!$D$37</f>
        <v>TERGASNAT</v>
      </c>
      <c r="E7" s="209" t="str">
        <f>Commodities!$Z$16</f>
        <v>TER_TP_CK</v>
      </c>
      <c r="F7" s="256">
        <f>$H7*VLOOKUP(LEFT($B7,6),TER_Stock!$C$16:$E$17,F$2,FALSE)*VLOOKUP($B7,TER_Stock!$B$81:$C$90,2,FALSE)</f>
        <v>149.12814757662903</v>
      </c>
      <c r="G7" s="173"/>
      <c r="H7" s="276">
        <f>2/250</f>
        <v>8.0000000000000002E-3</v>
      </c>
      <c r="I7" s="277">
        <f t="shared" ref="I7:I16" si="2">F7*F38*F23*F53</f>
        <v>1.24622949024</v>
      </c>
      <c r="J7" s="278">
        <f>VLOOKUP(LEFT($B7,9),COM_En_Balance!$C$36:$S$54,MATCH($D7,COM_En_Balance!$D$36:$S$36,0)+1,FALSE)</f>
        <v>1.24622949024</v>
      </c>
      <c r="M7" s="6" t="s">
        <v>230</v>
      </c>
      <c r="N7" s="9"/>
      <c r="O7" s="6" t="str">
        <f>Commodities!$Z$16&amp;"_"&amp;LEFT(RIGHT(Commodities!$D$26,6),3)&amp;"_"&amp;$O$3&amp;"01"</f>
        <v>TER_TP_CK_GAS_E01</v>
      </c>
      <c r="P7" s="6" t="s">
        <v>443</v>
      </c>
      <c r="Q7" s="33" t="str">
        <f>General!$B$2</f>
        <v>PJ</v>
      </c>
      <c r="R7" s="33" t="str">
        <f>General!$D$18</f>
        <v>000s_Units</v>
      </c>
      <c r="S7" s="33" t="s">
        <v>93</v>
      </c>
      <c r="T7" s="12"/>
      <c r="U7" s="12"/>
    </row>
    <row r="8" spans="1:21" ht="13.8" x14ac:dyDescent="0.25">
      <c r="B8" s="45" t="str">
        <f t="shared" si="0"/>
        <v>TER_TP_CK_LPG_E01</v>
      </c>
      <c r="C8" s="45" t="str">
        <f t="shared" si="1"/>
        <v>Private (Commercial) Cook LPG  (E)</v>
      </c>
      <c r="D8" s="45" t="str">
        <f>Commodities!$D$34</f>
        <v>TEROILLPG</v>
      </c>
      <c r="E8" s="209" t="str">
        <f>Commodities!$Z$16</f>
        <v>TER_TP_CK</v>
      </c>
      <c r="F8" s="256">
        <f>$H8*VLOOKUP(LEFT($B8,6),TER_Stock!$C$16:$E$17,F$2,FALSE)*VLOOKUP($B8,TER_Stock!$B$81:$C$90,2,FALSE)</f>
        <v>24.048337157686955</v>
      </c>
      <c r="G8" s="173"/>
      <c r="H8" s="279">
        <f>H7</f>
        <v>8.0000000000000002E-3</v>
      </c>
      <c r="I8" s="280">
        <f t="shared" si="2"/>
        <v>0.20096640000000002</v>
      </c>
      <c r="J8" s="281">
        <f>VLOOKUP(LEFT($B8,9),COM_En_Balance!$C$36:$S$54,MATCH($D8,COM_En_Balance!$D$36:$S$36,0)+1,FALSE)</f>
        <v>0.20096640000000002</v>
      </c>
      <c r="M8" s="9"/>
      <c r="N8" s="9"/>
      <c r="O8" s="6" t="str">
        <f>Commodities!$Z$16&amp;"_"&amp;RIGHT(Commodities!$D$25,3)&amp;"_"&amp;$O$3&amp;"01"</f>
        <v>TER_TP_CK_LPG_E01</v>
      </c>
      <c r="P8" s="6" t="s">
        <v>444</v>
      </c>
      <c r="Q8" s="33" t="str">
        <f>General!$B$2</f>
        <v>PJ</v>
      </c>
      <c r="R8" s="33" t="str">
        <f>General!$D$18</f>
        <v>000s_Units</v>
      </c>
      <c r="S8" s="33" t="s">
        <v>93</v>
      </c>
      <c r="T8" s="12"/>
      <c r="U8" s="12"/>
    </row>
    <row r="9" spans="1:21" ht="15.75" customHeight="1" x14ac:dyDescent="0.25">
      <c r="B9" s="45" t="str">
        <f t="shared" si="0"/>
        <v>TER_TP_CK_LOG_E01</v>
      </c>
      <c r="C9" s="45" t="str">
        <f t="shared" si="1"/>
        <v>Private (Commercial) Cook Wood  (E)</v>
      </c>
      <c r="D9" s="173" t="str">
        <f>Commodities!$D$38</f>
        <v>TERBIOLOG</v>
      </c>
      <c r="E9" s="209" t="str">
        <f>Commodities!$Z$16</f>
        <v>TER_TP_CK</v>
      </c>
      <c r="F9" s="256">
        <f>$H9*VLOOKUP(LEFT($B9,6),TER_Stock!$C$16:$E$17,F$2,FALSE)*VLOOKUP($B9,TER_Stock!$B$81:$C$90,2,FALSE)</f>
        <v>0</v>
      </c>
      <c r="G9" s="173"/>
      <c r="H9" s="279">
        <f t="shared" ref="H9:H16" si="3">H8</f>
        <v>8.0000000000000002E-3</v>
      </c>
      <c r="I9" s="280">
        <f t="shared" si="2"/>
        <v>0</v>
      </c>
      <c r="J9" s="281">
        <f>VLOOKUP(LEFT($B9,9),COM_En_Balance!$C$36:$S$54,MATCH($D9,COM_En_Balance!$D$36:$S$36,0)+1,FALSE)</f>
        <v>0</v>
      </c>
      <c r="M9" s="9"/>
      <c r="N9" s="9"/>
      <c r="O9" s="6" t="str">
        <f>Commodities!$Z$16&amp;"_"&amp;RIGHT(Commodities!$D$27,3)&amp;"_"&amp;$O$3&amp;"01"</f>
        <v>TER_TP_CK_LOG_E01</v>
      </c>
      <c r="P9" s="6" t="s">
        <v>445</v>
      </c>
      <c r="Q9" s="33" t="str">
        <f>General!$B$2</f>
        <v>PJ</v>
      </c>
      <c r="R9" s="33" t="str">
        <f>General!$D$18</f>
        <v>000s_Units</v>
      </c>
      <c r="S9" s="33" t="s">
        <v>93</v>
      </c>
      <c r="T9" s="12"/>
      <c r="U9" s="12"/>
    </row>
    <row r="10" spans="1:21" ht="13.8" x14ac:dyDescent="0.25">
      <c r="B10" s="45" t="str">
        <f t="shared" si="0"/>
        <v>TER_TP_CK_CHR_E01</v>
      </c>
      <c r="C10" s="45" t="str">
        <f t="shared" si="1"/>
        <v>Private (Commercial) Cook Charcoal  (E)</v>
      </c>
      <c r="D10" s="173" t="str">
        <f>Commodities!$D$43</f>
        <v>TERBIOCHR</v>
      </c>
      <c r="E10" s="209" t="str">
        <f>Commodities!$Z$16</f>
        <v>TER_TP_CK</v>
      </c>
      <c r="F10" s="256">
        <f>$H10*VLOOKUP(LEFT($B10,6),TER_Stock!$C$16:$E$17,F$2,FALSE)*VLOOKUP($B10,TER_Stock!$B$81:$C$90,2,FALSE)</f>
        <v>0</v>
      </c>
      <c r="G10" s="173"/>
      <c r="H10" s="279">
        <f t="shared" si="3"/>
        <v>8.0000000000000002E-3</v>
      </c>
      <c r="I10" s="280">
        <f t="shared" si="2"/>
        <v>0</v>
      </c>
      <c r="J10" s="281">
        <f>VLOOKUP(LEFT($B10,9),COM_En_Balance!$C$36:$S$54,MATCH($D10,COM_En_Balance!$D$36:$S$36,0)+1,FALSE)</f>
        <v>0</v>
      </c>
      <c r="M10" s="9"/>
      <c r="N10" s="9"/>
      <c r="O10" s="6" t="str">
        <f>Commodities!$Z$16&amp;"_"&amp;RIGHT(Commodities!$D$43,3)&amp;"_"&amp;$O$3&amp;"01"</f>
        <v>TER_TP_CK_CHR_E01</v>
      </c>
      <c r="P10" s="6" t="s">
        <v>446</v>
      </c>
      <c r="Q10" s="33" t="str">
        <f>General!$B$2</f>
        <v>PJ</v>
      </c>
      <c r="R10" s="33" t="str">
        <f>General!$D$18</f>
        <v>000s_Units</v>
      </c>
      <c r="S10" s="33" t="s">
        <v>93</v>
      </c>
      <c r="T10" s="12"/>
      <c r="U10" s="12"/>
    </row>
    <row r="11" spans="1:21" ht="13.8" x14ac:dyDescent="0.25">
      <c r="B11" s="176" t="str">
        <f t="shared" si="0"/>
        <v>TER_TP_CK_ELC_E01</v>
      </c>
      <c r="C11" s="176" t="str">
        <f t="shared" si="1"/>
        <v>Private (Commercial) Cook Electric  (E)</v>
      </c>
      <c r="D11" s="176" t="str">
        <f>Commodities!$D$49</f>
        <v>TERELC</v>
      </c>
      <c r="E11" s="217" t="str">
        <f>Commodities!$Z$16</f>
        <v>TER_TP_CK</v>
      </c>
      <c r="F11" s="282">
        <f>$H11*VLOOKUP(LEFT($B11,6),TER_Stock!$C$16:$E$17,F$2,FALSE)*VLOOKUP($B11,TER_Stock!$B$81:$C$90,2,FALSE)</f>
        <v>186.82351526568405</v>
      </c>
      <c r="G11" s="173"/>
      <c r="H11" s="283">
        <f t="shared" si="3"/>
        <v>8.0000000000000002E-3</v>
      </c>
      <c r="I11" s="284">
        <f t="shared" si="2"/>
        <v>2.0920629035520002</v>
      </c>
      <c r="J11" s="285">
        <f>VLOOKUP(LEFT($B11,9),COM_En_Balance!$C$36:$S$54,MATCH($D11,COM_En_Balance!$D$36:$S$36,0)+1,FALSE)</f>
        <v>1.5612409728000003</v>
      </c>
      <c r="M11" s="204"/>
      <c r="N11" s="204"/>
      <c r="O11" s="204" t="str">
        <f>Commodities!$Z$16&amp;"_"&amp;RIGHT(Commodities!$D$48,3)&amp;"_"&amp;$O$3&amp;"01"</f>
        <v>TER_TP_CK_ELC_E01</v>
      </c>
      <c r="P11" s="204" t="s">
        <v>447</v>
      </c>
      <c r="Q11" s="120" t="str">
        <f>General!$B$2</f>
        <v>PJ</v>
      </c>
      <c r="R11" s="120" t="str">
        <f>General!$D$18</f>
        <v>000s_Units</v>
      </c>
      <c r="S11" s="120" t="s">
        <v>93</v>
      </c>
      <c r="T11" s="120"/>
      <c r="U11" s="120"/>
    </row>
    <row r="12" spans="1:21" ht="13.8" x14ac:dyDescent="0.25">
      <c r="B12" s="45" t="str">
        <f t="shared" si="0"/>
        <v>TER_TS_CK_GAS_E01</v>
      </c>
      <c r="C12" s="45" t="str">
        <f t="shared" si="1"/>
        <v>Services (Public) Cook Gas  (E)</v>
      </c>
      <c r="D12" s="173" t="str">
        <f>Commodities!$D$37</f>
        <v>TERGASNAT</v>
      </c>
      <c r="E12" s="209" t="str">
        <f>Commodities!$Z$17</f>
        <v>TER_TS_CK</v>
      </c>
      <c r="F12" s="256">
        <f>$H12*VLOOKUP(LEFT($B12,6),TER_Stock!$C$16:$E$17,F$2,FALSE)*VLOOKUP($B12,TER_Stock!$B$86:$C$95,2,FALSE)</f>
        <v>237.80133839407239</v>
      </c>
      <c r="G12" s="173"/>
      <c r="H12" s="276">
        <f t="shared" si="3"/>
        <v>8.0000000000000002E-3</v>
      </c>
      <c r="I12" s="277">
        <f t="shared" si="2"/>
        <v>1.8693442353600001</v>
      </c>
      <c r="J12" s="278">
        <f>VLOOKUP(LEFT($B12,9),COM_En_Balance!$C$36:$S$54,MATCH($D12,COM_En_Balance!$D$36:$S$36,0)+1,FALSE)</f>
        <v>1.8693442353600001</v>
      </c>
      <c r="M12" s="9"/>
      <c r="N12" s="9"/>
      <c r="O12" s="6" t="str">
        <f>Commodities!$Z$17&amp;"_"&amp;LEFT(RIGHT(Commodities!$D$26,6),3)&amp;"_"&amp;$O$3&amp;"01"</f>
        <v>TER_TS_CK_GAS_E01</v>
      </c>
      <c r="P12" s="6" t="s">
        <v>448</v>
      </c>
      <c r="Q12" s="33" t="str">
        <f>General!$B$2</f>
        <v>PJ</v>
      </c>
      <c r="R12" s="33" t="str">
        <f>General!$D$18</f>
        <v>000s_Units</v>
      </c>
      <c r="S12" s="33" t="s">
        <v>93</v>
      </c>
      <c r="T12" s="12"/>
      <c r="U12" s="12"/>
    </row>
    <row r="13" spans="1:21" ht="13.8" x14ac:dyDescent="0.25">
      <c r="B13" s="45" t="str">
        <f t="shared" si="0"/>
        <v>TER_TS_CK_LPG_E01</v>
      </c>
      <c r="C13" s="45" t="str">
        <f t="shared" si="1"/>
        <v>Services (Public) Cook LPG  (E)</v>
      </c>
      <c r="D13" s="45" t="str">
        <f>Commodities!$D$34</f>
        <v>TEROILLPG</v>
      </c>
      <c r="E13" s="209" t="str">
        <f>Commodities!$Z$17</f>
        <v>TER_TS_CK</v>
      </c>
      <c r="F13" s="256">
        <f>$H13*VLOOKUP(LEFT($B13,6),TER_Stock!$C$16:$E$17,F$2,FALSE)*VLOOKUP($B13,TER_Stock!$B$86:$C$95,2,FALSE)</f>
        <v>38.347735522640427</v>
      </c>
      <c r="G13" s="173"/>
      <c r="H13" s="279">
        <f t="shared" si="3"/>
        <v>8.0000000000000002E-3</v>
      </c>
      <c r="I13" s="280">
        <f t="shared" si="2"/>
        <v>0.3014496000000001</v>
      </c>
      <c r="J13" s="281">
        <f>VLOOKUP(LEFT($B13,9),COM_En_Balance!$C$36:$S$54,MATCH($D13,COM_En_Balance!$D$36:$S$36,0)+1,FALSE)</f>
        <v>0.3014496000000001</v>
      </c>
      <c r="M13" s="9"/>
      <c r="N13" s="9"/>
      <c r="O13" s="6" t="str">
        <f>Commodities!$Z$17&amp;"_"&amp;RIGHT(Commodities!$D$25,3)&amp;"_"&amp;$O$3&amp;"01"</f>
        <v>TER_TS_CK_LPG_E01</v>
      </c>
      <c r="P13" s="6" t="s">
        <v>449</v>
      </c>
      <c r="Q13" s="33" t="str">
        <f>General!$B$2</f>
        <v>PJ</v>
      </c>
      <c r="R13" s="33" t="str">
        <f>General!$D$18</f>
        <v>000s_Units</v>
      </c>
      <c r="S13" s="33" t="s">
        <v>93</v>
      </c>
      <c r="T13" s="12"/>
      <c r="U13" s="12"/>
    </row>
    <row r="14" spans="1:21" ht="13.8" x14ac:dyDescent="0.25">
      <c r="B14" s="45" t="str">
        <f t="shared" si="0"/>
        <v>TER_TS_CK_LOG_E01</v>
      </c>
      <c r="C14" s="45" t="str">
        <f t="shared" si="1"/>
        <v>Services (Public) Cook Wood  (E)</v>
      </c>
      <c r="D14" s="173" t="str">
        <f>Commodities!$D$38</f>
        <v>TERBIOLOG</v>
      </c>
      <c r="E14" s="209" t="str">
        <f>Commodities!$Z$17</f>
        <v>TER_TS_CK</v>
      </c>
      <c r="F14" s="256">
        <f>$H14*VLOOKUP(LEFT($B14,6),TER_Stock!$C$16:$E$17,F$2,FALSE)*VLOOKUP($B14,TER_Stock!$B$86:$C$95,2,FALSE)</f>
        <v>0</v>
      </c>
      <c r="G14" s="173"/>
      <c r="H14" s="279">
        <f t="shared" si="3"/>
        <v>8.0000000000000002E-3</v>
      </c>
      <c r="I14" s="280">
        <f t="shared" si="2"/>
        <v>0</v>
      </c>
      <c r="J14" s="281">
        <f>VLOOKUP(LEFT($B14,9),COM_En_Balance!$C$36:$S$54,MATCH($D14,COM_En_Balance!$D$36:$S$36,0)+1,FALSE)</f>
        <v>0</v>
      </c>
      <c r="M14" s="9"/>
      <c r="N14" s="9"/>
      <c r="O14" s="6" t="str">
        <f>Commodities!$Z$17&amp;"_"&amp;RIGHT(Commodities!$D$27,3)&amp;"_"&amp;$O$3&amp;"01"</f>
        <v>TER_TS_CK_LOG_E01</v>
      </c>
      <c r="P14" s="6" t="s">
        <v>450</v>
      </c>
      <c r="Q14" s="33" t="str">
        <f>General!$B$2</f>
        <v>PJ</v>
      </c>
      <c r="R14" s="33" t="str">
        <f>General!$D$18</f>
        <v>000s_Units</v>
      </c>
      <c r="S14" s="33" t="s">
        <v>93</v>
      </c>
      <c r="T14" s="12"/>
      <c r="U14" s="12"/>
    </row>
    <row r="15" spans="1:21" ht="13.8" x14ac:dyDescent="0.25">
      <c r="B15" s="45" t="str">
        <f>O15</f>
        <v>TER_TS_CK_CHR_E01</v>
      </c>
      <c r="C15" s="45" t="str">
        <f>P15</f>
        <v>Services (Public) Cook Charcoal  (E)</v>
      </c>
      <c r="D15" s="173" t="str">
        <f>Commodities!$D$43</f>
        <v>TERBIOCHR</v>
      </c>
      <c r="E15" s="209" t="str">
        <f>Commodities!$Z$17</f>
        <v>TER_TS_CK</v>
      </c>
      <c r="F15" s="256">
        <f>$H15*VLOOKUP(LEFT($B15,6),TER_Stock!$C$16:$E$17,F$2,FALSE)*VLOOKUP($B15,TER_Stock!$B$86:$C$95,2,FALSE)</f>
        <v>0</v>
      </c>
      <c r="G15" s="173"/>
      <c r="H15" s="279">
        <f t="shared" si="3"/>
        <v>8.0000000000000002E-3</v>
      </c>
      <c r="I15" s="280">
        <f t="shared" si="2"/>
        <v>0</v>
      </c>
      <c r="J15" s="281">
        <f>VLOOKUP(LEFT($B15,9),COM_En_Balance!$C$36:$S$54,MATCH($D15,COM_En_Balance!$D$36:$S$36,0)+1,FALSE)</f>
        <v>0</v>
      </c>
      <c r="M15" s="9"/>
      <c r="N15" s="9"/>
      <c r="O15" s="6" t="str">
        <f>Commodities!$Z$17&amp;"_"&amp;RIGHT(Commodities!$D$43,3)&amp;"_"&amp;$O$3&amp;"01"</f>
        <v>TER_TS_CK_CHR_E01</v>
      </c>
      <c r="P15" s="6" t="s">
        <v>451</v>
      </c>
      <c r="Q15" s="33" t="str">
        <f>General!$B$2</f>
        <v>PJ</v>
      </c>
      <c r="R15" s="33" t="str">
        <f>General!$D$18</f>
        <v>000s_Units</v>
      </c>
      <c r="S15" s="33" t="s">
        <v>93</v>
      </c>
      <c r="T15" s="12"/>
      <c r="U15" s="12"/>
    </row>
    <row r="16" spans="1:21" ht="13.8" x14ac:dyDescent="0.25">
      <c r="B16" s="176" t="str">
        <f t="shared" si="0"/>
        <v>TER_TS_CK_ELC_E01</v>
      </c>
      <c r="C16" s="176" t="str">
        <f t="shared" si="1"/>
        <v>Services (Public) Cook Electric  (E)</v>
      </c>
      <c r="D16" s="176" t="str">
        <f>Commodities!$D$49</f>
        <v>TERELC</v>
      </c>
      <c r="E16" s="217" t="str">
        <f>Commodities!$Z$17</f>
        <v>TER_TS_CK</v>
      </c>
      <c r="F16" s="282">
        <f>$H16*VLOOKUP(LEFT($B16,6),TER_Stock!$C$16:$E$17,F$2,FALSE)*VLOOKUP($B16,TER_Stock!$B$86:$C$95,2,FALSE)</f>
        <v>163.85092608328719</v>
      </c>
      <c r="G16" s="173"/>
      <c r="H16" s="283">
        <f t="shared" si="3"/>
        <v>8.0000000000000002E-3</v>
      </c>
      <c r="I16" s="284">
        <f t="shared" si="2"/>
        <v>1.7259518954304001</v>
      </c>
      <c r="J16" s="285">
        <f>VLOOKUP(LEFT($B16,9),COM_En_Balance!$C$36:$S$54,MATCH($D16,COM_En_Balance!$D$36:$S$36,0)+1,FALSE)</f>
        <v>1.2880238025599999</v>
      </c>
      <c r="M16" s="204"/>
      <c r="N16" s="204"/>
      <c r="O16" s="204" t="str">
        <f>Commodities!$Z$17&amp;"_"&amp;RIGHT(Commodities!$D$48,3)&amp;"_"&amp;$O$3&amp;"01"</f>
        <v>TER_TS_CK_ELC_E01</v>
      </c>
      <c r="P16" s="204" t="s">
        <v>452</v>
      </c>
      <c r="Q16" s="120" t="str">
        <f>General!$B$2</f>
        <v>PJ</v>
      </c>
      <c r="R16" s="120" t="str">
        <f>General!$D$18</f>
        <v>000s_Units</v>
      </c>
      <c r="S16" s="120" t="s">
        <v>93</v>
      </c>
      <c r="T16" s="120"/>
      <c r="U16" s="120"/>
    </row>
    <row r="17" spans="2:10" x14ac:dyDescent="0.25">
      <c r="D17" s="173"/>
      <c r="E17" s="173"/>
      <c r="F17" s="183"/>
      <c r="G17" s="173"/>
    </row>
    <row r="18" spans="2:10" x14ac:dyDescent="0.25">
      <c r="F18" s="231"/>
    </row>
    <row r="19" spans="2:10" ht="13.8" x14ac:dyDescent="0.25">
      <c r="E19" s="92" t="s">
        <v>279</v>
      </c>
    </row>
    <row r="20" spans="2:10" ht="13.8" x14ac:dyDescent="0.25">
      <c r="B20" s="95" t="s">
        <v>1</v>
      </c>
      <c r="C20" s="95" t="s">
        <v>42</v>
      </c>
      <c r="D20" s="95" t="s">
        <v>7</v>
      </c>
      <c r="E20" s="95" t="s">
        <v>0</v>
      </c>
      <c r="F20" s="95" t="s">
        <v>405</v>
      </c>
    </row>
    <row r="21" spans="2:10" ht="14.4" thickBot="1" x14ac:dyDescent="0.3">
      <c r="B21" s="113" t="s">
        <v>296</v>
      </c>
      <c r="C21" s="113" t="s">
        <v>26</v>
      </c>
      <c r="D21" s="112" t="s">
        <v>36</v>
      </c>
      <c r="E21" s="155" t="s">
        <v>37</v>
      </c>
      <c r="F21" s="113"/>
      <c r="H21" s="226"/>
      <c r="I21" s="45" t="s">
        <v>479</v>
      </c>
      <c r="J21" s="45" t="s">
        <v>480</v>
      </c>
    </row>
    <row r="22" spans="2:10" ht="14.4" thickBot="1" x14ac:dyDescent="0.3">
      <c r="B22" s="113" t="s">
        <v>229</v>
      </c>
      <c r="C22" s="113"/>
      <c r="D22" s="113"/>
      <c r="E22" s="155"/>
      <c r="F22" s="205" t="str">
        <f>General!$D$19</f>
        <v>TJ/unit</v>
      </c>
      <c r="H22" s="226" t="s">
        <v>478</v>
      </c>
      <c r="I22" s="286">
        <f>16/10^6*3.6</f>
        <v>5.7599999999999997E-5</v>
      </c>
      <c r="J22" s="45">
        <f>22/10^6*3.6</f>
        <v>7.9200000000000001E-5</v>
      </c>
    </row>
    <row r="23" spans="2:10" x14ac:dyDescent="0.25">
      <c r="B23" s="45" t="str">
        <f t="shared" ref="B23:B32" si="4">O7</f>
        <v>TER_TP_CK_GAS_E01</v>
      </c>
      <c r="C23" s="45" t="str">
        <f t="shared" ref="C23:C32" si="5">P7</f>
        <v>Private (Commercial) Cook Gas  (E)</v>
      </c>
      <c r="D23" s="45" t="str">
        <f>Commodities!$D$37</f>
        <v>TERGASNAT</v>
      </c>
      <c r="E23" s="209"/>
      <c r="F23" s="287">
        <f t="shared" ref="F23:F32" si="6">IF(F7&gt;0,J7/F7,0)</f>
        <v>8.3567690639999997E-3</v>
      </c>
      <c r="I23" s="286">
        <f t="shared" ref="I23:I32" si="7">F23*H7</f>
        <v>6.6854152511999998E-5</v>
      </c>
    </row>
    <row r="24" spans="2:10" x14ac:dyDescent="0.25">
      <c r="B24" s="45" t="str">
        <f t="shared" si="4"/>
        <v>TER_TP_CK_LPG_E01</v>
      </c>
      <c r="C24" s="45" t="str">
        <f t="shared" si="5"/>
        <v>Private (Commercial) Cook LPG  (E)</v>
      </c>
      <c r="D24" s="45" t="str">
        <f>Commodities!$D$34</f>
        <v>TEROILLPG</v>
      </c>
      <c r="E24" s="209"/>
      <c r="F24" s="288">
        <f t="shared" si="6"/>
        <v>8.3567690639999997E-3</v>
      </c>
      <c r="I24" s="286">
        <f t="shared" si="7"/>
        <v>6.6854152511999998E-5</v>
      </c>
    </row>
    <row r="25" spans="2:10" x14ac:dyDescent="0.25">
      <c r="B25" s="45" t="str">
        <f t="shared" si="4"/>
        <v>TER_TP_CK_LOG_E01</v>
      </c>
      <c r="C25" s="45" t="str">
        <f t="shared" si="5"/>
        <v>Private (Commercial) Cook Wood  (E)</v>
      </c>
      <c r="D25" s="173" t="str">
        <f>Commodities!$D$38</f>
        <v>TERBIOLOG</v>
      </c>
      <c r="E25" s="209"/>
      <c r="F25" s="288">
        <f t="shared" si="6"/>
        <v>0</v>
      </c>
      <c r="I25" s="286">
        <f t="shared" si="7"/>
        <v>0</v>
      </c>
    </row>
    <row r="26" spans="2:10" x14ac:dyDescent="0.25">
      <c r="B26" s="45" t="str">
        <f t="shared" si="4"/>
        <v>TER_TP_CK_CHR_E01</v>
      </c>
      <c r="C26" s="45" t="str">
        <f t="shared" si="5"/>
        <v>Private (Commercial) Cook Charcoal  (E)</v>
      </c>
      <c r="D26" s="173" t="str">
        <f>Commodities!$D$43</f>
        <v>TERBIOCHR</v>
      </c>
      <c r="E26" s="209"/>
      <c r="F26" s="288">
        <f t="shared" si="6"/>
        <v>0</v>
      </c>
      <c r="I26" s="286">
        <f t="shared" si="7"/>
        <v>0</v>
      </c>
    </row>
    <row r="27" spans="2:10" x14ac:dyDescent="0.25">
      <c r="B27" s="176" t="str">
        <f t="shared" si="4"/>
        <v>TER_TP_CK_ELC_E01</v>
      </c>
      <c r="C27" s="176" t="str">
        <f t="shared" si="5"/>
        <v>Private (Commercial) Cook Electric  (E)</v>
      </c>
      <c r="D27" s="176" t="str">
        <f>Commodities!$D$49</f>
        <v>TERELC</v>
      </c>
      <c r="E27" s="217"/>
      <c r="F27" s="289">
        <f t="shared" si="6"/>
        <v>8.3567690639999997E-3</v>
      </c>
      <c r="I27" s="286">
        <f t="shared" si="7"/>
        <v>6.6854152511999998E-5</v>
      </c>
    </row>
    <row r="28" spans="2:10" x14ac:dyDescent="0.25">
      <c r="B28" s="45" t="str">
        <f t="shared" si="4"/>
        <v>TER_TS_CK_GAS_E01</v>
      </c>
      <c r="C28" s="45" t="str">
        <f t="shared" si="5"/>
        <v>Services (Public) Cook Gas  (E)</v>
      </c>
      <c r="D28" s="173" t="str">
        <f>Commodities!$D$37</f>
        <v>TERGASNAT</v>
      </c>
      <c r="E28" s="209"/>
      <c r="F28" s="288">
        <f t="shared" si="6"/>
        <v>7.8609491770909087E-3</v>
      </c>
      <c r="I28" s="286">
        <f t="shared" si="7"/>
        <v>6.2887593416727266E-5</v>
      </c>
    </row>
    <row r="29" spans="2:10" x14ac:dyDescent="0.25">
      <c r="B29" s="45" t="str">
        <f t="shared" si="4"/>
        <v>TER_TS_CK_LPG_E01</v>
      </c>
      <c r="C29" s="45" t="str">
        <f t="shared" si="5"/>
        <v>Services (Public) Cook LPG  (E)</v>
      </c>
      <c r="D29" s="45" t="str">
        <f>Commodities!$D$34</f>
        <v>TEROILLPG</v>
      </c>
      <c r="E29" s="209"/>
      <c r="F29" s="288">
        <f t="shared" si="6"/>
        <v>7.8609491770909087E-3</v>
      </c>
      <c r="I29" s="286">
        <f t="shared" si="7"/>
        <v>6.2887593416727266E-5</v>
      </c>
    </row>
    <row r="30" spans="2:10" x14ac:dyDescent="0.25">
      <c r="B30" s="45" t="str">
        <f t="shared" si="4"/>
        <v>TER_TS_CK_LOG_E01</v>
      </c>
      <c r="C30" s="45" t="str">
        <f t="shared" si="5"/>
        <v>Services (Public) Cook Wood  (E)</v>
      </c>
      <c r="D30" s="173" t="str">
        <f>Commodities!$D$38</f>
        <v>TERBIOLOG</v>
      </c>
      <c r="E30" s="209"/>
      <c r="F30" s="288">
        <f t="shared" si="6"/>
        <v>0</v>
      </c>
      <c r="I30" s="286">
        <f t="shared" si="7"/>
        <v>0</v>
      </c>
    </row>
    <row r="31" spans="2:10" x14ac:dyDescent="0.25">
      <c r="B31" s="45" t="str">
        <f t="shared" si="4"/>
        <v>TER_TS_CK_CHR_E01</v>
      </c>
      <c r="C31" s="45" t="str">
        <f t="shared" si="5"/>
        <v>Services (Public) Cook Charcoal  (E)</v>
      </c>
      <c r="D31" s="173" t="str">
        <f>Commodities!$D$43</f>
        <v>TERBIOCHR</v>
      </c>
      <c r="E31" s="209"/>
      <c r="F31" s="288">
        <f t="shared" si="6"/>
        <v>0</v>
      </c>
      <c r="I31" s="286">
        <f t="shared" si="7"/>
        <v>0</v>
      </c>
    </row>
    <row r="32" spans="2:10" x14ac:dyDescent="0.25">
      <c r="B32" s="176" t="str">
        <f t="shared" si="4"/>
        <v>TER_TS_CK_ELC_E01</v>
      </c>
      <c r="C32" s="176" t="str">
        <f t="shared" si="5"/>
        <v>Services (Public) Cook Electric  (E)</v>
      </c>
      <c r="D32" s="176" t="str">
        <f>Commodities!$D$49</f>
        <v>TERELC</v>
      </c>
      <c r="E32" s="217"/>
      <c r="F32" s="289">
        <f t="shared" si="6"/>
        <v>7.8609491770909104E-3</v>
      </c>
      <c r="I32" s="286">
        <f t="shared" si="7"/>
        <v>6.2887593416727279E-5</v>
      </c>
    </row>
    <row r="33" spans="2:21" x14ac:dyDescent="0.25">
      <c r="B33" s="173"/>
      <c r="C33" s="173"/>
      <c r="D33" s="173"/>
      <c r="E33" s="173"/>
      <c r="F33" s="182"/>
    </row>
    <row r="34" spans="2:21" ht="13.8" x14ac:dyDescent="0.25">
      <c r="E34" s="92" t="s">
        <v>293</v>
      </c>
      <c r="Q34" s="140"/>
      <c r="R34" s="140"/>
      <c r="S34" s="140"/>
      <c r="T34" s="140"/>
      <c r="U34" s="140"/>
    </row>
    <row r="35" spans="2:21" ht="13.8" x14ac:dyDescent="0.25">
      <c r="B35" s="95" t="s">
        <v>1</v>
      </c>
      <c r="C35" s="95" t="s">
        <v>42</v>
      </c>
      <c r="D35" s="95" t="s">
        <v>7</v>
      </c>
      <c r="E35" s="95" t="s">
        <v>0</v>
      </c>
      <c r="F35" s="95" t="s">
        <v>405</v>
      </c>
      <c r="Q35" s="140"/>
      <c r="R35" s="140"/>
      <c r="S35" s="140"/>
      <c r="T35" s="140"/>
      <c r="U35" s="140"/>
    </row>
    <row r="36" spans="2:21" ht="14.4" thickBot="1" x14ac:dyDescent="0.3">
      <c r="B36" s="113" t="s">
        <v>296</v>
      </c>
      <c r="C36" s="113" t="s">
        <v>26</v>
      </c>
      <c r="D36" s="112" t="s">
        <v>36</v>
      </c>
      <c r="E36" s="155"/>
      <c r="F36" s="113"/>
      <c r="Q36" s="140"/>
      <c r="R36" s="140"/>
      <c r="S36" s="140"/>
      <c r="T36" s="140"/>
      <c r="U36" s="140"/>
    </row>
    <row r="37" spans="2:21" ht="14.4" thickBot="1" x14ac:dyDescent="0.3">
      <c r="B37" s="113" t="s">
        <v>229</v>
      </c>
      <c r="C37" s="113"/>
      <c r="D37" s="113"/>
      <c r="E37" s="155"/>
      <c r="F37" s="112"/>
      <c r="Q37" s="140"/>
      <c r="R37" s="140"/>
      <c r="S37" s="140"/>
      <c r="T37" s="140"/>
      <c r="U37" s="140"/>
    </row>
    <row r="38" spans="2:21" x14ac:dyDescent="0.25">
      <c r="B38" s="45" t="str">
        <f t="shared" ref="B38:B47" si="8">O7</f>
        <v>TER_TP_CK_GAS_E01</v>
      </c>
      <c r="C38" s="45" t="str">
        <f t="shared" ref="C38:C47" si="9">P7</f>
        <v>Private (Commercial) Cook Gas  (E)</v>
      </c>
      <c r="E38" s="229" t="str">
        <f>Commodities!$Z$16</f>
        <v>TER_TP_CK</v>
      </c>
      <c r="F38" s="290">
        <v>1</v>
      </c>
      <c r="H38" s="45" t="s">
        <v>579</v>
      </c>
      <c r="Q38" s="140"/>
      <c r="R38" s="140"/>
      <c r="S38" s="140"/>
      <c r="T38" s="140"/>
      <c r="U38" s="140"/>
    </row>
    <row r="39" spans="2:21" x14ac:dyDescent="0.25">
      <c r="B39" s="45" t="str">
        <f t="shared" si="8"/>
        <v>TER_TP_CK_LPG_E01</v>
      </c>
      <c r="C39" s="45" t="str">
        <f t="shared" si="9"/>
        <v>Private (Commercial) Cook LPG  (E)</v>
      </c>
      <c r="E39" s="209" t="str">
        <f>Commodities!$Z$16</f>
        <v>TER_TP_CK</v>
      </c>
      <c r="F39" s="290">
        <v>1</v>
      </c>
      <c r="H39" s="45" t="s">
        <v>579</v>
      </c>
      <c r="Q39" s="140"/>
      <c r="R39" s="140"/>
      <c r="S39" s="140"/>
      <c r="T39" s="140"/>
      <c r="U39" s="140"/>
    </row>
    <row r="40" spans="2:21" x14ac:dyDescent="0.25">
      <c r="B40" s="45" t="str">
        <f t="shared" si="8"/>
        <v>TER_TP_CK_LOG_E01</v>
      </c>
      <c r="C40" s="45" t="str">
        <f t="shared" si="9"/>
        <v>Private (Commercial) Cook Wood  (E)</v>
      </c>
      <c r="D40" s="173"/>
      <c r="E40" s="209" t="str">
        <f>Commodities!$Z$16</f>
        <v>TER_TP_CK</v>
      </c>
      <c r="F40" s="290">
        <v>1</v>
      </c>
      <c r="H40" s="45" t="s">
        <v>579</v>
      </c>
      <c r="Q40" s="140"/>
      <c r="R40" s="140"/>
      <c r="S40" s="140"/>
      <c r="T40" s="140"/>
      <c r="U40" s="140"/>
    </row>
    <row r="41" spans="2:21" x14ac:dyDescent="0.25">
      <c r="B41" s="45" t="str">
        <f t="shared" si="8"/>
        <v>TER_TP_CK_CHR_E01</v>
      </c>
      <c r="C41" s="45" t="str">
        <f t="shared" si="9"/>
        <v>Private (Commercial) Cook Charcoal  (E)</v>
      </c>
      <c r="D41" s="173"/>
      <c r="E41" s="209" t="str">
        <f>Commodities!$Z$16</f>
        <v>TER_TP_CK</v>
      </c>
      <c r="F41" s="290">
        <v>1</v>
      </c>
      <c r="H41" s="45" t="s">
        <v>579</v>
      </c>
      <c r="Q41" s="140"/>
      <c r="R41" s="140"/>
      <c r="S41" s="140"/>
      <c r="T41" s="140"/>
      <c r="U41" s="140"/>
    </row>
    <row r="42" spans="2:21" x14ac:dyDescent="0.25">
      <c r="B42" s="176" t="str">
        <f t="shared" si="8"/>
        <v>TER_TP_CK_ELC_E01</v>
      </c>
      <c r="C42" s="176" t="str">
        <f t="shared" si="9"/>
        <v>Private (Commercial) Cook Electric  (E)</v>
      </c>
      <c r="D42" s="176"/>
      <c r="E42" s="217" t="str">
        <f>Commodities!$Z$16</f>
        <v>TER_TP_CK</v>
      </c>
      <c r="F42" s="291">
        <v>1.34</v>
      </c>
      <c r="H42" s="45" t="s">
        <v>579</v>
      </c>
      <c r="Q42" s="140"/>
      <c r="R42" s="140"/>
      <c r="S42" s="140"/>
      <c r="T42" s="140"/>
      <c r="U42" s="140"/>
    </row>
    <row r="43" spans="2:21" x14ac:dyDescent="0.25">
      <c r="B43" s="45" t="str">
        <f t="shared" si="8"/>
        <v>TER_TS_CK_GAS_E01</v>
      </c>
      <c r="C43" s="45" t="str">
        <f t="shared" si="9"/>
        <v>Services (Public) Cook Gas  (E)</v>
      </c>
      <c r="D43" s="173"/>
      <c r="E43" s="209" t="str">
        <f>Commodities!$Z$17</f>
        <v>TER_TS_CK</v>
      </c>
      <c r="F43" s="290">
        <v>1</v>
      </c>
      <c r="H43" s="45" t="s">
        <v>579</v>
      </c>
      <c r="Q43" s="140"/>
      <c r="R43" s="140"/>
      <c r="S43" s="140"/>
      <c r="T43" s="140"/>
      <c r="U43" s="140"/>
    </row>
    <row r="44" spans="2:21" x14ac:dyDescent="0.25">
      <c r="B44" s="45" t="str">
        <f t="shared" si="8"/>
        <v>TER_TS_CK_LPG_E01</v>
      </c>
      <c r="C44" s="45" t="str">
        <f t="shared" si="9"/>
        <v>Services (Public) Cook LPG  (E)</v>
      </c>
      <c r="E44" s="209" t="str">
        <f>Commodities!$Z$17</f>
        <v>TER_TS_CK</v>
      </c>
      <c r="F44" s="290">
        <v>1</v>
      </c>
      <c r="H44" s="45" t="s">
        <v>579</v>
      </c>
      <c r="Q44" s="140"/>
      <c r="R44" s="140"/>
      <c r="S44" s="140"/>
      <c r="T44" s="140"/>
      <c r="U44" s="140"/>
    </row>
    <row r="45" spans="2:21" x14ac:dyDescent="0.25">
      <c r="B45" s="45" t="str">
        <f t="shared" si="8"/>
        <v>TER_TS_CK_LOG_E01</v>
      </c>
      <c r="C45" s="45" t="str">
        <f t="shared" si="9"/>
        <v>Services (Public) Cook Wood  (E)</v>
      </c>
      <c r="D45" s="173"/>
      <c r="E45" s="209" t="str">
        <f>Commodities!$Z$17</f>
        <v>TER_TS_CK</v>
      </c>
      <c r="F45" s="290">
        <v>1</v>
      </c>
      <c r="H45" s="45" t="s">
        <v>579</v>
      </c>
      <c r="Q45" s="140"/>
      <c r="R45" s="140"/>
      <c r="S45" s="140"/>
      <c r="T45" s="140"/>
      <c r="U45" s="140"/>
    </row>
    <row r="46" spans="2:21" x14ac:dyDescent="0.25">
      <c r="B46" s="45" t="str">
        <f t="shared" si="8"/>
        <v>TER_TS_CK_CHR_E01</v>
      </c>
      <c r="C46" s="45" t="str">
        <f t="shared" si="9"/>
        <v>Services (Public) Cook Charcoal  (E)</v>
      </c>
      <c r="D46" s="173"/>
      <c r="E46" s="209" t="str">
        <f>Commodities!$Z$17</f>
        <v>TER_TS_CK</v>
      </c>
      <c r="F46" s="290">
        <v>1</v>
      </c>
      <c r="H46" s="45" t="s">
        <v>579</v>
      </c>
      <c r="Q46" s="140"/>
      <c r="R46" s="140"/>
      <c r="S46" s="140"/>
      <c r="T46" s="140"/>
      <c r="U46" s="140"/>
    </row>
    <row r="47" spans="2:21" x14ac:dyDescent="0.25">
      <c r="B47" s="176" t="str">
        <f t="shared" si="8"/>
        <v>TER_TS_CK_ELC_E01</v>
      </c>
      <c r="C47" s="176" t="str">
        <f t="shared" si="9"/>
        <v>Services (Public) Cook Electric  (E)</v>
      </c>
      <c r="D47" s="176"/>
      <c r="E47" s="217" t="str">
        <f>Commodities!$Z$17</f>
        <v>TER_TS_CK</v>
      </c>
      <c r="F47" s="291">
        <v>1.34</v>
      </c>
      <c r="H47" s="45" t="s">
        <v>579</v>
      </c>
      <c r="Q47" s="140"/>
      <c r="R47" s="140"/>
      <c r="S47" s="140"/>
      <c r="T47" s="140"/>
      <c r="U47" s="140"/>
    </row>
    <row r="48" spans="2:21" x14ac:dyDescent="0.25">
      <c r="Q48" s="140"/>
      <c r="R48" s="140"/>
      <c r="S48" s="140"/>
      <c r="T48" s="140"/>
      <c r="U48" s="140"/>
    </row>
    <row r="49" spans="2:21" ht="13.8" x14ac:dyDescent="0.25">
      <c r="E49" s="92" t="s">
        <v>294</v>
      </c>
      <c r="H49" s="92" t="s">
        <v>578</v>
      </c>
      <c r="I49" s="92"/>
      <c r="Q49" s="140"/>
      <c r="R49" s="140"/>
      <c r="S49" s="140"/>
      <c r="T49" s="140"/>
      <c r="U49" s="140"/>
    </row>
    <row r="50" spans="2:21" ht="13.8" x14ac:dyDescent="0.25">
      <c r="B50" s="95" t="s">
        <v>1</v>
      </c>
      <c r="C50" s="95" t="s">
        <v>42</v>
      </c>
      <c r="D50" s="95" t="s">
        <v>7</v>
      </c>
      <c r="E50" s="95" t="s">
        <v>0</v>
      </c>
      <c r="F50" s="95" t="s">
        <v>405</v>
      </c>
      <c r="H50" s="95" t="s">
        <v>1</v>
      </c>
      <c r="I50" s="95" t="s">
        <v>405</v>
      </c>
      <c r="Q50" s="140"/>
      <c r="R50" s="140"/>
      <c r="S50" s="140"/>
      <c r="T50" s="140"/>
      <c r="U50" s="140"/>
    </row>
    <row r="51" spans="2:21" ht="14.4" thickBot="1" x14ac:dyDescent="0.3">
      <c r="B51" s="113" t="s">
        <v>296</v>
      </c>
      <c r="C51" s="113" t="s">
        <v>26</v>
      </c>
      <c r="D51" s="112" t="s">
        <v>36</v>
      </c>
      <c r="E51" s="155"/>
      <c r="F51" s="113"/>
      <c r="H51" s="113" t="s">
        <v>296</v>
      </c>
      <c r="I51" s="113"/>
      <c r="Q51" s="140"/>
      <c r="R51" s="140"/>
      <c r="S51" s="140"/>
      <c r="T51" s="140"/>
      <c r="U51" s="140"/>
    </row>
    <row r="52" spans="2:21" ht="14.4" thickBot="1" x14ac:dyDescent="0.3">
      <c r="B52" s="113" t="s">
        <v>229</v>
      </c>
      <c r="C52" s="113"/>
      <c r="D52" s="113"/>
      <c r="E52" s="155"/>
      <c r="F52" s="112"/>
      <c r="H52" s="113" t="s">
        <v>229</v>
      </c>
      <c r="I52" s="113"/>
      <c r="Q52" s="140"/>
      <c r="R52" s="140"/>
      <c r="S52" s="140"/>
      <c r="T52" s="140"/>
      <c r="U52" s="140"/>
    </row>
    <row r="53" spans="2:21" x14ac:dyDescent="0.25">
      <c r="B53" s="45" t="str">
        <f t="shared" ref="B53:B62" si="10">O7</f>
        <v>TER_TP_CK_GAS_E01</v>
      </c>
      <c r="C53" s="45" t="str">
        <f t="shared" ref="C53:C62" si="11">P7</f>
        <v>Private (Commercial) Cook Gas  (E)</v>
      </c>
      <c r="E53" s="209" t="str">
        <f>Commodities!$Z$16</f>
        <v>TER_TP_CK</v>
      </c>
      <c r="F53" s="290">
        <v>1</v>
      </c>
      <c r="H53" s="229" t="str">
        <f t="shared" ref="H53:H62" si="12">B53</f>
        <v>TER_TP_CK_GAS_E01</v>
      </c>
      <c r="I53" s="290">
        <f t="shared" ref="I53:I62" si="13">IF(F53*Stk_Mult&gt;1,1,F53*Stk_Mult)</f>
        <v>1</v>
      </c>
      <c r="Q53" s="140"/>
      <c r="R53" s="140"/>
      <c r="S53" s="140"/>
      <c r="T53" s="140"/>
      <c r="U53" s="140"/>
    </row>
    <row r="54" spans="2:21" x14ac:dyDescent="0.25">
      <c r="B54" s="45" t="str">
        <f t="shared" si="10"/>
        <v>TER_TP_CK_LPG_E01</v>
      </c>
      <c r="C54" s="45" t="str">
        <f t="shared" si="11"/>
        <v>Private (Commercial) Cook LPG  (E)</v>
      </c>
      <c r="E54" s="209" t="str">
        <f>Commodities!$Z$16</f>
        <v>TER_TP_CK</v>
      </c>
      <c r="F54" s="290">
        <f>F53</f>
        <v>1</v>
      </c>
      <c r="H54" s="209" t="str">
        <f t="shared" si="12"/>
        <v>TER_TP_CK_LPG_E01</v>
      </c>
      <c r="I54" s="290">
        <f t="shared" si="13"/>
        <v>1</v>
      </c>
      <c r="Q54" s="140"/>
      <c r="R54" s="140"/>
      <c r="S54" s="140"/>
      <c r="T54" s="140"/>
      <c r="U54" s="140"/>
    </row>
    <row r="55" spans="2:21" x14ac:dyDescent="0.25">
      <c r="B55" s="45" t="str">
        <f t="shared" si="10"/>
        <v>TER_TP_CK_LOG_E01</v>
      </c>
      <c r="C55" s="45" t="str">
        <f t="shared" si="11"/>
        <v>Private (Commercial) Cook Wood  (E)</v>
      </c>
      <c r="D55" s="173"/>
      <c r="E55" s="209" t="str">
        <f>Commodities!$Z$16</f>
        <v>TER_TP_CK</v>
      </c>
      <c r="F55" s="290">
        <f t="shared" ref="F55:F62" si="14">F54</f>
        <v>1</v>
      </c>
      <c r="H55" s="209" t="str">
        <f t="shared" si="12"/>
        <v>TER_TP_CK_LOG_E01</v>
      </c>
      <c r="I55" s="290">
        <f t="shared" si="13"/>
        <v>1</v>
      </c>
      <c r="Q55" s="140"/>
      <c r="R55" s="140"/>
      <c r="S55" s="140"/>
      <c r="T55" s="140"/>
      <c r="U55" s="140"/>
    </row>
    <row r="56" spans="2:21" x14ac:dyDescent="0.25">
      <c r="B56" s="45" t="str">
        <f t="shared" si="10"/>
        <v>TER_TP_CK_CHR_E01</v>
      </c>
      <c r="C56" s="45" t="str">
        <f t="shared" si="11"/>
        <v>Private (Commercial) Cook Charcoal  (E)</v>
      </c>
      <c r="D56" s="173"/>
      <c r="E56" s="209" t="str">
        <f>Commodities!$Z$16</f>
        <v>TER_TP_CK</v>
      </c>
      <c r="F56" s="290">
        <f t="shared" si="14"/>
        <v>1</v>
      </c>
      <c r="H56" s="209" t="str">
        <f t="shared" si="12"/>
        <v>TER_TP_CK_CHR_E01</v>
      </c>
      <c r="I56" s="290">
        <f t="shared" si="13"/>
        <v>1</v>
      </c>
      <c r="Q56" s="140"/>
      <c r="R56" s="140"/>
      <c r="S56" s="140"/>
      <c r="T56" s="140"/>
      <c r="U56" s="140"/>
    </row>
    <row r="57" spans="2:21" x14ac:dyDescent="0.25">
      <c r="B57" s="176" t="str">
        <f t="shared" si="10"/>
        <v>TER_TP_CK_ELC_E01</v>
      </c>
      <c r="C57" s="176" t="str">
        <f t="shared" si="11"/>
        <v>Private (Commercial) Cook Electric  (E)</v>
      </c>
      <c r="D57" s="176"/>
      <c r="E57" s="217" t="str">
        <f>Commodities!$Z$16</f>
        <v>TER_TP_CK</v>
      </c>
      <c r="F57" s="292">
        <f t="shared" si="14"/>
        <v>1</v>
      </c>
      <c r="H57" s="217" t="str">
        <f t="shared" si="12"/>
        <v>TER_TP_CK_ELC_E01</v>
      </c>
      <c r="I57" s="291">
        <f t="shared" si="13"/>
        <v>1</v>
      </c>
      <c r="Q57" s="140"/>
      <c r="R57" s="140"/>
      <c r="S57" s="140"/>
      <c r="T57" s="140"/>
      <c r="U57" s="140"/>
    </row>
    <row r="58" spans="2:21" x14ac:dyDescent="0.25">
      <c r="B58" s="45" t="str">
        <f t="shared" si="10"/>
        <v>TER_TS_CK_GAS_E01</v>
      </c>
      <c r="C58" s="45" t="str">
        <f t="shared" si="11"/>
        <v>Services (Public) Cook Gas  (E)</v>
      </c>
      <c r="D58" s="173"/>
      <c r="E58" s="209" t="str">
        <f>Commodities!$Z$17</f>
        <v>TER_TS_CK</v>
      </c>
      <c r="F58" s="290">
        <f t="shared" si="14"/>
        <v>1</v>
      </c>
      <c r="H58" s="209" t="str">
        <f t="shared" si="12"/>
        <v>TER_TS_CK_GAS_E01</v>
      </c>
      <c r="I58" s="290">
        <f t="shared" si="13"/>
        <v>1</v>
      </c>
      <c r="Q58" s="140"/>
      <c r="R58" s="140"/>
      <c r="S58" s="140"/>
      <c r="T58" s="140"/>
      <c r="U58" s="140"/>
    </row>
    <row r="59" spans="2:21" x14ac:dyDescent="0.25">
      <c r="B59" s="45" t="str">
        <f t="shared" si="10"/>
        <v>TER_TS_CK_LPG_E01</v>
      </c>
      <c r="C59" s="45" t="str">
        <f t="shared" si="11"/>
        <v>Services (Public) Cook LPG  (E)</v>
      </c>
      <c r="E59" s="209" t="str">
        <f>Commodities!$Z$17</f>
        <v>TER_TS_CK</v>
      </c>
      <c r="F59" s="290">
        <f t="shared" si="14"/>
        <v>1</v>
      </c>
      <c r="H59" s="209" t="str">
        <f t="shared" si="12"/>
        <v>TER_TS_CK_LPG_E01</v>
      </c>
      <c r="I59" s="290">
        <f t="shared" si="13"/>
        <v>1</v>
      </c>
      <c r="Q59" s="140"/>
      <c r="R59" s="140"/>
      <c r="S59" s="140"/>
      <c r="T59" s="140"/>
      <c r="U59" s="140"/>
    </row>
    <row r="60" spans="2:21" ht="15" customHeight="1" x14ac:dyDescent="0.25">
      <c r="B60" s="45" t="str">
        <f t="shared" si="10"/>
        <v>TER_TS_CK_LOG_E01</v>
      </c>
      <c r="C60" s="45" t="str">
        <f t="shared" si="11"/>
        <v>Services (Public) Cook Wood  (E)</v>
      </c>
      <c r="D60" s="173"/>
      <c r="E60" s="209" t="str">
        <f>Commodities!$Z$17</f>
        <v>TER_TS_CK</v>
      </c>
      <c r="F60" s="290">
        <f t="shared" si="14"/>
        <v>1</v>
      </c>
      <c r="H60" s="209" t="str">
        <f t="shared" si="12"/>
        <v>TER_TS_CK_LOG_E01</v>
      </c>
      <c r="I60" s="290">
        <f t="shared" si="13"/>
        <v>1</v>
      </c>
      <c r="Q60" s="140"/>
      <c r="R60" s="140"/>
      <c r="S60" s="140"/>
      <c r="T60" s="140"/>
      <c r="U60" s="140"/>
    </row>
    <row r="61" spans="2:21" ht="15" customHeight="1" x14ac:dyDescent="0.25">
      <c r="B61" s="45" t="str">
        <f t="shared" si="10"/>
        <v>TER_TS_CK_CHR_E01</v>
      </c>
      <c r="C61" s="45" t="str">
        <f t="shared" si="11"/>
        <v>Services (Public) Cook Charcoal  (E)</v>
      </c>
      <c r="D61" s="173"/>
      <c r="E61" s="209" t="str">
        <f>Commodities!$Z$17</f>
        <v>TER_TS_CK</v>
      </c>
      <c r="F61" s="290">
        <f t="shared" si="14"/>
        <v>1</v>
      </c>
      <c r="H61" s="209" t="str">
        <f t="shared" si="12"/>
        <v>TER_TS_CK_CHR_E01</v>
      </c>
      <c r="I61" s="290">
        <f t="shared" si="13"/>
        <v>1</v>
      </c>
      <c r="Q61" s="140"/>
      <c r="R61" s="140"/>
      <c r="S61" s="140"/>
      <c r="T61" s="140"/>
      <c r="U61" s="140"/>
    </row>
    <row r="62" spans="2:21" x14ac:dyDescent="0.25">
      <c r="B62" s="176" t="str">
        <f t="shared" si="10"/>
        <v>TER_TS_CK_ELC_E01</v>
      </c>
      <c r="C62" s="176" t="str">
        <f t="shared" si="11"/>
        <v>Services (Public) Cook Electric  (E)</v>
      </c>
      <c r="D62" s="176"/>
      <c r="E62" s="217" t="str">
        <f>Commodities!$Z$17</f>
        <v>TER_TS_CK</v>
      </c>
      <c r="F62" s="292">
        <f t="shared" si="14"/>
        <v>1</v>
      </c>
      <c r="H62" s="217" t="str">
        <f t="shared" si="12"/>
        <v>TER_TS_CK_ELC_E01</v>
      </c>
      <c r="I62" s="291">
        <f t="shared" si="13"/>
        <v>1</v>
      </c>
      <c r="Q62" s="140"/>
      <c r="R62" s="140"/>
      <c r="S62" s="140"/>
      <c r="T62" s="140"/>
      <c r="U62" s="140"/>
    </row>
    <row r="63" spans="2:21" x14ac:dyDescent="0.25">
      <c r="Q63" s="140"/>
      <c r="R63" s="140"/>
      <c r="S63" s="140"/>
      <c r="T63" s="140"/>
      <c r="U63" s="140"/>
    </row>
    <row r="64" spans="2:21" ht="13.8" x14ac:dyDescent="0.25">
      <c r="E64" s="92" t="s">
        <v>295</v>
      </c>
      <c r="Q64" s="140"/>
      <c r="R64" s="140"/>
      <c r="S64" s="140"/>
      <c r="T64" s="140"/>
      <c r="U64" s="140"/>
    </row>
    <row r="65" spans="2:21" ht="13.8" x14ac:dyDescent="0.25">
      <c r="B65" s="95" t="s">
        <v>1</v>
      </c>
      <c r="C65" s="95" t="s">
        <v>42</v>
      </c>
      <c r="D65" s="95" t="s">
        <v>7</v>
      </c>
      <c r="E65" s="95" t="s">
        <v>0</v>
      </c>
      <c r="F65" s="95" t="s">
        <v>405</v>
      </c>
      <c r="Q65" s="140"/>
      <c r="R65" s="140"/>
      <c r="S65" s="140"/>
      <c r="T65" s="140"/>
      <c r="U65" s="140"/>
    </row>
    <row r="66" spans="2:21" ht="14.4" thickBot="1" x14ac:dyDescent="0.3">
      <c r="B66" s="113" t="s">
        <v>296</v>
      </c>
      <c r="C66" s="113" t="s">
        <v>26</v>
      </c>
      <c r="D66" s="112" t="s">
        <v>36</v>
      </c>
      <c r="E66" s="155"/>
      <c r="F66" s="113"/>
      <c r="Q66" s="140"/>
      <c r="R66" s="140"/>
      <c r="S66" s="140"/>
      <c r="T66" s="140"/>
      <c r="U66" s="140"/>
    </row>
    <row r="67" spans="2:21" ht="14.4" thickBot="1" x14ac:dyDescent="0.3">
      <c r="B67" s="113" t="s">
        <v>229</v>
      </c>
      <c r="C67" s="113"/>
      <c r="D67" s="113"/>
      <c r="E67" s="155"/>
      <c r="F67" s="112"/>
      <c r="Q67" s="140"/>
      <c r="R67" s="140"/>
      <c r="S67" s="140"/>
      <c r="T67" s="140"/>
      <c r="U67" s="140"/>
    </row>
    <row r="68" spans="2:21" x14ac:dyDescent="0.25">
      <c r="B68" s="45" t="str">
        <f t="shared" ref="B68:B77" si="15">O7</f>
        <v>TER_TP_CK_GAS_E01</v>
      </c>
      <c r="C68" s="45" t="str">
        <f t="shared" ref="C68:C77" si="16">P7</f>
        <v>Private (Commercial) Cook Gas  (E)</v>
      </c>
      <c r="E68" s="209" t="str">
        <f>Commodities!$Z$16</f>
        <v>TER_TP_CK</v>
      </c>
      <c r="F68" s="290">
        <v>20</v>
      </c>
      <c r="Q68" s="140"/>
      <c r="R68" s="140"/>
      <c r="S68" s="140"/>
      <c r="T68" s="140"/>
      <c r="U68" s="140"/>
    </row>
    <row r="69" spans="2:21" x14ac:dyDescent="0.25">
      <c r="B69" s="45" t="str">
        <f t="shared" si="15"/>
        <v>TER_TP_CK_LPG_E01</v>
      </c>
      <c r="C69" s="45" t="str">
        <f t="shared" si="16"/>
        <v>Private (Commercial) Cook LPG  (E)</v>
      </c>
      <c r="E69" s="209" t="str">
        <f>Commodities!$Z$16</f>
        <v>TER_TP_CK</v>
      </c>
      <c r="F69" s="290">
        <v>20</v>
      </c>
      <c r="Q69" s="140"/>
      <c r="R69" s="140"/>
      <c r="S69" s="140"/>
      <c r="T69" s="140"/>
      <c r="U69" s="140"/>
    </row>
    <row r="70" spans="2:21" x14ac:dyDescent="0.25">
      <c r="B70" s="45" t="str">
        <f t="shared" si="15"/>
        <v>TER_TP_CK_LOG_E01</v>
      </c>
      <c r="C70" s="45" t="str">
        <f t="shared" si="16"/>
        <v>Private (Commercial) Cook Wood  (E)</v>
      </c>
      <c r="D70" s="173"/>
      <c r="E70" s="209" t="str">
        <f>Commodities!$Z$16</f>
        <v>TER_TP_CK</v>
      </c>
      <c r="F70" s="290">
        <v>20</v>
      </c>
      <c r="Q70" s="140"/>
      <c r="R70" s="140"/>
      <c r="S70" s="140"/>
      <c r="T70" s="140"/>
      <c r="U70" s="140"/>
    </row>
    <row r="71" spans="2:21" x14ac:dyDescent="0.25">
      <c r="B71" s="45" t="str">
        <f t="shared" si="15"/>
        <v>TER_TP_CK_CHR_E01</v>
      </c>
      <c r="C71" s="45" t="str">
        <f t="shared" si="16"/>
        <v>Private (Commercial) Cook Charcoal  (E)</v>
      </c>
      <c r="D71" s="173"/>
      <c r="E71" s="209" t="str">
        <f>Commodities!$Z$16</f>
        <v>TER_TP_CK</v>
      </c>
      <c r="F71" s="290">
        <v>15</v>
      </c>
      <c r="Q71" s="140"/>
      <c r="R71" s="140"/>
      <c r="S71" s="140"/>
      <c r="T71" s="140"/>
      <c r="U71" s="140"/>
    </row>
    <row r="72" spans="2:21" x14ac:dyDescent="0.25">
      <c r="B72" s="176" t="str">
        <f t="shared" si="15"/>
        <v>TER_TP_CK_ELC_E01</v>
      </c>
      <c r="C72" s="176" t="str">
        <f t="shared" si="16"/>
        <v>Private (Commercial) Cook Electric  (E)</v>
      </c>
      <c r="D72" s="176"/>
      <c r="E72" s="217" t="str">
        <f>Commodities!$Z$16</f>
        <v>TER_TP_CK</v>
      </c>
      <c r="F72" s="290">
        <v>20</v>
      </c>
      <c r="Q72" s="140"/>
      <c r="R72" s="140"/>
      <c r="S72" s="140"/>
      <c r="T72" s="140"/>
      <c r="U72" s="140"/>
    </row>
    <row r="73" spans="2:21" x14ac:dyDescent="0.25">
      <c r="B73" s="45" t="str">
        <f t="shared" si="15"/>
        <v>TER_TS_CK_GAS_E01</v>
      </c>
      <c r="C73" s="45" t="str">
        <f t="shared" si="16"/>
        <v>Services (Public) Cook Gas  (E)</v>
      </c>
      <c r="D73" s="173"/>
      <c r="E73" s="209" t="str">
        <f>Commodities!$Z$17</f>
        <v>TER_TS_CK</v>
      </c>
      <c r="F73" s="290">
        <v>20</v>
      </c>
      <c r="G73" s="173"/>
      <c r="Q73" s="140"/>
      <c r="R73" s="140"/>
      <c r="S73" s="140"/>
      <c r="T73" s="140"/>
      <c r="U73" s="140"/>
    </row>
    <row r="74" spans="2:21" x14ac:dyDescent="0.25">
      <c r="B74" s="45" t="str">
        <f t="shared" si="15"/>
        <v>TER_TS_CK_LPG_E01</v>
      </c>
      <c r="C74" s="45" t="str">
        <f t="shared" si="16"/>
        <v>Services (Public) Cook LPG  (E)</v>
      </c>
      <c r="E74" s="209" t="str">
        <f>Commodities!$Z$17</f>
        <v>TER_TS_CK</v>
      </c>
      <c r="F74" s="290">
        <v>20</v>
      </c>
      <c r="G74" s="173"/>
      <c r="Q74" s="140"/>
      <c r="R74" s="140"/>
      <c r="S74" s="140"/>
      <c r="T74" s="140"/>
      <c r="U74" s="140"/>
    </row>
    <row r="75" spans="2:21" x14ac:dyDescent="0.25">
      <c r="B75" s="45" t="str">
        <f t="shared" si="15"/>
        <v>TER_TS_CK_LOG_E01</v>
      </c>
      <c r="C75" s="45" t="str">
        <f t="shared" si="16"/>
        <v>Services (Public) Cook Wood  (E)</v>
      </c>
      <c r="D75" s="173"/>
      <c r="E75" s="209" t="str">
        <f>Commodities!$Z$17</f>
        <v>TER_TS_CK</v>
      </c>
      <c r="F75" s="290">
        <v>20</v>
      </c>
      <c r="G75" s="173"/>
      <c r="Q75" s="140"/>
      <c r="R75" s="140"/>
      <c r="S75" s="140"/>
      <c r="T75" s="140"/>
      <c r="U75" s="140"/>
    </row>
    <row r="76" spans="2:21" x14ac:dyDescent="0.25">
      <c r="B76" s="45" t="str">
        <f t="shared" si="15"/>
        <v>TER_TS_CK_CHR_E01</v>
      </c>
      <c r="C76" s="45" t="str">
        <f t="shared" si="16"/>
        <v>Services (Public) Cook Charcoal  (E)</v>
      </c>
      <c r="D76" s="173"/>
      <c r="E76" s="209" t="str">
        <f>Commodities!$Z$17</f>
        <v>TER_TS_CK</v>
      </c>
      <c r="F76" s="290">
        <v>15</v>
      </c>
      <c r="G76" s="173"/>
      <c r="Q76" s="140"/>
      <c r="R76" s="140"/>
      <c r="S76" s="140"/>
      <c r="T76" s="140"/>
      <c r="U76" s="140"/>
    </row>
    <row r="77" spans="2:21" x14ac:dyDescent="0.25">
      <c r="B77" s="176" t="str">
        <f t="shared" si="15"/>
        <v>TER_TS_CK_ELC_E01</v>
      </c>
      <c r="C77" s="176" t="str">
        <f t="shared" si="16"/>
        <v>Services (Public) Cook Electric  (E)</v>
      </c>
      <c r="D77" s="176"/>
      <c r="E77" s="217" t="str">
        <f>Commodities!$Z$17</f>
        <v>TER_TS_CK</v>
      </c>
      <c r="F77" s="290">
        <v>20</v>
      </c>
      <c r="G77" s="173"/>
      <c r="Q77" s="140"/>
      <c r="R77" s="140"/>
      <c r="S77" s="140"/>
      <c r="T77" s="140"/>
      <c r="U77" s="140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A163"/>
  <sheetViews>
    <sheetView zoomScale="60" zoomScaleNormal="60" workbookViewId="0">
      <selection sqref="A1:XFD1048576"/>
    </sheetView>
  </sheetViews>
  <sheetFormatPr defaultColWidth="9.33203125" defaultRowHeight="13.2" x14ac:dyDescent="0.25"/>
  <cols>
    <col min="1" max="1" width="6.44140625" style="45" customWidth="1"/>
    <col min="2" max="2" width="23.44140625" style="45" bestFit="1" customWidth="1"/>
    <col min="3" max="3" width="66.44140625" style="45" bestFit="1" customWidth="1"/>
    <col min="4" max="4" width="17.109375" style="45" bestFit="1" customWidth="1"/>
    <col min="5" max="5" width="25.44140625" style="45" bestFit="1" customWidth="1"/>
    <col min="6" max="6" width="23.88671875" style="45" customWidth="1"/>
    <col min="7" max="7" width="5.44140625" style="45" customWidth="1"/>
    <col min="8" max="8" width="32.33203125" style="45" bestFit="1" customWidth="1"/>
    <col min="9" max="9" width="39.44140625" style="45" bestFit="1" customWidth="1"/>
    <col min="10" max="10" width="18.33203125" style="45" customWidth="1"/>
    <col min="11" max="13" width="9.44140625" style="45" customWidth="1"/>
    <col min="14" max="14" width="29.33203125" style="45" customWidth="1"/>
    <col min="15" max="15" width="44.5546875" style="45" bestFit="1" customWidth="1"/>
    <col min="16" max="16" width="12.109375" style="45" bestFit="1" customWidth="1"/>
    <col min="17" max="17" width="14" style="45" bestFit="1" customWidth="1"/>
    <col min="18" max="18" width="33.88671875" style="45" bestFit="1" customWidth="1"/>
    <col min="19" max="19" width="17.33203125" style="45" customWidth="1"/>
    <col min="20" max="20" width="25.5546875" style="45" customWidth="1"/>
    <col min="21" max="21" width="18.88671875" style="45" customWidth="1"/>
    <col min="22" max="22" width="14" style="45" bestFit="1" customWidth="1"/>
    <col min="23" max="23" width="21.44140625" style="45" customWidth="1"/>
    <col min="24" max="24" width="16.5546875" style="45" customWidth="1"/>
    <col min="25" max="25" width="6.88671875" style="45" customWidth="1"/>
    <col min="26" max="26" width="45" style="45" bestFit="1" customWidth="1"/>
    <col min="27" max="27" width="24.33203125" style="45" bestFit="1" customWidth="1"/>
    <col min="28" max="16384" width="9.33203125" style="45"/>
  </cols>
  <sheetData>
    <row r="1" spans="1:27" ht="17.399999999999999" x14ac:dyDescent="0.3">
      <c r="A1" s="93" t="s">
        <v>329</v>
      </c>
      <c r="B1" s="93"/>
      <c r="C1" s="93"/>
      <c r="D1" s="93"/>
      <c r="E1" s="93"/>
      <c r="F1" s="93"/>
      <c r="G1" s="93"/>
      <c r="H1" s="93"/>
      <c r="I1" s="93"/>
      <c r="J1" s="93"/>
      <c r="M1" s="6"/>
      <c r="N1" s="6"/>
      <c r="O1" s="6"/>
      <c r="P1" s="33"/>
      <c r="Q1" s="33"/>
      <c r="R1" s="33"/>
      <c r="S1" s="33"/>
      <c r="T1" s="33"/>
    </row>
    <row r="2" spans="1:27" ht="13.8" x14ac:dyDescent="0.25">
      <c r="A2" s="92"/>
      <c r="F2" s="190">
        <v>3</v>
      </c>
      <c r="L2" s="6" t="s">
        <v>105</v>
      </c>
      <c r="M2" s="6"/>
      <c r="N2" s="6"/>
      <c r="O2" s="6"/>
      <c r="P2" s="33"/>
      <c r="Q2" s="33"/>
      <c r="R2" s="33"/>
      <c r="S2" s="33"/>
      <c r="T2" s="33"/>
    </row>
    <row r="3" spans="1:27" ht="13.8" x14ac:dyDescent="0.25">
      <c r="E3" s="92" t="s">
        <v>291</v>
      </c>
      <c r="H3" s="293" t="s">
        <v>585</v>
      </c>
      <c r="I3" s="193"/>
      <c r="J3" s="193"/>
      <c r="L3" s="142" t="s">
        <v>39</v>
      </c>
      <c r="M3" s="142"/>
      <c r="N3" s="142" t="s">
        <v>276</v>
      </c>
      <c r="O3" s="142"/>
      <c r="P3" s="191"/>
      <c r="Q3" s="191"/>
      <c r="R3" s="191"/>
      <c r="S3" s="191"/>
      <c r="T3" s="191"/>
    </row>
    <row r="4" spans="1:27" ht="13.8" x14ac:dyDescent="0.25">
      <c r="B4" s="95" t="s">
        <v>1</v>
      </c>
      <c r="C4" s="192" t="s">
        <v>42</v>
      </c>
      <c r="D4" s="95" t="s">
        <v>7</v>
      </c>
      <c r="E4" s="192" t="s">
        <v>8</v>
      </c>
      <c r="F4" s="143" t="s">
        <v>405</v>
      </c>
      <c r="H4" s="192"/>
      <c r="I4" s="195"/>
      <c r="J4" s="294" t="s">
        <v>298</v>
      </c>
      <c r="L4" s="170" t="s">
        <v>19</v>
      </c>
      <c r="M4" s="170"/>
      <c r="N4" s="142"/>
      <c r="O4" s="142"/>
      <c r="P4" s="191"/>
      <c r="Q4" s="191"/>
      <c r="R4" s="191"/>
      <c r="S4" s="191"/>
      <c r="T4" s="191"/>
    </row>
    <row r="5" spans="1:27" ht="14.4" thickBot="1" x14ac:dyDescent="0.3">
      <c r="B5" s="113" t="s">
        <v>296</v>
      </c>
      <c r="C5" s="155" t="s">
        <v>26</v>
      </c>
      <c r="D5" s="112" t="s">
        <v>36</v>
      </c>
      <c r="E5" s="155" t="s">
        <v>37</v>
      </c>
      <c r="F5" s="113"/>
      <c r="H5" s="192" t="s">
        <v>300</v>
      </c>
      <c r="I5" s="195" t="s">
        <v>301</v>
      </c>
      <c r="J5" s="295"/>
      <c r="L5" s="147" t="s">
        <v>13</v>
      </c>
      <c r="M5" s="147" t="s">
        <v>34</v>
      </c>
      <c r="N5" s="147" t="s">
        <v>1</v>
      </c>
      <c r="O5" s="147" t="s">
        <v>2</v>
      </c>
      <c r="P5" s="196" t="s">
        <v>20</v>
      </c>
      <c r="Q5" s="196" t="s">
        <v>21</v>
      </c>
      <c r="R5" s="196" t="s">
        <v>22</v>
      </c>
      <c r="S5" s="196" t="s">
        <v>23</v>
      </c>
      <c r="T5" s="196" t="s">
        <v>24</v>
      </c>
    </row>
    <row r="6" spans="1:27" s="207" customFormat="1" ht="13.5" customHeight="1" thickBot="1" x14ac:dyDescent="0.3">
      <c r="B6" s="197" t="s">
        <v>229</v>
      </c>
      <c r="C6" s="198"/>
      <c r="D6" s="197"/>
      <c r="E6" s="296"/>
      <c r="F6" s="199" t="str">
        <f>General!$D$18</f>
        <v>000s_Units</v>
      </c>
      <c r="H6" s="199" t="str">
        <f>General!$B$2</f>
        <v>PJ</v>
      </c>
      <c r="I6" s="199" t="str">
        <f>General!$B$2</f>
        <v>PJ</v>
      </c>
      <c r="J6" s="199"/>
      <c r="L6" s="202" t="s">
        <v>44</v>
      </c>
      <c r="M6" s="202" t="s">
        <v>35</v>
      </c>
      <c r="N6" s="202" t="s">
        <v>25</v>
      </c>
      <c r="O6" s="202" t="s">
        <v>26</v>
      </c>
      <c r="P6" s="203" t="s">
        <v>27</v>
      </c>
      <c r="Q6" s="203" t="s">
        <v>28</v>
      </c>
      <c r="R6" s="203" t="s">
        <v>48</v>
      </c>
      <c r="S6" s="203" t="s">
        <v>47</v>
      </c>
      <c r="T6" s="203" t="s">
        <v>29</v>
      </c>
    </row>
    <row r="7" spans="1:27" ht="13.8" x14ac:dyDescent="0.25">
      <c r="B7" s="45" t="str">
        <f>N7</f>
        <v>TER_TP_RF_E01</v>
      </c>
      <c r="C7" s="45" t="str">
        <f>O7</f>
        <v>Private (Commercial) Refrigerating (E)</v>
      </c>
      <c r="D7" s="173" t="str">
        <f>Commodities!$D$49</f>
        <v>TERELC</v>
      </c>
      <c r="E7" s="229" t="str">
        <f>Commodities!$Z$20</f>
        <v>TER_TP_RF</v>
      </c>
      <c r="F7" s="141">
        <f>VLOOKUP(LEFT($B7,6),TER_Stock!$C$16:$E$17,F$2,FALSE)*VLOOKUP(LEFT($B7,6),TER_Stock!$F$77:$G$78,2,FALSE)*0.002</f>
        <v>90</v>
      </c>
      <c r="G7" s="300"/>
      <c r="H7" s="301">
        <f>F7*F16</f>
        <v>1.5612409728000003</v>
      </c>
      <c r="I7" s="302">
        <f>VLOOKUP(LEFT($B7,9),COM_En_Balance!$C$36:$S$54,MATCH($D7,COM_En_Balance!$D$36:$S$36,0)+1,FALSE)</f>
        <v>1.5612409728000003</v>
      </c>
      <c r="J7" s="141">
        <f>SUM(H7:H7)-SUM(I7:I7)</f>
        <v>0</v>
      </c>
      <c r="L7" s="6" t="s">
        <v>230</v>
      </c>
      <c r="M7" s="6"/>
      <c r="N7" s="6" t="str">
        <f>Commodities!$Z20&amp;"_"&amp;$N$3&amp;"01"</f>
        <v>TER_TP_RF_E01</v>
      </c>
      <c r="O7" s="6" t="s">
        <v>453</v>
      </c>
      <c r="P7" s="33" t="str">
        <f>General!$D$18</f>
        <v>000s_Units</v>
      </c>
      <c r="Q7" s="33" t="str">
        <f>General!$D$18</f>
        <v>000s_Units</v>
      </c>
      <c r="R7" s="12" t="s">
        <v>93</v>
      </c>
      <c r="S7" s="33"/>
      <c r="T7" s="33"/>
    </row>
    <row r="8" spans="1:27" ht="13.8" x14ac:dyDescent="0.25">
      <c r="B8" s="45" t="str">
        <f>N8</f>
        <v>TER_TS_RF_E01</v>
      </c>
      <c r="C8" s="45" t="str">
        <f>O8</f>
        <v>Services (Public) Refrigerating (E)</v>
      </c>
      <c r="D8" s="173" t="str">
        <f>Commodities!$D$49</f>
        <v>TERELC</v>
      </c>
      <c r="E8" s="209" t="str">
        <f>Commodities!$Z$21</f>
        <v>TER_TS_RF</v>
      </c>
      <c r="F8" s="141">
        <f>VLOOKUP(LEFT($B8,6),TER_Stock!$C$16:$E$17,F$2,FALSE)*VLOOKUP(LEFT($B8,6),TER_Stock!$F$77:$G$78,2,FALSE)*0.002</f>
        <v>110</v>
      </c>
      <c r="G8" s="300"/>
      <c r="H8" s="214">
        <f>F8*F17</f>
        <v>1.4051168755199999</v>
      </c>
      <c r="I8" s="302">
        <f>VLOOKUP(LEFT($B8,9),COM_En_Balance!$C$36:$S$54,MATCH($D8,COM_En_Balance!$D$36:$S$36,0)+1,FALSE)</f>
        <v>1.4051168755199999</v>
      </c>
      <c r="J8" s="141">
        <f>SUM(H8:H8)-SUM(I8:I8)</f>
        <v>0</v>
      </c>
      <c r="L8" s="9"/>
      <c r="M8" s="9"/>
      <c r="N8" s="9" t="str">
        <f>Commodities!$Z21&amp;"_"&amp;$N$3&amp;"01"</f>
        <v>TER_TS_RF_E01</v>
      </c>
      <c r="O8" s="9" t="s">
        <v>454</v>
      </c>
      <c r="P8" s="33" t="str">
        <f>General!$D$18</f>
        <v>000s_Units</v>
      </c>
      <c r="Q8" s="12" t="str">
        <f>General!$D$18</f>
        <v>000s_Units</v>
      </c>
      <c r="R8" s="12" t="s">
        <v>93</v>
      </c>
      <c r="S8" s="12"/>
      <c r="T8" s="12"/>
    </row>
    <row r="9" spans="1:27" ht="13.8" x14ac:dyDescent="0.25">
      <c r="H9" s="226"/>
      <c r="L9" s="245"/>
      <c r="M9" s="245"/>
      <c r="N9" s="245" t="str">
        <f>Commodities!$Z22&amp;"_"&amp;$N$3&amp;"01"</f>
        <v>TER_TP_AP_E01</v>
      </c>
      <c r="O9" s="245" t="s">
        <v>455</v>
      </c>
      <c r="P9" s="246" t="str">
        <f>General!$D$18</f>
        <v>000s_Units</v>
      </c>
      <c r="Q9" s="246" t="str">
        <f>General!$D$18</f>
        <v>000s_Units</v>
      </c>
      <c r="R9" s="246" t="s">
        <v>93</v>
      </c>
      <c r="S9" s="246"/>
      <c r="T9" s="246"/>
      <c r="U9" s="173"/>
    </row>
    <row r="10" spans="1:27" ht="13.8" x14ac:dyDescent="0.25">
      <c r="H10" s="45" t="s">
        <v>474</v>
      </c>
      <c r="I10" s="45" t="s">
        <v>477</v>
      </c>
      <c r="L10" s="204"/>
      <c r="M10" s="204"/>
      <c r="N10" s="204" t="str">
        <f>Commodities!$Z23&amp;"_"&amp;$N$3&amp;"01"</f>
        <v>TER_TS_AP_E01</v>
      </c>
      <c r="O10" s="204" t="s">
        <v>456</v>
      </c>
      <c r="P10" s="120" t="str">
        <f>General!$D$18</f>
        <v>000s_Units</v>
      </c>
      <c r="Q10" s="120" t="str">
        <f>General!$D$18</f>
        <v>000s_Units</v>
      </c>
      <c r="R10" s="120" t="s">
        <v>93</v>
      </c>
      <c r="S10" s="120"/>
      <c r="T10" s="120"/>
      <c r="U10" s="173"/>
    </row>
    <row r="11" spans="1:27" ht="13.8" x14ac:dyDescent="0.25">
      <c r="L11" s="6"/>
      <c r="M11" s="6"/>
      <c r="N11" s="6" t="str">
        <f>Commodities!Z18&amp;"_"&amp;$N$3&amp;"01"</f>
        <v>TER_TP_LI_E01</v>
      </c>
      <c r="O11" s="6" t="s">
        <v>457</v>
      </c>
      <c r="P11" s="33" t="str">
        <f>General!$D$24</f>
        <v>000lamps</v>
      </c>
      <c r="Q11" s="33" t="str">
        <f>General!$D$24</f>
        <v>000lamps</v>
      </c>
      <c r="R11" s="33" t="s">
        <v>93</v>
      </c>
      <c r="S11" s="33"/>
      <c r="T11" s="33"/>
      <c r="U11" s="173"/>
    </row>
    <row r="12" spans="1:27" ht="13.8" x14ac:dyDescent="0.25">
      <c r="E12" s="92" t="s">
        <v>279</v>
      </c>
      <c r="L12" s="204"/>
      <c r="M12" s="204"/>
      <c r="N12" s="204" t="str">
        <f>Commodities!Z19&amp;"_"&amp;$N$3&amp;"01"</f>
        <v>TER_TS_LI_E01</v>
      </c>
      <c r="O12" s="204" t="s">
        <v>458</v>
      </c>
      <c r="P12" s="120" t="str">
        <f>General!$D$24</f>
        <v>000lamps</v>
      </c>
      <c r="Q12" s="120" t="str">
        <f>General!$D$24</f>
        <v>000lamps</v>
      </c>
      <c r="R12" s="120" t="s">
        <v>93</v>
      </c>
      <c r="S12" s="120"/>
      <c r="T12" s="120"/>
      <c r="U12" s="173"/>
    </row>
    <row r="13" spans="1:27" ht="13.8" x14ac:dyDescent="0.25">
      <c r="B13" s="95" t="s">
        <v>1</v>
      </c>
      <c r="C13" s="95" t="s">
        <v>42</v>
      </c>
      <c r="D13" s="95" t="s">
        <v>7</v>
      </c>
      <c r="E13" s="95" t="s">
        <v>0</v>
      </c>
      <c r="F13" s="95" t="s">
        <v>405</v>
      </c>
      <c r="L13" s="9" t="s">
        <v>277</v>
      </c>
      <c r="M13" s="9"/>
      <c r="N13" s="6" t="str">
        <f>Commodities!$Z$9&amp;"_LI_"&amp;$N$3&amp;"01"</f>
        <v>TER_SL_LI_E01</v>
      </c>
      <c r="O13" s="6" t="s">
        <v>459</v>
      </c>
      <c r="P13" s="33" t="str">
        <f>General!$D$24</f>
        <v>000lamps</v>
      </c>
      <c r="Q13" s="33" t="str">
        <f>General!$D$24</f>
        <v>000lamps</v>
      </c>
      <c r="R13" s="12" t="s">
        <v>93</v>
      </c>
      <c r="S13" s="12"/>
      <c r="T13" s="12"/>
      <c r="U13" s="173"/>
    </row>
    <row r="14" spans="1:27" ht="14.4" thickBot="1" x14ac:dyDescent="0.3">
      <c r="B14" s="113" t="s">
        <v>296</v>
      </c>
      <c r="C14" s="113" t="s">
        <v>26</v>
      </c>
      <c r="D14" s="112" t="s">
        <v>36</v>
      </c>
      <c r="E14" s="155" t="s">
        <v>37</v>
      </c>
      <c r="F14" s="113"/>
      <c r="U14" s="173"/>
    </row>
    <row r="15" spans="1:27" ht="14.4" thickBot="1" x14ac:dyDescent="0.3">
      <c r="B15" s="113" t="s">
        <v>229</v>
      </c>
      <c r="C15" s="113"/>
      <c r="D15" s="113"/>
      <c r="E15" s="155"/>
      <c r="F15" s="205" t="str">
        <f>General!$D$19</f>
        <v>TJ/unit</v>
      </c>
      <c r="U15" s="173"/>
    </row>
    <row r="16" spans="1:27" x14ac:dyDescent="0.25">
      <c r="B16" s="45" t="str">
        <f>N7</f>
        <v>TER_TP_RF_E01</v>
      </c>
      <c r="C16" s="45" t="str">
        <f>O7</f>
        <v>Private (Commercial) Refrigerating (E)</v>
      </c>
      <c r="D16" s="173" t="str">
        <f>Commodities!$D$49</f>
        <v>TERELC</v>
      </c>
      <c r="E16" s="229"/>
      <c r="F16" s="303">
        <f>I7/F7</f>
        <v>1.7347121920000003E-2</v>
      </c>
      <c r="H16" s="226" t="s">
        <v>478</v>
      </c>
      <c r="I16" s="45">
        <v>1.4E-2</v>
      </c>
      <c r="J16" s="45">
        <v>1.7999999999999999E-2</v>
      </c>
      <c r="Y16" s="140"/>
      <c r="AA16" s="173"/>
    </row>
    <row r="17" spans="2:27" x14ac:dyDescent="0.25">
      <c r="B17" s="45" t="str">
        <f>N8</f>
        <v>TER_TS_RF_E01</v>
      </c>
      <c r="C17" s="45" t="str">
        <f>O8</f>
        <v>Services (Public) Refrigerating (E)</v>
      </c>
      <c r="D17" s="173" t="str">
        <f>Commodities!$D$49</f>
        <v>TERELC</v>
      </c>
      <c r="E17" s="209"/>
      <c r="F17" s="303">
        <f>I8/F8</f>
        <v>1.2773789777454544E-2</v>
      </c>
      <c r="U17" s="140"/>
      <c r="V17" s="140"/>
      <c r="W17" s="140"/>
      <c r="X17" s="140"/>
      <c r="Y17" s="140"/>
      <c r="AA17" s="173"/>
    </row>
    <row r="18" spans="2:27" x14ac:dyDescent="0.25">
      <c r="D18" s="173"/>
      <c r="E18" s="173"/>
      <c r="F18" s="141"/>
      <c r="U18" s="140"/>
      <c r="V18" s="140"/>
      <c r="W18" s="140"/>
      <c r="X18" s="140"/>
      <c r="Y18" s="140"/>
      <c r="AA18" s="173"/>
    </row>
    <row r="19" spans="2:27" ht="13.8" x14ac:dyDescent="0.25">
      <c r="E19" s="92" t="s">
        <v>293</v>
      </c>
      <c r="U19" s="140"/>
      <c r="V19" s="140"/>
      <c r="W19" s="140"/>
      <c r="X19" s="140"/>
      <c r="Y19" s="140"/>
    </row>
    <row r="20" spans="2:27" ht="13.8" x14ac:dyDescent="0.25">
      <c r="B20" s="95" t="s">
        <v>1</v>
      </c>
      <c r="C20" s="95" t="s">
        <v>42</v>
      </c>
      <c r="D20" s="95" t="s">
        <v>7</v>
      </c>
      <c r="E20" s="95" t="s">
        <v>0</v>
      </c>
      <c r="F20" s="95" t="s">
        <v>405</v>
      </c>
      <c r="U20" s="140"/>
      <c r="V20" s="140"/>
      <c r="W20" s="140"/>
      <c r="X20" s="140"/>
      <c r="Y20" s="140"/>
    </row>
    <row r="21" spans="2:27" ht="14.4" thickBot="1" x14ac:dyDescent="0.3">
      <c r="B21" s="113" t="s">
        <v>296</v>
      </c>
      <c r="C21" s="113" t="s">
        <v>26</v>
      </c>
      <c r="D21" s="112" t="s">
        <v>36</v>
      </c>
      <c r="E21" s="155"/>
      <c r="F21" s="113"/>
      <c r="U21" s="140"/>
      <c r="V21" s="140"/>
      <c r="W21" s="140"/>
      <c r="X21" s="140"/>
      <c r="Y21" s="140"/>
    </row>
    <row r="22" spans="2:27" ht="14.4" thickBot="1" x14ac:dyDescent="0.3">
      <c r="B22" s="113" t="s">
        <v>229</v>
      </c>
      <c r="C22" s="113"/>
      <c r="D22" s="113"/>
      <c r="E22" s="155"/>
      <c r="F22" s="112"/>
      <c r="U22" s="140"/>
      <c r="V22" s="140"/>
      <c r="W22" s="140"/>
      <c r="X22" s="140"/>
      <c r="Y22" s="140"/>
    </row>
    <row r="23" spans="2:27" x14ac:dyDescent="0.25">
      <c r="B23" s="45" t="str">
        <f>N7</f>
        <v>TER_TP_RF_E01</v>
      </c>
      <c r="C23" s="45" t="str">
        <f>O7</f>
        <v>Private (Commercial) Refrigerating (E)</v>
      </c>
      <c r="E23" s="229" t="str">
        <f>Commodities!$Z$20</f>
        <v>TER_TP_RF</v>
      </c>
      <c r="F23" s="304">
        <f>1/F30</f>
        <v>1</v>
      </c>
      <c r="U23" s="140"/>
      <c r="V23" s="140"/>
      <c r="W23" s="140"/>
      <c r="X23" s="140"/>
      <c r="Y23" s="140"/>
    </row>
    <row r="24" spans="2:27" x14ac:dyDescent="0.25">
      <c r="B24" s="45" t="str">
        <f>N8</f>
        <v>TER_TS_RF_E01</v>
      </c>
      <c r="C24" s="45" t="str">
        <f>O8</f>
        <v>Services (Public) Refrigerating (E)</v>
      </c>
      <c r="E24" s="209" t="str">
        <f>Commodities!$Z$21</f>
        <v>TER_TS_RF</v>
      </c>
      <c r="F24" s="304">
        <f>1/F31</f>
        <v>1</v>
      </c>
      <c r="U24" s="140"/>
      <c r="V24" s="140"/>
      <c r="W24" s="140"/>
      <c r="X24" s="140"/>
      <c r="Y24" s="140"/>
    </row>
    <row r="25" spans="2:27" x14ac:dyDescent="0.25">
      <c r="T25" s="140"/>
      <c r="U25" s="140"/>
      <c r="V25" s="140"/>
    </row>
    <row r="26" spans="2:27" ht="13.8" x14ac:dyDescent="0.25">
      <c r="E26" s="92" t="s">
        <v>294</v>
      </c>
      <c r="H26" s="92" t="s">
        <v>339</v>
      </c>
      <c r="I26" s="92"/>
      <c r="T26" s="140"/>
      <c r="U26" s="140"/>
      <c r="V26" s="140"/>
    </row>
    <row r="27" spans="2:27" ht="13.8" x14ac:dyDescent="0.25">
      <c r="B27" s="95" t="s">
        <v>1</v>
      </c>
      <c r="C27" s="95" t="s">
        <v>42</v>
      </c>
      <c r="D27" s="95" t="s">
        <v>7</v>
      </c>
      <c r="E27" s="95" t="s">
        <v>0</v>
      </c>
      <c r="F27" s="95" t="s">
        <v>405</v>
      </c>
      <c r="H27" s="95" t="s">
        <v>1</v>
      </c>
      <c r="I27" s="95" t="s">
        <v>405</v>
      </c>
      <c r="T27" s="140"/>
      <c r="U27" s="140"/>
      <c r="V27" s="140"/>
    </row>
    <row r="28" spans="2:27" ht="14.4" thickBot="1" x14ac:dyDescent="0.3">
      <c r="B28" s="113" t="s">
        <v>296</v>
      </c>
      <c r="C28" s="113" t="s">
        <v>26</v>
      </c>
      <c r="D28" s="112" t="s">
        <v>36</v>
      </c>
      <c r="E28" s="155"/>
      <c r="F28" s="113"/>
      <c r="H28" s="113" t="s">
        <v>296</v>
      </c>
      <c r="I28" s="113"/>
      <c r="T28" s="140"/>
      <c r="U28" s="140"/>
      <c r="V28" s="140"/>
    </row>
    <row r="29" spans="2:27" ht="14.4" thickBot="1" x14ac:dyDescent="0.3">
      <c r="B29" s="113" t="s">
        <v>229</v>
      </c>
      <c r="C29" s="113"/>
      <c r="D29" s="113"/>
      <c r="E29" s="155"/>
      <c r="F29" s="112"/>
      <c r="H29" s="113" t="s">
        <v>229</v>
      </c>
      <c r="I29" s="113"/>
      <c r="T29" s="140"/>
      <c r="U29" s="140"/>
      <c r="V29" s="140"/>
    </row>
    <row r="30" spans="2:27" x14ac:dyDescent="0.25">
      <c r="B30" s="45" t="str">
        <f>N7</f>
        <v>TER_TP_RF_E01</v>
      </c>
      <c r="C30" s="45" t="str">
        <f>O7</f>
        <v>Private (Commercial) Refrigerating (E)</v>
      </c>
      <c r="E30" s="229" t="str">
        <f>Commodities!$Z$20</f>
        <v>TER_TP_RF</v>
      </c>
      <c r="F30" s="290">
        <v>1</v>
      </c>
      <c r="H30" s="229" t="str">
        <f>B30</f>
        <v>TER_TP_RF_E01</v>
      </c>
      <c r="I30" s="290">
        <f>IF(F30*Stk_Mult&gt;1,1,F30*Stk_Mult)</f>
        <v>1</v>
      </c>
      <c r="T30" s="140"/>
      <c r="U30" s="140"/>
      <c r="V30" s="140"/>
    </row>
    <row r="31" spans="2:27" x14ac:dyDescent="0.25">
      <c r="B31" s="45" t="str">
        <f>N8</f>
        <v>TER_TS_RF_E01</v>
      </c>
      <c r="C31" s="45" t="str">
        <f>O8</f>
        <v>Services (Public) Refrigerating (E)</v>
      </c>
      <c r="E31" s="209" t="str">
        <f>Commodities!$Z$21</f>
        <v>TER_TS_RF</v>
      </c>
      <c r="F31" s="290">
        <v>1</v>
      </c>
      <c r="H31" s="209" t="str">
        <f>B31</f>
        <v>TER_TS_RF_E01</v>
      </c>
      <c r="I31" s="290">
        <f>IF(F31*Stk_Mult&gt;1,1,F31*Stk_Mult)</f>
        <v>1</v>
      </c>
      <c r="T31" s="140"/>
      <c r="U31" s="140"/>
      <c r="V31" s="140"/>
    </row>
    <row r="32" spans="2:27" x14ac:dyDescent="0.25">
      <c r="T32" s="140"/>
      <c r="U32" s="140"/>
      <c r="V32" s="140"/>
    </row>
    <row r="33" spans="1:26" x14ac:dyDescent="0.25">
      <c r="T33" s="140"/>
      <c r="U33" s="140"/>
      <c r="V33" s="140"/>
    </row>
    <row r="34" spans="1:26" ht="13.8" x14ac:dyDescent="0.25">
      <c r="E34" s="92" t="s">
        <v>295</v>
      </c>
      <c r="U34" s="140"/>
      <c r="V34" s="140"/>
      <c r="W34" s="140"/>
      <c r="X34" s="140"/>
      <c r="Y34" s="140"/>
    </row>
    <row r="35" spans="1:26" ht="13.8" x14ac:dyDescent="0.25">
      <c r="B35" s="95" t="s">
        <v>1</v>
      </c>
      <c r="C35" s="95" t="s">
        <v>42</v>
      </c>
      <c r="D35" s="95" t="s">
        <v>7</v>
      </c>
      <c r="E35" s="95" t="s">
        <v>0</v>
      </c>
      <c r="F35" s="95" t="s">
        <v>405</v>
      </c>
      <c r="U35" s="140"/>
      <c r="V35" s="140"/>
      <c r="W35" s="140"/>
      <c r="X35" s="140"/>
    </row>
    <row r="36" spans="1:26" ht="14.4" thickBot="1" x14ac:dyDescent="0.3">
      <c r="B36" s="113" t="s">
        <v>296</v>
      </c>
      <c r="C36" s="113" t="s">
        <v>26</v>
      </c>
      <c r="D36" s="112" t="s">
        <v>36</v>
      </c>
      <c r="E36" s="155"/>
      <c r="F36" s="113"/>
      <c r="U36" s="140"/>
      <c r="V36" s="140"/>
      <c r="W36" s="140"/>
      <c r="X36" s="140"/>
      <c r="Y36" s="6"/>
      <c r="Z36" s="6"/>
    </row>
    <row r="37" spans="1:26" ht="14.4" thickBot="1" x14ac:dyDescent="0.3">
      <c r="B37" s="113" t="s">
        <v>229</v>
      </c>
      <c r="C37" s="113"/>
      <c r="D37" s="113"/>
      <c r="E37" s="155"/>
      <c r="F37" s="112"/>
      <c r="U37" s="140"/>
      <c r="V37" s="140"/>
      <c r="W37" s="140"/>
      <c r="X37" s="140"/>
      <c r="Y37" s="140"/>
    </row>
    <row r="38" spans="1:26" x14ac:dyDescent="0.25">
      <c r="B38" s="45" t="str">
        <f>N7</f>
        <v>TER_TP_RF_E01</v>
      </c>
      <c r="C38" s="45" t="str">
        <f>O7</f>
        <v>Private (Commercial) Refrigerating (E)</v>
      </c>
      <c r="E38" s="229" t="str">
        <f>Commodities!$Z$20</f>
        <v>TER_TP_RF</v>
      </c>
      <c r="F38" s="305">
        <v>15</v>
      </c>
      <c r="U38" s="140"/>
      <c r="V38" s="140"/>
      <c r="W38" s="140"/>
      <c r="X38" s="140"/>
      <c r="Y38" s="140"/>
    </row>
    <row r="39" spans="1:26" x14ac:dyDescent="0.25">
      <c r="B39" s="45" t="str">
        <f>N8</f>
        <v>TER_TS_RF_E01</v>
      </c>
      <c r="C39" s="45" t="str">
        <f>O8</f>
        <v>Services (Public) Refrigerating (E)</v>
      </c>
      <c r="E39" s="209" t="str">
        <f>Commodities!$Z$21</f>
        <v>TER_TS_RF</v>
      </c>
      <c r="F39" s="305">
        <v>15</v>
      </c>
      <c r="U39" s="140"/>
      <c r="V39" s="140"/>
      <c r="W39" s="140"/>
      <c r="X39" s="140"/>
      <c r="Y39" s="140"/>
    </row>
    <row r="40" spans="1:26" x14ac:dyDescent="0.25">
      <c r="U40" s="140"/>
      <c r="V40" s="140"/>
      <c r="W40" s="140"/>
      <c r="X40" s="140"/>
      <c r="Y40" s="140"/>
    </row>
    <row r="41" spans="1:26" ht="17.399999999999999" x14ac:dyDescent="0.3">
      <c r="A41" s="93" t="s">
        <v>330</v>
      </c>
      <c r="B41" s="93"/>
      <c r="C41" s="93"/>
      <c r="D41" s="93"/>
      <c r="E41" s="93"/>
      <c r="F41" s="93"/>
      <c r="G41" s="93"/>
      <c r="H41" s="93"/>
      <c r="I41" s="93"/>
      <c r="P41" s="140"/>
      <c r="Q41" s="140"/>
      <c r="R41" s="140"/>
      <c r="S41" s="140"/>
      <c r="T41" s="140"/>
    </row>
    <row r="42" spans="1:26" ht="13.8" x14ac:dyDescent="0.25">
      <c r="E42" s="92" t="s">
        <v>291</v>
      </c>
      <c r="H42" s="293" t="s">
        <v>585</v>
      </c>
      <c r="I42" s="193"/>
      <c r="P42" s="140"/>
      <c r="Q42" s="140"/>
      <c r="R42" s="140"/>
      <c r="S42" s="140"/>
      <c r="T42" s="140"/>
    </row>
    <row r="43" spans="1:26" ht="13.8" x14ac:dyDescent="0.25">
      <c r="B43" s="95" t="s">
        <v>1</v>
      </c>
      <c r="C43" s="192" t="s">
        <v>42</v>
      </c>
      <c r="D43" s="95" t="s">
        <v>7</v>
      </c>
      <c r="E43" s="192" t="s">
        <v>8</v>
      </c>
      <c r="F43" s="143" t="s">
        <v>405</v>
      </c>
      <c r="H43" s="192" t="s">
        <v>300</v>
      </c>
      <c r="I43" s="195" t="s">
        <v>301</v>
      </c>
      <c r="P43" s="140"/>
      <c r="Q43" s="140"/>
      <c r="R43" s="140"/>
      <c r="S43" s="140"/>
      <c r="T43" s="140"/>
    </row>
    <row r="44" spans="1:26" ht="14.4" thickBot="1" x14ac:dyDescent="0.3">
      <c r="B44" s="113" t="s">
        <v>296</v>
      </c>
      <c r="C44" s="155" t="s">
        <v>26</v>
      </c>
      <c r="D44" s="112" t="s">
        <v>36</v>
      </c>
      <c r="E44" s="155" t="s">
        <v>37</v>
      </c>
      <c r="F44" s="113"/>
      <c r="H44" s="143" t="s">
        <v>405</v>
      </c>
      <c r="I44" s="143" t="s">
        <v>405</v>
      </c>
      <c r="P44" s="140"/>
      <c r="Q44" s="140"/>
      <c r="R44" s="140"/>
      <c r="S44" s="140"/>
      <c r="T44" s="140"/>
    </row>
    <row r="45" spans="1:26" ht="14.4" thickBot="1" x14ac:dyDescent="0.3">
      <c r="A45" s="207"/>
      <c r="B45" s="197" t="s">
        <v>229</v>
      </c>
      <c r="C45" s="198"/>
      <c r="D45" s="197"/>
      <c r="E45" s="296"/>
      <c r="F45" s="199" t="str">
        <f>General!$D$18</f>
        <v>000s_Units</v>
      </c>
      <c r="G45" s="207"/>
      <c r="H45" s="199" t="str">
        <f>General!$B$2</f>
        <v>PJ</v>
      </c>
      <c r="I45" s="199" t="str">
        <f>General!$B$2</f>
        <v>PJ</v>
      </c>
      <c r="P45" s="140"/>
      <c r="Q45" s="140"/>
      <c r="R45" s="140"/>
      <c r="S45" s="140"/>
      <c r="T45" s="140"/>
    </row>
    <row r="46" spans="1:26" x14ac:dyDescent="0.25">
      <c r="B46" s="45" t="str">
        <f>N9</f>
        <v>TER_TP_AP_E01</v>
      </c>
      <c r="C46" s="45" t="str">
        <f>O9</f>
        <v>Private (Commercial)Other Appliances (E)</v>
      </c>
      <c r="D46" s="173" t="str">
        <f>Commodities!$D$49</f>
        <v>TERELC</v>
      </c>
      <c r="E46" s="229" t="str">
        <f>Commodities!$Z$22</f>
        <v>TER_TP_AP</v>
      </c>
      <c r="F46" s="305">
        <f>VLOOKUP(LEFT($B46,6),TER_Stock!$C$16:$E$17,F$2,FALSE)*0.015</f>
        <v>675</v>
      </c>
      <c r="H46" s="306">
        <f>F46*F53</f>
        <v>0.85868253504000092</v>
      </c>
      <c r="I46" s="306">
        <f>VLOOKUP(LEFT($B46,9),COM_En_Balance!$C$36:$S$54,MATCH($D46,COM_En_Balance!$D$36:$S$36,0)+1,FALSE)</f>
        <v>0.85868253504000081</v>
      </c>
      <c r="P46" s="140"/>
      <c r="Q46" s="140"/>
      <c r="R46" s="140"/>
      <c r="S46" s="140"/>
      <c r="T46" s="140"/>
    </row>
    <row r="47" spans="1:26" x14ac:dyDescent="0.25">
      <c r="B47" s="45" t="str">
        <f>N10</f>
        <v>TER_TS_AP_E01</v>
      </c>
      <c r="C47" s="45" t="str">
        <f>O10</f>
        <v>Services (Public) Other Appliances (E)</v>
      </c>
      <c r="D47" s="173" t="str">
        <f>Commodities!$D$49</f>
        <v>TERELC</v>
      </c>
      <c r="E47" s="209" t="str">
        <f>Commodities!$Z$23</f>
        <v>TER_TS_AP</v>
      </c>
      <c r="F47" s="305">
        <f>VLOOKUP(LEFT($B47,6),TER_Stock!$C$16:$E$17,F$2,FALSE)*0.015</f>
        <v>825</v>
      </c>
      <c r="H47" s="306">
        <f>F47*F54</f>
        <v>1.2880238025600004</v>
      </c>
      <c r="I47" s="306">
        <f>VLOOKUP(LEFT($B47,9),COM_En_Balance!$C$36:$S$54,MATCH($D47,COM_En_Balance!$D$36:$S$36,0)+1,FALSE)</f>
        <v>1.2880238025600004</v>
      </c>
      <c r="P47" s="140"/>
      <c r="Q47" s="140"/>
      <c r="R47" s="140"/>
      <c r="S47" s="140"/>
      <c r="T47" s="140"/>
    </row>
    <row r="48" spans="1:26" x14ac:dyDescent="0.25">
      <c r="A48" s="173"/>
      <c r="B48" s="173"/>
      <c r="C48" s="173"/>
      <c r="D48" s="173"/>
      <c r="E48" s="173"/>
      <c r="F48" s="307"/>
      <c r="G48" s="173"/>
      <c r="H48" s="45" t="s">
        <v>474</v>
      </c>
      <c r="I48" s="45" t="s">
        <v>476</v>
      </c>
      <c r="P48" s="140"/>
      <c r="Q48" s="140"/>
      <c r="R48" s="140"/>
      <c r="S48" s="140"/>
      <c r="T48" s="140"/>
    </row>
    <row r="49" spans="2:25" ht="13.8" x14ac:dyDescent="0.25">
      <c r="E49" s="92" t="s">
        <v>279</v>
      </c>
      <c r="U49" s="140"/>
      <c r="V49" s="140"/>
      <c r="W49" s="140"/>
      <c r="X49" s="140"/>
      <c r="Y49" s="140"/>
    </row>
    <row r="50" spans="2:25" ht="13.8" x14ac:dyDescent="0.25">
      <c r="B50" s="95" t="s">
        <v>1</v>
      </c>
      <c r="C50" s="95" t="s">
        <v>42</v>
      </c>
      <c r="D50" s="95" t="s">
        <v>7</v>
      </c>
      <c r="E50" s="95" t="s">
        <v>0</v>
      </c>
      <c r="F50" s="95" t="s">
        <v>405</v>
      </c>
      <c r="U50" s="140"/>
      <c r="V50" s="140"/>
      <c r="W50" s="140"/>
      <c r="X50" s="140"/>
      <c r="Y50" s="140"/>
    </row>
    <row r="51" spans="2:25" ht="14.4" thickBot="1" x14ac:dyDescent="0.3">
      <c r="B51" s="113" t="s">
        <v>296</v>
      </c>
      <c r="C51" s="113" t="s">
        <v>26</v>
      </c>
      <c r="D51" s="112" t="s">
        <v>36</v>
      </c>
      <c r="E51" s="155" t="s">
        <v>37</v>
      </c>
      <c r="F51" s="113"/>
      <c r="U51" s="140"/>
      <c r="V51" s="140"/>
      <c r="W51" s="140"/>
      <c r="X51" s="140"/>
      <c r="Y51" s="140"/>
    </row>
    <row r="52" spans="2:25" ht="14.4" thickBot="1" x14ac:dyDescent="0.3">
      <c r="B52" s="113" t="s">
        <v>229</v>
      </c>
      <c r="C52" s="113"/>
      <c r="D52" s="113"/>
      <c r="E52" s="155"/>
      <c r="F52" s="205" t="str">
        <f>General!$D$19</f>
        <v>TJ/unit</v>
      </c>
      <c r="U52" s="140"/>
      <c r="V52" s="140"/>
      <c r="W52" s="140"/>
      <c r="X52" s="140"/>
      <c r="Y52" s="140"/>
    </row>
    <row r="53" spans="2:25" x14ac:dyDescent="0.25">
      <c r="B53" s="45" t="str">
        <f>N9</f>
        <v>TER_TP_AP_E01</v>
      </c>
      <c r="C53" s="45" t="str">
        <f>O9</f>
        <v>Private (Commercial)Other Appliances (E)</v>
      </c>
      <c r="D53" s="173" t="str">
        <f>Commodities!$D$49</f>
        <v>TERELC</v>
      </c>
      <c r="E53" s="229"/>
      <c r="F53" s="308">
        <f>I46/F46</f>
        <v>1.2721222741333346E-3</v>
      </c>
      <c r="H53" s="226" t="s">
        <v>478</v>
      </c>
      <c r="I53" s="45">
        <v>1E-3</v>
      </c>
      <c r="J53" s="45">
        <v>1.5E-3</v>
      </c>
      <c r="U53" s="140"/>
      <c r="V53" s="140"/>
      <c r="W53" s="140"/>
      <c r="X53" s="140"/>
      <c r="Y53" s="140"/>
    </row>
    <row r="54" spans="2:25" x14ac:dyDescent="0.25">
      <c r="B54" s="45" t="str">
        <f>N10</f>
        <v>TER_TS_AP_E01</v>
      </c>
      <c r="C54" s="45" t="str">
        <f>O10</f>
        <v>Services (Public) Other Appliances (E)</v>
      </c>
      <c r="D54" s="173" t="str">
        <f>Commodities!$D$49</f>
        <v>TERELC</v>
      </c>
      <c r="E54" s="209"/>
      <c r="F54" s="308">
        <f>I47/F47</f>
        <v>1.5612409728000005E-3</v>
      </c>
      <c r="H54" s="226"/>
      <c r="U54" s="140"/>
      <c r="V54" s="140"/>
      <c r="W54" s="140"/>
      <c r="X54" s="140"/>
    </row>
    <row r="55" spans="2:25" x14ac:dyDescent="0.25">
      <c r="U55" s="140"/>
      <c r="V55" s="140"/>
      <c r="W55" s="140"/>
      <c r="X55" s="140"/>
    </row>
    <row r="56" spans="2:25" ht="13.8" x14ac:dyDescent="0.25">
      <c r="E56" s="92" t="s">
        <v>293</v>
      </c>
    </row>
    <row r="57" spans="2:25" ht="13.8" x14ac:dyDescent="0.25">
      <c r="B57" s="95" t="s">
        <v>1</v>
      </c>
      <c r="C57" s="95" t="s">
        <v>42</v>
      </c>
      <c r="D57" s="95" t="s">
        <v>7</v>
      </c>
      <c r="E57" s="95" t="s">
        <v>0</v>
      </c>
      <c r="F57" s="95" t="s">
        <v>405</v>
      </c>
    </row>
    <row r="58" spans="2:25" ht="14.4" thickBot="1" x14ac:dyDescent="0.3">
      <c r="B58" s="113" t="s">
        <v>296</v>
      </c>
      <c r="C58" s="113" t="s">
        <v>26</v>
      </c>
      <c r="D58" s="112" t="s">
        <v>36</v>
      </c>
      <c r="E58" s="155"/>
      <c r="F58" s="113"/>
    </row>
    <row r="59" spans="2:25" ht="14.4" thickBot="1" x14ac:dyDescent="0.3">
      <c r="B59" s="113" t="s">
        <v>229</v>
      </c>
      <c r="C59" s="113"/>
      <c r="D59" s="113"/>
      <c r="E59" s="155"/>
      <c r="F59" s="112"/>
    </row>
    <row r="60" spans="2:25" x14ac:dyDescent="0.25">
      <c r="B60" s="45" t="str">
        <f>N9</f>
        <v>TER_TP_AP_E01</v>
      </c>
      <c r="C60" s="45" t="str">
        <f>O9</f>
        <v>Private (Commercial)Other Appliances (E)</v>
      </c>
      <c r="E60" s="229" t="str">
        <f>Commodities!$Z$22</f>
        <v>TER_TP_AP</v>
      </c>
      <c r="F60" s="290">
        <v>1.7050000000000001</v>
      </c>
      <c r="H60" s="45" t="s">
        <v>579</v>
      </c>
    </row>
    <row r="61" spans="2:25" x14ac:dyDescent="0.25">
      <c r="B61" s="45" t="str">
        <f>N10</f>
        <v>TER_TS_AP_E01</v>
      </c>
      <c r="C61" s="45" t="str">
        <f>O10</f>
        <v>Services (Public) Other Appliances (E)</v>
      </c>
      <c r="E61" s="209" t="str">
        <f>Commodities!$Z$23</f>
        <v>TER_TS_AP</v>
      </c>
      <c r="F61" s="290">
        <v>1.7050000000000001</v>
      </c>
      <c r="H61" s="45" t="s">
        <v>579</v>
      </c>
    </row>
    <row r="63" spans="2:25" ht="13.8" x14ac:dyDescent="0.25">
      <c r="E63" s="92" t="s">
        <v>294</v>
      </c>
      <c r="H63" s="92" t="s">
        <v>578</v>
      </c>
      <c r="I63" s="92"/>
    </row>
    <row r="64" spans="2:25" ht="13.8" x14ac:dyDescent="0.25">
      <c r="B64" s="95" t="s">
        <v>1</v>
      </c>
      <c r="C64" s="95" t="s">
        <v>42</v>
      </c>
      <c r="D64" s="95" t="s">
        <v>7</v>
      </c>
      <c r="E64" s="95" t="s">
        <v>0</v>
      </c>
      <c r="F64" s="95" t="s">
        <v>405</v>
      </c>
      <c r="H64" s="95" t="s">
        <v>1</v>
      </c>
      <c r="I64" s="95" t="s">
        <v>405</v>
      </c>
    </row>
    <row r="65" spans="1:26" ht="14.4" thickBot="1" x14ac:dyDescent="0.3">
      <c r="B65" s="113" t="s">
        <v>296</v>
      </c>
      <c r="C65" s="113" t="s">
        <v>26</v>
      </c>
      <c r="D65" s="112" t="s">
        <v>36</v>
      </c>
      <c r="E65" s="155"/>
      <c r="F65" s="113"/>
      <c r="H65" s="113" t="s">
        <v>296</v>
      </c>
      <c r="I65" s="113"/>
    </row>
    <row r="66" spans="1:26" ht="14.4" thickBot="1" x14ac:dyDescent="0.3">
      <c r="B66" s="113" t="s">
        <v>229</v>
      </c>
      <c r="C66" s="113"/>
      <c r="D66" s="113"/>
      <c r="E66" s="155"/>
      <c r="F66" s="112"/>
      <c r="H66" s="113" t="s">
        <v>229</v>
      </c>
      <c r="I66" s="113"/>
    </row>
    <row r="67" spans="1:26" x14ac:dyDescent="0.25">
      <c r="B67" s="45" t="str">
        <f>N9</f>
        <v>TER_TP_AP_E01</v>
      </c>
      <c r="C67" s="45" t="str">
        <f>O9</f>
        <v>Private (Commercial)Other Appliances (E)</v>
      </c>
      <c r="E67" s="229" t="str">
        <f>Commodities!$Z$22</f>
        <v>TER_TP_AP</v>
      </c>
      <c r="F67" s="290">
        <v>1</v>
      </c>
      <c r="H67" s="229" t="str">
        <f>B67</f>
        <v>TER_TP_AP_E01</v>
      </c>
      <c r="I67" s="290">
        <f>IF(F67*Stk_Mult&gt;1,1,F67*Stk_Mult)</f>
        <v>1</v>
      </c>
    </row>
    <row r="68" spans="1:26" x14ac:dyDescent="0.25">
      <c r="B68" s="45" t="str">
        <f>N10</f>
        <v>TER_TS_AP_E01</v>
      </c>
      <c r="C68" s="45" t="str">
        <f>O10</f>
        <v>Services (Public) Other Appliances (E)</v>
      </c>
      <c r="E68" s="209" t="str">
        <f>Commodities!$Z$23</f>
        <v>TER_TS_AP</v>
      </c>
      <c r="F68" s="290">
        <v>1</v>
      </c>
      <c r="H68" s="209" t="str">
        <f>B68</f>
        <v>TER_TS_AP_E01</v>
      </c>
      <c r="I68" s="290">
        <f>IF(F68*Stk_Mult&gt;1,1,F68*Stk_Mult)</f>
        <v>1</v>
      </c>
    </row>
    <row r="70" spans="1:26" ht="13.8" x14ac:dyDescent="0.25">
      <c r="E70" s="92" t="s">
        <v>295</v>
      </c>
    </row>
    <row r="71" spans="1:26" ht="13.8" x14ac:dyDescent="0.25">
      <c r="B71" s="95" t="s">
        <v>1</v>
      </c>
      <c r="C71" s="95" t="s">
        <v>42</v>
      </c>
      <c r="D71" s="95" t="s">
        <v>7</v>
      </c>
      <c r="E71" s="95" t="s">
        <v>0</v>
      </c>
      <c r="F71" s="95" t="s">
        <v>405</v>
      </c>
    </row>
    <row r="72" spans="1:26" ht="14.4" thickBot="1" x14ac:dyDescent="0.3">
      <c r="B72" s="113" t="s">
        <v>296</v>
      </c>
      <c r="C72" s="113" t="s">
        <v>26</v>
      </c>
      <c r="D72" s="112" t="s">
        <v>36</v>
      </c>
      <c r="E72" s="155"/>
      <c r="F72" s="113"/>
      <c r="Y72" s="6"/>
      <c r="Z72" s="6"/>
    </row>
    <row r="73" spans="1:26" ht="14.4" thickBot="1" x14ac:dyDescent="0.3">
      <c r="B73" s="113" t="s">
        <v>229</v>
      </c>
      <c r="C73" s="113"/>
      <c r="D73" s="113"/>
      <c r="E73" s="155"/>
      <c r="F73" s="112"/>
    </row>
    <row r="74" spans="1:26" x14ac:dyDescent="0.25">
      <c r="B74" s="45" t="str">
        <f>N9</f>
        <v>TER_TP_AP_E01</v>
      </c>
      <c r="C74" s="45" t="str">
        <f>O9</f>
        <v>Private (Commercial)Other Appliances (E)</v>
      </c>
      <c r="E74" s="229" t="str">
        <f>Commodities!$Z$22</f>
        <v>TER_TP_AP</v>
      </c>
      <c r="F74" s="305">
        <v>15</v>
      </c>
    </row>
    <row r="75" spans="1:26" x14ac:dyDescent="0.25">
      <c r="B75" s="45" t="str">
        <f>N10</f>
        <v>TER_TS_AP_E01</v>
      </c>
      <c r="C75" s="45" t="str">
        <f>O10</f>
        <v>Services (Public) Other Appliances (E)</v>
      </c>
      <c r="E75" s="209" t="str">
        <f>Commodities!$Z$23</f>
        <v>TER_TS_AP</v>
      </c>
      <c r="F75" s="305">
        <v>15</v>
      </c>
    </row>
    <row r="77" spans="1:26" ht="17.399999999999999" x14ac:dyDescent="0.3">
      <c r="A77" s="93" t="s">
        <v>324</v>
      </c>
      <c r="B77" s="93"/>
      <c r="C77" s="93"/>
      <c r="D77" s="93"/>
      <c r="E77" s="93"/>
      <c r="F77" s="93"/>
      <c r="G77" s="93"/>
      <c r="H77" s="93"/>
      <c r="I77" s="93"/>
      <c r="J77" s="93"/>
    </row>
    <row r="78" spans="1:26" ht="13.8" x14ac:dyDescent="0.25">
      <c r="A78" s="92"/>
      <c r="F78" s="190">
        <v>3</v>
      </c>
    </row>
    <row r="79" spans="1:26" ht="13.8" x14ac:dyDescent="0.25">
      <c r="E79" s="92" t="s">
        <v>291</v>
      </c>
      <c r="H79" s="193" t="s">
        <v>585</v>
      </c>
      <c r="I79" s="193"/>
      <c r="J79" s="193"/>
    </row>
    <row r="80" spans="1:26" ht="13.8" x14ac:dyDescent="0.25">
      <c r="B80" s="95" t="s">
        <v>1</v>
      </c>
      <c r="C80" s="192" t="s">
        <v>42</v>
      </c>
      <c r="D80" s="95" t="s">
        <v>7</v>
      </c>
      <c r="E80" s="192" t="s">
        <v>8</v>
      </c>
      <c r="F80" s="143" t="s">
        <v>405</v>
      </c>
      <c r="H80" s="195"/>
      <c r="I80" s="297"/>
      <c r="J80" s="294"/>
    </row>
    <row r="81" spans="1:27" ht="14.4" thickBot="1" x14ac:dyDescent="0.3">
      <c r="B81" s="113" t="s">
        <v>296</v>
      </c>
      <c r="C81" s="155" t="s">
        <v>26</v>
      </c>
      <c r="D81" s="112" t="s">
        <v>36</v>
      </c>
      <c r="E81" s="155" t="s">
        <v>37</v>
      </c>
      <c r="F81" s="113"/>
      <c r="H81" s="195" t="s">
        <v>300</v>
      </c>
      <c r="I81" s="297" t="s">
        <v>301</v>
      </c>
      <c r="J81" s="294" t="s">
        <v>298</v>
      </c>
    </row>
    <row r="82" spans="1:27" ht="14.4" thickBot="1" x14ac:dyDescent="0.3">
      <c r="A82" s="207"/>
      <c r="B82" s="197" t="s">
        <v>229</v>
      </c>
      <c r="C82" s="198"/>
      <c r="D82" s="197"/>
      <c r="E82" s="296"/>
      <c r="F82" s="199" t="str">
        <f>General!$D$18</f>
        <v>000s_Units</v>
      </c>
      <c r="G82" s="207"/>
      <c r="H82" s="199" t="str">
        <f>General!$B$2</f>
        <v>PJ</v>
      </c>
      <c r="I82" s="199" t="str">
        <f>General!$B$2</f>
        <v>PJ</v>
      </c>
      <c r="J82" s="199"/>
      <c r="K82" s="207"/>
    </row>
    <row r="83" spans="1:27" x14ac:dyDescent="0.25">
      <c r="B83" s="45" t="str">
        <f>N11</f>
        <v>TER_TP_LI_E01</v>
      </c>
      <c r="C83" s="45" t="str">
        <f>O11</f>
        <v>Private (Commercial) Lights (E)</v>
      </c>
      <c r="D83" s="45" t="str">
        <f>Commodities!$D$49</f>
        <v>TERELC</v>
      </c>
      <c r="E83" s="209" t="str">
        <f>Commodities!$Z$18</f>
        <v>TER_TP_LI</v>
      </c>
      <c r="F83" s="305">
        <f>VLOOKUP(LEFT($B83,6),TER_Stock!$C$16:$E$17,F$78,FALSE)*0.1</f>
        <v>4500</v>
      </c>
      <c r="H83" s="306">
        <f>F83*F91</f>
        <v>2.7321717024000001</v>
      </c>
      <c r="I83" s="290">
        <f>VLOOKUP(LEFT($B83,9),COM_En_Balance!$C$36:$S$54,MATCH($D83,COM_En_Balance!$D$36:$S$36,0)+1,FALSE)</f>
        <v>2.7321717024000001</v>
      </c>
      <c r="J83" s="290">
        <f>SUM(H83:H83)-SUM(I83:I83)</f>
        <v>0</v>
      </c>
    </row>
    <row r="84" spans="1:27" x14ac:dyDescent="0.25">
      <c r="B84" s="173" t="str">
        <f>N12</f>
        <v>TER_TS_LI_E01</v>
      </c>
      <c r="C84" s="173" t="str">
        <f>O12</f>
        <v>Services (Public) Lights (E)</v>
      </c>
      <c r="D84" s="45" t="str">
        <f>Commodities!$D$49</f>
        <v>TERELC</v>
      </c>
      <c r="E84" s="209" t="str">
        <f>Commodities!$Z$19</f>
        <v>TER_TS_LI</v>
      </c>
      <c r="F84" s="305">
        <f>VLOOKUP(LEFT($B84,6),TER_Stock!$C$16:$E$17,F$78,FALSE)*0.1</f>
        <v>5500</v>
      </c>
      <c r="H84" s="306">
        <f>F84*F92</f>
        <v>3.5127921887999993</v>
      </c>
      <c r="I84" s="290">
        <f>VLOOKUP(LEFT($B84,9),COM_En_Balance!$C$36:$S$54,MATCH($D84,COM_En_Balance!$D$36:$S$36,0)+1,FALSE)</f>
        <v>3.5127921887999993</v>
      </c>
      <c r="J84" s="290">
        <f>SUM(H84:H84)-SUM(I84:I84)</f>
        <v>0</v>
      </c>
    </row>
    <row r="85" spans="1:27" x14ac:dyDescent="0.25">
      <c r="Q85" s="140"/>
      <c r="R85" s="140"/>
      <c r="S85" s="140"/>
      <c r="T85" s="140"/>
    </row>
    <row r="86" spans="1:27" x14ac:dyDescent="0.25">
      <c r="A86" s="173"/>
      <c r="B86" s="173"/>
      <c r="C86" s="173"/>
      <c r="D86" s="173"/>
      <c r="E86" s="173"/>
      <c r="F86" s="307"/>
      <c r="G86" s="173"/>
      <c r="H86" s="45" t="s">
        <v>474</v>
      </c>
      <c r="I86" s="45" t="s">
        <v>475</v>
      </c>
      <c r="J86" s="309"/>
      <c r="K86" s="309"/>
      <c r="L86" s="309"/>
      <c r="M86" s="184"/>
      <c r="T86" s="140"/>
      <c r="U86" s="140"/>
      <c r="V86" s="140"/>
    </row>
    <row r="87" spans="1:27" ht="13.8" x14ac:dyDescent="0.25">
      <c r="E87" s="92" t="s">
        <v>279</v>
      </c>
      <c r="U87" s="140"/>
      <c r="V87" s="140"/>
      <c r="W87" s="140"/>
      <c r="X87" s="140"/>
      <c r="Y87" s="140"/>
    </row>
    <row r="88" spans="1:27" ht="13.8" x14ac:dyDescent="0.25">
      <c r="B88" s="95" t="s">
        <v>1</v>
      </c>
      <c r="C88" s="95" t="s">
        <v>42</v>
      </c>
      <c r="D88" s="95" t="s">
        <v>7</v>
      </c>
      <c r="E88" s="95" t="s">
        <v>0</v>
      </c>
      <c r="F88" s="95" t="s">
        <v>405</v>
      </c>
      <c r="U88" s="140"/>
      <c r="V88" s="140"/>
      <c r="W88" s="140"/>
      <c r="X88" s="140"/>
      <c r="Y88" s="140"/>
    </row>
    <row r="89" spans="1:27" ht="14.4" thickBot="1" x14ac:dyDescent="0.3">
      <c r="B89" s="113" t="s">
        <v>296</v>
      </c>
      <c r="C89" s="113" t="s">
        <v>26</v>
      </c>
      <c r="D89" s="112" t="s">
        <v>36</v>
      </c>
      <c r="E89" s="155" t="s">
        <v>37</v>
      </c>
      <c r="F89" s="113"/>
      <c r="H89" s="226"/>
      <c r="U89" s="140"/>
      <c r="V89" s="140"/>
      <c r="W89" s="140"/>
      <c r="X89" s="140"/>
      <c r="Y89" s="140"/>
    </row>
    <row r="90" spans="1:27" ht="14.4" thickBot="1" x14ac:dyDescent="0.3">
      <c r="B90" s="113" t="s">
        <v>229</v>
      </c>
      <c r="C90" s="113"/>
      <c r="D90" s="113"/>
      <c r="E90" s="155"/>
      <c r="F90" s="205" t="str">
        <f>General!$D$19</f>
        <v>TJ/unit</v>
      </c>
      <c r="U90" s="140"/>
      <c r="V90" s="140"/>
      <c r="W90" s="140"/>
      <c r="X90" s="140"/>
      <c r="Y90" s="140"/>
      <c r="AA90" s="207"/>
    </row>
    <row r="91" spans="1:27" x14ac:dyDescent="0.25">
      <c r="B91" s="45" t="str">
        <f>N11</f>
        <v>TER_TP_LI_E01</v>
      </c>
      <c r="C91" s="45" t="str">
        <f>O11</f>
        <v>Private (Commercial) Lights (E)</v>
      </c>
      <c r="D91" s="45" t="str">
        <f>Commodities!$D$49</f>
        <v>TERELC</v>
      </c>
      <c r="E91" s="209"/>
      <c r="F91" s="310">
        <f>I83/F83</f>
        <v>6.0714926720000005E-4</v>
      </c>
      <c r="H91" s="226" t="s">
        <v>478</v>
      </c>
      <c r="I91" s="45">
        <v>6.9999999999999999E-4</v>
      </c>
      <c r="J91" s="45">
        <v>8.9999999999999998E-4</v>
      </c>
      <c r="U91" s="140"/>
      <c r="V91" s="140"/>
      <c r="W91" s="140"/>
      <c r="X91" s="140"/>
      <c r="Y91" s="140"/>
    </row>
    <row r="92" spans="1:27" x14ac:dyDescent="0.25">
      <c r="B92" s="173" t="str">
        <f>N12</f>
        <v>TER_TS_LI_E01</v>
      </c>
      <c r="C92" s="173" t="str">
        <f>O12</f>
        <v>Services (Public) Lights (E)</v>
      </c>
      <c r="D92" s="45" t="str">
        <f>Commodities!$D$49</f>
        <v>TERELC</v>
      </c>
      <c r="E92" s="209"/>
      <c r="F92" s="310">
        <f>I84/F84</f>
        <v>6.3868948887272714E-4</v>
      </c>
      <c r="H92" s="226"/>
      <c r="U92" s="140"/>
      <c r="V92" s="140"/>
      <c r="W92" s="140"/>
      <c r="X92" s="140"/>
      <c r="Y92" s="140"/>
    </row>
    <row r="93" spans="1:27" x14ac:dyDescent="0.25">
      <c r="U93" s="140"/>
      <c r="V93" s="140"/>
      <c r="W93" s="140"/>
      <c r="X93" s="140"/>
      <c r="Y93" s="140"/>
    </row>
    <row r="94" spans="1:27" x14ac:dyDescent="0.25">
      <c r="U94" s="140"/>
      <c r="V94" s="140"/>
      <c r="W94" s="140"/>
      <c r="X94" s="140"/>
      <c r="Y94" s="140"/>
    </row>
    <row r="95" spans="1:27" ht="13.8" x14ac:dyDescent="0.25">
      <c r="E95" s="92" t="s">
        <v>293</v>
      </c>
      <c r="U95" s="140"/>
      <c r="V95" s="140"/>
      <c r="W95" s="140"/>
      <c r="X95" s="140"/>
      <c r="Y95" s="140"/>
    </row>
    <row r="96" spans="1:27" ht="13.8" x14ac:dyDescent="0.25">
      <c r="B96" s="95" t="s">
        <v>1</v>
      </c>
      <c r="C96" s="95" t="s">
        <v>42</v>
      </c>
      <c r="D96" s="95" t="s">
        <v>7</v>
      </c>
      <c r="E96" s="95" t="s">
        <v>0</v>
      </c>
      <c r="F96" s="95" t="s">
        <v>405</v>
      </c>
      <c r="U96" s="140"/>
      <c r="V96" s="140"/>
      <c r="W96" s="140"/>
      <c r="X96" s="140"/>
      <c r="Y96" s="140"/>
    </row>
    <row r="97" spans="2:25" ht="14.4" thickBot="1" x14ac:dyDescent="0.3">
      <c r="B97" s="113" t="s">
        <v>296</v>
      </c>
      <c r="C97" s="113" t="s">
        <v>26</v>
      </c>
      <c r="D97" s="112" t="s">
        <v>36</v>
      </c>
      <c r="E97" s="155"/>
      <c r="F97" s="113"/>
      <c r="U97" s="140"/>
      <c r="V97" s="140"/>
      <c r="W97" s="140"/>
      <c r="X97" s="140"/>
      <c r="Y97" s="140"/>
    </row>
    <row r="98" spans="2:25" ht="14.4" thickBot="1" x14ac:dyDescent="0.3">
      <c r="B98" s="113" t="s">
        <v>229</v>
      </c>
      <c r="C98" s="113"/>
      <c r="D98" s="113"/>
      <c r="E98" s="155"/>
      <c r="F98" s="112"/>
      <c r="U98" s="140"/>
      <c r="V98" s="140"/>
      <c r="W98" s="140"/>
      <c r="X98" s="140"/>
      <c r="Y98" s="140"/>
    </row>
    <row r="99" spans="2:25" x14ac:dyDescent="0.25">
      <c r="B99" s="45" t="str">
        <f>N11</f>
        <v>TER_TP_LI_E01</v>
      </c>
      <c r="C99" s="45" t="str">
        <f>O11</f>
        <v>Private (Commercial) Lights (E)</v>
      </c>
      <c r="E99" s="209" t="str">
        <f>Commodities!$Z$18</f>
        <v>TER_TP_LI</v>
      </c>
      <c r="F99" s="290">
        <v>1.7050000000000001</v>
      </c>
      <c r="H99" s="45" t="s">
        <v>579</v>
      </c>
      <c r="U99" s="140"/>
      <c r="V99" s="140"/>
      <c r="W99" s="140"/>
      <c r="X99" s="140"/>
      <c r="Y99" s="140"/>
    </row>
    <row r="100" spans="2:25" x14ac:dyDescent="0.25">
      <c r="B100" s="173" t="str">
        <f>N12</f>
        <v>TER_TS_LI_E01</v>
      </c>
      <c r="C100" s="173" t="str">
        <f>O12</f>
        <v>Services (Public) Lights (E)</v>
      </c>
      <c r="E100" s="209" t="str">
        <f>Commodities!$Z$19</f>
        <v>TER_TS_LI</v>
      </c>
      <c r="F100" s="290">
        <v>1.7050000000000001</v>
      </c>
      <c r="H100" s="45" t="s">
        <v>579</v>
      </c>
      <c r="U100" s="140"/>
      <c r="V100" s="140"/>
      <c r="W100" s="140"/>
      <c r="X100" s="140"/>
      <c r="Y100" s="140"/>
    </row>
    <row r="101" spans="2:25" x14ac:dyDescent="0.25">
      <c r="U101" s="140"/>
      <c r="V101" s="140"/>
      <c r="W101" s="140"/>
      <c r="X101" s="140"/>
      <c r="Y101" s="140"/>
    </row>
    <row r="102" spans="2:25" x14ac:dyDescent="0.25">
      <c r="U102" s="140"/>
      <c r="V102" s="140"/>
      <c r="W102" s="140"/>
      <c r="X102" s="140"/>
      <c r="Y102" s="140"/>
    </row>
    <row r="103" spans="2:25" ht="13.8" x14ac:dyDescent="0.25">
      <c r="E103" s="92" t="s">
        <v>294</v>
      </c>
      <c r="H103" s="92" t="s">
        <v>578</v>
      </c>
      <c r="I103" s="92"/>
      <c r="T103" s="140"/>
      <c r="U103" s="140"/>
      <c r="V103" s="140"/>
    </row>
    <row r="104" spans="2:25" ht="13.8" x14ac:dyDescent="0.25">
      <c r="B104" s="95" t="s">
        <v>1</v>
      </c>
      <c r="C104" s="95" t="s">
        <v>42</v>
      </c>
      <c r="D104" s="95" t="s">
        <v>7</v>
      </c>
      <c r="E104" s="95" t="s">
        <v>0</v>
      </c>
      <c r="F104" s="95" t="s">
        <v>405</v>
      </c>
      <c r="H104" s="95" t="s">
        <v>1</v>
      </c>
      <c r="I104" s="95" t="s">
        <v>405</v>
      </c>
      <c r="T104" s="140"/>
      <c r="U104" s="140"/>
      <c r="V104" s="140"/>
    </row>
    <row r="105" spans="2:25" ht="14.4" thickBot="1" x14ac:dyDescent="0.3">
      <c r="B105" s="113" t="s">
        <v>296</v>
      </c>
      <c r="C105" s="113" t="s">
        <v>26</v>
      </c>
      <c r="D105" s="112" t="s">
        <v>36</v>
      </c>
      <c r="E105" s="155"/>
      <c r="F105" s="113"/>
      <c r="H105" s="113" t="s">
        <v>296</v>
      </c>
      <c r="I105" s="113"/>
      <c r="T105" s="140"/>
      <c r="U105" s="140"/>
      <c r="V105" s="140"/>
    </row>
    <row r="106" spans="2:25" ht="14.4" thickBot="1" x14ac:dyDescent="0.3">
      <c r="B106" s="113" t="s">
        <v>229</v>
      </c>
      <c r="C106" s="113"/>
      <c r="D106" s="113"/>
      <c r="E106" s="155"/>
      <c r="F106" s="112"/>
      <c r="H106" s="113" t="s">
        <v>229</v>
      </c>
      <c r="I106" s="113"/>
      <c r="T106" s="140"/>
      <c r="U106" s="140"/>
      <c r="V106" s="140"/>
    </row>
    <row r="107" spans="2:25" x14ac:dyDescent="0.25">
      <c r="B107" s="45" t="str">
        <f>N11</f>
        <v>TER_TP_LI_E01</v>
      </c>
      <c r="C107" s="45" t="str">
        <f>O11</f>
        <v>Private (Commercial) Lights (E)</v>
      </c>
      <c r="E107" s="209" t="str">
        <f>Commodities!$Z$18</f>
        <v>TER_TP_LI</v>
      </c>
      <c r="F107" s="290">
        <v>1</v>
      </c>
      <c r="H107" s="229" t="str">
        <f>B107</f>
        <v>TER_TP_LI_E01</v>
      </c>
      <c r="I107" s="290">
        <f>IF(F107*Stk_Mult&gt;1,1,F107*Stk_Mult)</f>
        <v>1</v>
      </c>
      <c r="T107" s="140"/>
      <c r="U107" s="140"/>
      <c r="V107" s="140"/>
    </row>
    <row r="108" spans="2:25" x14ac:dyDescent="0.25">
      <c r="B108" s="173" t="str">
        <f>N12</f>
        <v>TER_TS_LI_E01</v>
      </c>
      <c r="C108" s="173" t="str">
        <f>O12</f>
        <v>Services (Public) Lights (E)</v>
      </c>
      <c r="E108" s="209" t="str">
        <f>Commodities!$Z$19</f>
        <v>TER_TS_LI</v>
      </c>
      <c r="F108" s="290">
        <v>1</v>
      </c>
      <c r="H108" s="209" t="str">
        <f>B108</f>
        <v>TER_TS_LI_E01</v>
      </c>
      <c r="I108" s="290">
        <f>IF(F108*Stk_Mult&gt;1,1,F108*Stk_Mult)</f>
        <v>1</v>
      </c>
      <c r="T108" s="140"/>
      <c r="U108" s="140"/>
      <c r="V108" s="140"/>
    </row>
    <row r="109" spans="2:25" x14ac:dyDescent="0.25">
      <c r="T109" s="140"/>
      <c r="U109" s="140"/>
      <c r="V109" s="140"/>
    </row>
    <row r="110" spans="2:25" x14ac:dyDescent="0.25">
      <c r="T110" s="140"/>
      <c r="U110" s="140"/>
      <c r="V110" s="140"/>
    </row>
    <row r="111" spans="2:25" ht="13.8" x14ac:dyDescent="0.25">
      <c r="E111" s="92" t="s">
        <v>295</v>
      </c>
      <c r="U111" s="140"/>
      <c r="V111" s="140"/>
      <c r="W111" s="140"/>
      <c r="X111" s="140"/>
      <c r="Y111" s="140"/>
    </row>
    <row r="112" spans="2:25" ht="13.8" x14ac:dyDescent="0.25">
      <c r="B112" s="95" t="s">
        <v>1</v>
      </c>
      <c r="C112" s="95" t="s">
        <v>42</v>
      </c>
      <c r="D112" s="95" t="s">
        <v>7</v>
      </c>
      <c r="E112" s="95" t="s">
        <v>0</v>
      </c>
      <c r="F112" s="95" t="s">
        <v>405</v>
      </c>
      <c r="U112" s="140"/>
      <c r="V112" s="140"/>
      <c r="W112" s="140"/>
      <c r="X112" s="140"/>
      <c r="Y112" s="140"/>
    </row>
    <row r="113" spans="1:25" ht="14.4" thickBot="1" x14ac:dyDescent="0.3">
      <c r="B113" s="113" t="s">
        <v>296</v>
      </c>
      <c r="C113" s="113" t="s">
        <v>26</v>
      </c>
      <c r="D113" s="112" t="s">
        <v>36</v>
      </c>
      <c r="E113" s="155"/>
      <c r="F113" s="113"/>
      <c r="U113" s="140"/>
      <c r="V113" s="140"/>
      <c r="W113" s="140"/>
      <c r="X113" s="140"/>
      <c r="Y113" s="140"/>
    </row>
    <row r="114" spans="1:25" ht="14.4" thickBot="1" x14ac:dyDescent="0.3">
      <c r="B114" s="113" t="s">
        <v>229</v>
      </c>
      <c r="C114" s="113"/>
      <c r="D114" s="113"/>
      <c r="E114" s="155"/>
      <c r="F114" s="112"/>
      <c r="U114" s="140"/>
      <c r="V114" s="140"/>
      <c r="W114" s="140"/>
      <c r="X114" s="140"/>
      <c r="Y114" s="140"/>
    </row>
    <row r="115" spans="1:25" x14ac:dyDescent="0.25">
      <c r="B115" s="45" t="str">
        <f>N11</f>
        <v>TER_TP_LI_E01</v>
      </c>
      <c r="C115" s="45" t="str">
        <f>O11</f>
        <v>Private (Commercial) Lights (E)</v>
      </c>
      <c r="E115" s="209" t="str">
        <f>Commodities!$Z$18</f>
        <v>TER_TP_LI</v>
      </c>
      <c r="F115" s="290">
        <v>15</v>
      </c>
      <c r="U115" s="140"/>
      <c r="V115" s="140"/>
      <c r="W115" s="140"/>
      <c r="X115" s="140"/>
      <c r="Y115" s="140"/>
    </row>
    <row r="116" spans="1:25" x14ac:dyDescent="0.25">
      <c r="B116" s="173" t="str">
        <f>N12</f>
        <v>TER_TS_LI_E01</v>
      </c>
      <c r="C116" s="173" t="str">
        <f>O12</f>
        <v>Services (Public) Lights (E)</v>
      </c>
      <c r="E116" s="209" t="str">
        <f>Commodities!$Z$19</f>
        <v>TER_TS_LI</v>
      </c>
      <c r="F116" s="290">
        <v>15</v>
      </c>
      <c r="U116" s="140"/>
      <c r="V116" s="140"/>
      <c r="W116" s="140"/>
      <c r="X116" s="140"/>
      <c r="Y116" s="140"/>
    </row>
    <row r="117" spans="1:25" x14ac:dyDescent="0.25">
      <c r="U117" s="140"/>
      <c r="V117" s="140"/>
      <c r="W117" s="140"/>
      <c r="X117" s="140"/>
      <c r="Y117" s="140"/>
    </row>
    <row r="118" spans="1:25" x14ac:dyDescent="0.25">
      <c r="U118" s="140"/>
      <c r="V118" s="140"/>
      <c r="W118" s="140"/>
      <c r="X118" s="140"/>
      <c r="Y118" s="140"/>
    </row>
    <row r="119" spans="1:25" ht="13.8" x14ac:dyDescent="0.25">
      <c r="E119" s="92" t="s">
        <v>336</v>
      </c>
      <c r="U119" s="140"/>
      <c r="V119" s="140"/>
      <c r="W119" s="140"/>
      <c r="X119" s="140"/>
      <c r="Y119" s="140"/>
    </row>
    <row r="120" spans="1:25" ht="13.8" x14ac:dyDescent="0.25">
      <c r="B120" s="95" t="s">
        <v>1</v>
      </c>
      <c r="C120" s="95" t="s">
        <v>42</v>
      </c>
      <c r="D120" s="95" t="s">
        <v>7</v>
      </c>
      <c r="E120" s="95" t="s">
        <v>0</v>
      </c>
      <c r="F120" s="143" t="s">
        <v>405</v>
      </c>
      <c r="U120" s="140"/>
      <c r="V120" s="140"/>
      <c r="W120" s="140"/>
      <c r="X120" s="140"/>
    </row>
    <row r="121" spans="1:25" ht="14.4" thickBot="1" x14ac:dyDescent="0.3">
      <c r="B121" s="113" t="s">
        <v>296</v>
      </c>
      <c r="C121" s="113" t="s">
        <v>26</v>
      </c>
      <c r="D121" s="112" t="s">
        <v>36</v>
      </c>
      <c r="E121" s="155"/>
      <c r="F121" s="113"/>
      <c r="U121" s="140"/>
      <c r="V121" s="140"/>
      <c r="W121" s="140"/>
      <c r="X121" s="140"/>
    </row>
    <row r="122" spans="1:25" ht="14.4" thickBot="1" x14ac:dyDescent="0.3">
      <c r="B122" s="113" t="s">
        <v>229</v>
      </c>
      <c r="C122" s="113"/>
      <c r="D122" s="113"/>
      <c r="E122" s="155"/>
      <c r="F122" s="112"/>
      <c r="U122" s="140"/>
      <c r="V122" s="140"/>
      <c r="W122" s="140"/>
      <c r="X122" s="140"/>
    </row>
    <row r="123" spans="1:25" x14ac:dyDescent="0.25">
      <c r="B123" s="45" t="str">
        <f>N11</f>
        <v>TER_TP_LI_E01</v>
      </c>
      <c r="C123" s="45" t="str">
        <f>O11</f>
        <v>Private (Commercial) Lights (E)</v>
      </c>
      <c r="E123" s="209" t="str">
        <f>Commodities!$Z$18</f>
        <v>TER_TP_LI</v>
      </c>
      <c r="F123" s="290"/>
      <c r="U123" s="140"/>
      <c r="V123" s="140"/>
      <c r="W123" s="140"/>
      <c r="X123" s="140"/>
    </row>
    <row r="124" spans="1:25" x14ac:dyDescent="0.25">
      <c r="B124" s="45" t="str">
        <f>N12</f>
        <v>TER_TS_LI_E01</v>
      </c>
      <c r="C124" s="45" t="str">
        <f>O12</f>
        <v>Services (Public) Lights (E)</v>
      </c>
      <c r="E124" s="209" t="str">
        <f>Commodities!$Z$19</f>
        <v>TER_TS_LI</v>
      </c>
      <c r="F124" s="290"/>
      <c r="U124" s="140"/>
      <c r="V124" s="140"/>
      <c r="W124" s="140"/>
      <c r="X124" s="140"/>
    </row>
    <row r="125" spans="1:25" x14ac:dyDescent="0.25">
      <c r="Y125" s="140"/>
    </row>
    <row r="126" spans="1:25" x14ac:dyDescent="0.25">
      <c r="Y126" s="140"/>
    </row>
    <row r="127" spans="1:25" ht="17.399999999999999" x14ac:dyDescent="0.3">
      <c r="A127" s="93" t="s">
        <v>325</v>
      </c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Y127" s="140"/>
    </row>
    <row r="128" spans="1:25" x14ac:dyDescent="0.25">
      <c r="V128" s="140"/>
    </row>
    <row r="129" spans="1:25" ht="13.8" x14ac:dyDescent="0.25">
      <c r="E129" s="92" t="s">
        <v>291</v>
      </c>
      <c r="H129" s="193" t="s">
        <v>585</v>
      </c>
      <c r="I129" s="193"/>
      <c r="J129" s="193"/>
    </row>
    <row r="130" spans="1:25" ht="13.8" x14ac:dyDescent="0.25">
      <c r="B130" s="95" t="s">
        <v>1</v>
      </c>
      <c r="C130" s="192" t="s">
        <v>42</v>
      </c>
      <c r="D130" s="95" t="s">
        <v>7</v>
      </c>
      <c r="E130" s="192" t="s">
        <v>8</v>
      </c>
      <c r="F130" s="143" t="s">
        <v>405</v>
      </c>
      <c r="H130" s="195" t="s">
        <v>300</v>
      </c>
      <c r="I130" s="195" t="s">
        <v>301</v>
      </c>
      <c r="J130" s="294" t="s">
        <v>298</v>
      </c>
    </row>
    <row r="131" spans="1:25" ht="14.4" thickBot="1" x14ac:dyDescent="0.3">
      <c r="B131" s="113" t="s">
        <v>296</v>
      </c>
      <c r="C131" s="155" t="s">
        <v>26</v>
      </c>
      <c r="D131" s="112" t="s">
        <v>36</v>
      </c>
      <c r="E131" s="155" t="s">
        <v>37</v>
      </c>
      <c r="F131" s="113"/>
      <c r="H131" s="143" t="s">
        <v>405</v>
      </c>
      <c r="I131" s="143" t="s">
        <v>405</v>
      </c>
      <c r="J131" s="295"/>
    </row>
    <row r="132" spans="1:25" ht="14.4" thickBot="1" x14ac:dyDescent="0.3">
      <c r="A132" s="207"/>
      <c r="B132" s="197" t="s">
        <v>229</v>
      </c>
      <c r="C132" s="198"/>
      <c r="D132" s="197"/>
      <c r="E132" s="296"/>
      <c r="F132" s="199" t="str">
        <f>General!$D$18</f>
        <v>000s_Units</v>
      </c>
      <c r="G132" s="207"/>
      <c r="H132" s="199" t="str">
        <f>General!$B$2</f>
        <v>PJ</v>
      </c>
      <c r="I132" s="199" t="str">
        <f>General!$B$2</f>
        <v>PJ</v>
      </c>
      <c r="J132" s="298"/>
      <c r="K132" s="207"/>
      <c r="Q132" s="140"/>
      <c r="R132" s="140"/>
      <c r="S132" s="140"/>
      <c r="T132" s="140"/>
    </row>
    <row r="133" spans="1:25" x14ac:dyDescent="0.25">
      <c r="B133" s="173" t="str">
        <f>N13</f>
        <v>TER_SL_LI_E01</v>
      </c>
      <c r="C133" s="173" t="str">
        <f>O13</f>
        <v>Street Lighting (E)</v>
      </c>
      <c r="D133" s="45" t="str">
        <f>Commodities!$D$49</f>
        <v>TERELC</v>
      </c>
      <c r="E133" s="209" t="str">
        <f>Commodities!$Z$9</f>
        <v>TER_SL</v>
      </c>
      <c r="F133" s="305">
        <v>1700</v>
      </c>
      <c r="G133" s="173"/>
      <c r="H133" s="306">
        <f>SUMPRODUCT(F133:F133,F139:F139)</f>
        <v>3.5127921887999993</v>
      </c>
      <c r="I133" s="290">
        <f>VLOOKUP(LEFT($B133,6),COM_En_Balance!$C$36:$S$55,MATCH($D133,COM_En_Balance!$D$36:$S$36,0)+1,FALSE)</f>
        <v>3.5127921887999993</v>
      </c>
      <c r="J133" s="141">
        <f>SUM(H133:H133)-SUM(I133:I133)</f>
        <v>0</v>
      </c>
      <c r="Q133" s="140"/>
      <c r="R133" s="140"/>
      <c r="S133" s="140"/>
      <c r="T133" s="140"/>
    </row>
    <row r="134" spans="1:25" x14ac:dyDescent="0.25">
      <c r="Q134" s="140"/>
      <c r="R134" s="140"/>
      <c r="S134" s="140"/>
      <c r="T134" s="140"/>
    </row>
    <row r="135" spans="1:25" ht="13.8" x14ac:dyDescent="0.25">
      <c r="E135" s="92" t="s">
        <v>279</v>
      </c>
      <c r="Q135" s="140"/>
      <c r="R135" s="140"/>
      <c r="S135" s="140"/>
      <c r="T135" s="140"/>
    </row>
    <row r="136" spans="1:25" ht="13.8" x14ac:dyDescent="0.25">
      <c r="B136" s="95" t="s">
        <v>1</v>
      </c>
      <c r="C136" s="95" t="s">
        <v>42</v>
      </c>
      <c r="D136" s="95" t="s">
        <v>7</v>
      </c>
      <c r="E136" s="95" t="s">
        <v>0</v>
      </c>
      <c r="F136" s="95" t="s">
        <v>405</v>
      </c>
      <c r="U136" s="140"/>
      <c r="V136" s="140"/>
      <c r="W136" s="140"/>
      <c r="X136" s="140"/>
      <c r="Y136" s="140"/>
    </row>
    <row r="137" spans="1:25" ht="14.4" thickBot="1" x14ac:dyDescent="0.3">
      <c r="B137" s="113" t="s">
        <v>296</v>
      </c>
      <c r="C137" s="113" t="s">
        <v>26</v>
      </c>
      <c r="D137" s="112" t="s">
        <v>36</v>
      </c>
      <c r="E137" s="155" t="s">
        <v>37</v>
      </c>
      <c r="F137" s="113"/>
      <c r="H137" s="226"/>
      <c r="Y137" s="140"/>
    </row>
    <row r="138" spans="1:25" ht="14.4" thickBot="1" x14ac:dyDescent="0.3">
      <c r="B138" s="113" t="s">
        <v>229</v>
      </c>
      <c r="C138" s="113"/>
      <c r="D138" s="113"/>
      <c r="E138" s="155"/>
      <c r="F138" s="205" t="str">
        <f>General!$D$19</f>
        <v>TJ/unit</v>
      </c>
      <c r="U138" s="140"/>
      <c r="V138" s="140"/>
      <c r="W138" s="140"/>
      <c r="X138" s="140"/>
      <c r="Y138" s="140"/>
    </row>
    <row r="139" spans="1:25" x14ac:dyDescent="0.25">
      <c r="B139" s="45" t="str">
        <f>N13</f>
        <v>TER_SL_LI_E01</v>
      </c>
      <c r="C139" s="45" t="str">
        <f>O13</f>
        <v>Street Lighting (E)</v>
      </c>
      <c r="D139" s="173" t="str">
        <f>Commodities!$D$49</f>
        <v>TERELC</v>
      </c>
      <c r="E139" s="251"/>
      <c r="F139" s="311">
        <f>I133/F133</f>
        <v>2.0663483463529407E-3</v>
      </c>
      <c r="H139" s="226" t="s">
        <v>478</v>
      </c>
      <c r="I139" s="45">
        <v>1.5E-3</v>
      </c>
      <c r="J139" s="45">
        <v>3.0000000000000001E-3</v>
      </c>
      <c r="U139" s="140"/>
      <c r="V139" s="140"/>
      <c r="W139" s="140"/>
      <c r="X139" s="140"/>
      <c r="Y139" s="140"/>
    </row>
    <row r="140" spans="1:25" x14ac:dyDescent="0.25">
      <c r="U140" s="140"/>
      <c r="V140" s="140"/>
      <c r="W140" s="140"/>
      <c r="X140" s="140"/>
      <c r="Y140" s="140"/>
    </row>
    <row r="141" spans="1:25" ht="13.8" x14ac:dyDescent="0.25">
      <c r="E141" s="92" t="s">
        <v>293</v>
      </c>
      <c r="U141" s="140"/>
      <c r="V141" s="140"/>
      <c r="W141" s="140"/>
      <c r="X141" s="140"/>
    </row>
    <row r="142" spans="1:25" ht="13.8" x14ac:dyDescent="0.25">
      <c r="B142" s="95" t="s">
        <v>1</v>
      </c>
      <c r="C142" s="95" t="s">
        <v>42</v>
      </c>
      <c r="D142" s="95" t="s">
        <v>7</v>
      </c>
      <c r="E142" s="95" t="s">
        <v>0</v>
      </c>
      <c r="F142" s="95" t="s">
        <v>405</v>
      </c>
      <c r="U142" s="140"/>
      <c r="V142" s="140"/>
      <c r="W142" s="140"/>
      <c r="X142" s="140"/>
      <c r="Y142" s="140"/>
    </row>
    <row r="143" spans="1:25" ht="14.4" thickBot="1" x14ac:dyDescent="0.3">
      <c r="B143" s="113" t="s">
        <v>296</v>
      </c>
      <c r="C143" s="113" t="s">
        <v>26</v>
      </c>
      <c r="D143" s="112" t="s">
        <v>36</v>
      </c>
      <c r="E143" s="155"/>
      <c r="F143" s="113"/>
      <c r="Y143" s="140"/>
    </row>
    <row r="144" spans="1:25" ht="14.4" thickBot="1" x14ac:dyDescent="0.3">
      <c r="B144" s="113" t="s">
        <v>229</v>
      </c>
      <c r="C144" s="113"/>
      <c r="D144" s="113"/>
      <c r="E144" s="155"/>
      <c r="F144" s="112"/>
      <c r="U144" s="140"/>
      <c r="V144" s="140"/>
      <c r="W144" s="140"/>
      <c r="X144" s="140"/>
      <c r="Y144" s="140"/>
    </row>
    <row r="145" spans="2:25" x14ac:dyDescent="0.25">
      <c r="B145" s="45" t="str">
        <f>N13</f>
        <v>TER_SL_LI_E01</v>
      </c>
      <c r="C145" s="45" t="str">
        <f>O13</f>
        <v>Street Lighting (E)</v>
      </c>
      <c r="D145" s="173"/>
      <c r="E145" s="209" t="str">
        <f>Commodities!$Z$9</f>
        <v>TER_SL</v>
      </c>
      <c r="F145" s="183">
        <v>2.21</v>
      </c>
      <c r="H145" s="45" t="s">
        <v>579</v>
      </c>
      <c r="U145" s="140"/>
      <c r="V145" s="140"/>
      <c r="W145" s="140"/>
      <c r="X145" s="140"/>
      <c r="Y145" s="140"/>
    </row>
    <row r="146" spans="2:25" x14ac:dyDescent="0.25">
      <c r="U146" s="140"/>
      <c r="V146" s="140"/>
      <c r="W146" s="140"/>
      <c r="X146" s="140"/>
      <c r="Y146" s="140"/>
    </row>
    <row r="147" spans="2:25" ht="13.8" x14ac:dyDescent="0.25">
      <c r="E147" s="92" t="s">
        <v>294</v>
      </c>
      <c r="H147" s="92" t="s">
        <v>578</v>
      </c>
      <c r="I147" s="92"/>
      <c r="T147" s="140"/>
      <c r="U147" s="140"/>
    </row>
    <row r="148" spans="2:25" ht="13.8" x14ac:dyDescent="0.25">
      <c r="B148" s="95" t="s">
        <v>1</v>
      </c>
      <c r="C148" s="95" t="s">
        <v>42</v>
      </c>
      <c r="D148" s="95" t="s">
        <v>7</v>
      </c>
      <c r="E148" s="95" t="s">
        <v>0</v>
      </c>
      <c r="F148" s="95" t="s">
        <v>405</v>
      </c>
      <c r="H148" s="95" t="s">
        <v>1</v>
      </c>
      <c r="I148" s="95" t="s">
        <v>405</v>
      </c>
      <c r="T148" s="140"/>
      <c r="U148" s="140"/>
    </row>
    <row r="149" spans="2:25" ht="14.4" thickBot="1" x14ac:dyDescent="0.3">
      <c r="B149" s="113" t="s">
        <v>296</v>
      </c>
      <c r="C149" s="113" t="s">
        <v>26</v>
      </c>
      <c r="D149" s="112" t="s">
        <v>36</v>
      </c>
      <c r="E149" s="155"/>
      <c r="F149" s="113"/>
      <c r="H149" s="113" t="s">
        <v>296</v>
      </c>
      <c r="I149" s="113"/>
    </row>
    <row r="150" spans="2:25" ht="14.4" thickBot="1" x14ac:dyDescent="0.3">
      <c r="B150" s="113" t="s">
        <v>229</v>
      </c>
      <c r="C150" s="113"/>
      <c r="D150" s="113"/>
      <c r="E150" s="155"/>
      <c r="F150" s="112"/>
      <c r="H150" s="113" t="s">
        <v>229</v>
      </c>
      <c r="I150" s="113"/>
      <c r="T150" s="140"/>
      <c r="U150" s="140"/>
    </row>
    <row r="151" spans="2:25" x14ac:dyDescent="0.25">
      <c r="B151" s="45" t="str">
        <f>N13</f>
        <v>TER_SL_LI_E01</v>
      </c>
      <c r="C151" s="45" t="str">
        <f>O13</f>
        <v>Street Lighting (E)</v>
      </c>
      <c r="D151" s="173"/>
      <c r="E151" s="209" t="str">
        <f>Commodities!$Z$9</f>
        <v>TER_SL</v>
      </c>
      <c r="F151" s="307">
        <v>1</v>
      </c>
      <c r="H151" s="229" t="str">
        <f>B151</f>
        <v>TER_SL_LI_E01</v>
      </c>
      <c r="I151" s="290">
        <f>IF(F151*Stk_Mult&gt;1,1,F151*Stk_Mult)</f>
        <v>1</v>
      </c>
      <c r="T151" s="140"/>
      <c r="U151" s="140"/>
    </row>
    <row r="152" spans="2:25" x14ac:dyDescent="0.25">
      <c r="T152" s="140"/>
      <c r="U152" s="140"/>
    </row>
    <row r="153" spans="2:25" ht="13.8" x14ac:dyDescent="0.25">
      <c r="E153" s="92" t="s">
        <v>295</v>
      </c>
      <c r="U153" s="140"/>
      <c r="V153" s="140"/>
      <c r="W153" s="140"/>
      <c r="X153" s="140"/>
    </row>
    <row r="154" spans="2:25" ht="13.8" x14ac:dyDescent="0.25">
      <c r="B154" s="95" t="s">
        <v>1</v>
      </c>
      <c r="C154" s="95" t="s">
        <v>42</v>
      </c>
      <c r="D154" s="95" t="s">
        <v>7</v>
      </c>
      <c r="E154" s="95" t="s">
        <v>0</v>
      </c>
      <c r="F154" s="95" t="s">
        <v>405</v>
      </c>
      <c r="U154" s="140"/>
      <c r="V154" s="140"/>
      <c r="W154" s="140"/>
      <c r="X154" s="140"/>
    </row>
    <row r="155" spans="2:25" ht="14.4" thickBot="1" x14ac:dyDescent="0.3">
      <c r="B155" s="113" t="s">
        <v>296</v>
      </c>
      <c r="C155" s="113" t="s">
        <v>26</v>
      </c>
      <c r="D155" s="112" t="s">
        <v>36</v>
      </c>
      <c r="E155" s="155"/>
      <c r="F155" s="113"/>
    </row>
    <row r="156" spans="2:25" ht="14.4" thickBot="1" x14ac:dyDescent="0.3">
      <c r="B156" s="113" t="s">
        <v>229</v>
      </c>
      <c r="C156" s="113"/>
      <c r="D156" s="113"/>
      <c r="E156" s="155"/>
      <c r="F156" s="112"/>
    </row>
    <row r="157" spans="2:25" x14ac:dyDescent="0.25">
      <c r="B157" s="45" t="str">
        <f>N13</f>
        <v>TER_SL_LI_E01</v>
      </c>
      <c r="C157" s="45" t="str">
        <f>O13</f>
        <v>Street Lighting (E)</v>
      </c>
      <c r="D157" s="173"/>
      <c r="E157" s="209" t="str">
        <f>Commodities!$Z$9</f>
        <v>TER_SL</v>
      </c>
      <c r="F157" s="312">
        <v>15</v>
      </c>
    </row>
    <row r="160" spans="2:25" ht="14.4" x14ac:dyDescent="0.25">
      <c r="C160" s="19"/>
      <c r="D160" s="19"/>
      <c r="E160" s="92" t="s">
        <v>269</v>
      </c>
      <c r="F160" s="92"/>
    </row>
    <row r="161" spans="3:6" ht="13.8" x14ac:dyDescent="0.25">
      <c r="C161" s="95" t="s">
        <v>1</v>
      </c>
      <c r="D161" s="95" t="s">
        <v>0</v>
      </c>
      <c r="E161" s="299" t="s">
        <v>265</v>
      </c>
      <c r="F161" s="95" t="s">
        <v>405</v>
      </c>
    </row>
    <row r="162" spans="3:6" ht="14.4" thickBot="1" x14ac:dyDescent="0.3">
      <c r="C162" s="113" t="s">
        <v>296</v>
      </c>
      <c r="D162" s="112" t="s">
        <v>235</v>
      </c>
      <c r="E162" s="155"/>
      <c r="F162" s="199" t="str">
        <f>General!$D$18</f>
        <v>000s_Units</v>
      </c>
    </row>
    <row r="163" spans="3:6" ht="14.4" x14ac:dyDescent="0.25">
      <c r="C163" s="19"/>
      <c r="D163" s="209" t="str">
        <f>Commodities!$Z$9</f>
        <v>TER_SL</v>
      </c>
      <c r="E163" s="209">
        <f>BASE_YEAR</f>
        <v>2017</v>
      </c>
      <c r="F163" s="290">
        <f>F133</f>
        <v>1700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AJ46"/>
  <sheetViews>
    <sheetView zoomScale="55" zoomScaleNormal="55" workbookViewId="0">
      <selection sqref="A1:XFD1048576"/>
    </sheetView>
  </sheetViews>
  <sheetFormatPr defaultColWidth="9.109375" defaultRowHeight="13.8" x14ac:dyDescent="0.25"/>
  <cols>
    <col min="1" max="1" width="9.109375" style="6"/>
    <col min="2" max="2" width="15.6640625" style="6" customWidth="1"/>
    <col min="3" max="3" width="23.6640625" style="6" customWidth="1"/>
    <col min="4" max="4" width="92" style="6" bestFit="1" customWidth="1"/>
    <col min="5" max="5" width="19.88671875" style="6" customWidth="1"/>
    <col min="6" max="10" width="15.6640625" style="6" customWidth="1"/>
    <col min="11" max="12" width="8.6640625" style="6" customWidth="1"/>
    <col min="13" max="13" width="22.5546875" style="6" customWidth="1"/>
    <col min="14" max="14" width="14.33203125" style="6" bestFit="1" customWidth="1"/>
    <col min="15" max="15" width="23.109375" style="6" customWidth="1"/>
    <col min="16" max="16" width="92" style="6" bestFit="1" customWidth="1"/>
    <col min="17" max="21" width="16.88671875" style="6" customWidth="1"/>
    <col min="22" max="22" width="5.109375" style="6" customWidth="1"/>
    <col min="23" max="16384" width="9.109375" style="6"/>
  </cols>
  <sheetData>
    <row r="2" spans="1:36" s="45" customFormat="1" ht="17.399999999999999" x14ac:dyDescent="0.3">
      <c r="A2" s="93"/>
      <c r="B2" s="93" t="s">
        <v>317</v>
      </c>
      <c r="C2" s="93"/>
      <c r="D2" s="93"/>
      <c r="E2" s="93"/>
      <c r="F2" s="93"/>
      <c r="G2" s="93"/>
      <c r="H2" s="93"/>
      <c r="I2" s="93"/>
      <c r="AA2" s="6"/>
      <c r="AB2" s="6"/>
      <c r="AC2" s="6"/>
      <c r="AD2" s="33"/>
      <c r="AE2" s="33"/>
      <c r="AF2" s="33"/>
      <c r="AG2" s="33"/>
      <c r="AH2" s="33"/>
      <c r="AI2" s="6"/>
      <c r="AJ2" s="6"/>
    </row>
    <row r="3" spans="1:36" x14ac:dyDescent="0.25">
      <c r="B3" s="92"/>
      <c r="M3" s="6" t="s">
        <v>105</v>
      </c>
    </row>
    <row r="5" spans="1:36" x14ac:dyDescent="0.25">
      <c r="B5" s="7"/>
      <c r="C5" s="5"/>
      <c r="E5" s="7"/>
      <c r="F5" s="7"/>
      <c r="G5" s="7"/>
      <c r="I5" s="319"/>
      <c r="J5" s="320"/>
      <c r="M5" s="142" t="s">
        <v>39</v>
      </c>
      <c r="N5" s="142"/>
      <c r="O5" s="142"/>
      <c r="P5" s="142"/>
      <c r="Q5" s="142"/>
      <c r="R5" s="142"/>
      <c r="S5" s="142"/>
      <c r="T5" s="142"/>
      <c r="U5" s="142"/>
    </row>
    <row r="6" spans="1:36" x14ac:dyDescent="0.25">
      <c r="F6" s="169" t="s">
        <v>15</v>
      </c>
      <c r="G6" s="169"/>
      <c r="I6" s="9"/>
      <c r="J6" s="320"/>
      <c r="M6" s="170" t="s">
        <v>19</v>
      </c>
      <c r="N6" s="170"/>
      <c r="O6" s="142"/>
      <c r="P6" s="142"/>
      <c r="Q6" s="142"/>
      <c r="R6" s="142"/>
      <c r="S6" s="142"/>
      <c r="T6" s="142"/>
      <c r="U6" s="142"/>
    </row>
    <row r="7" spans="1:36" ht="20.25" customHeight="1" x14ac:dyDescent="0.25">
      <c r="B7" s="95" t="s">
        <v>34</v>
      </c>
      <c r="C7" s="95" t="s">
        <v>1</v>
      </c>
      <c r="D7" s="95" t="s">
        <v>42</v>
      </c>
      <c r="E7" s="95" t="s">
        <v>7</v>
      </c>
      <c r="F7" s="192" t="s">
        <v>8</v>
      </c>
      <c r="G7" s="313" t="s">
        <v>17</v>
      </c>
      <c r="H7" s="313" t="s">
        <v>6</v>
      </c>
      <c r="J7" s="10"/>
      <c r="M7" s="147" t="s">
        <v>13</v>
      </c>
      <c r="N7" s="147" t="s">
        <v>34</v>
      </c>
      <c r="O7" s="147" t="s">
        <v>1</v>
      </c>
      <c r="P7" s="147" t="s">
        <v>2</v>
      </c>
      <c r="Q7" s="147" t="s">
        <v>20</v>
      </c>
      <c r="R7" s="147" t="s">
        <v>21</v>
      </c>
      <c r="S7" s="147" t="s">
        <v>22</v>
      </c>
      <c r="T7" s="147" t="s">
        <v>23</v>
      </c>
      <c r="U7" s="147" t="s">
        <v>24</v>
      </c>
    </row>
    <row r="8" spans="1:36" ht="26.25" customHeight="1" thickBot="1" x14ac:dyDescent="0.3">
      <c r="B8" s="113" t="s">
        <v>106</v>
      </c>
      <c r="C8" s="96" t="s">
        <v>25</v>
      </c>
      <c r="D8" s="96" t="s">
        <v>26</v>
      </c>
      <c r="E8" s="96" t="s">
        <v>36</v>
      </c>
      <c r="F8" s="145" t="s">
        <v>37</v>
      </c>
      <c r="G8" s="96" t="s">
        <v>38</v>
      </c>
      <c r="H8" s="96" t="s">
        <v>40</v>
      </c>
      <c r="J8" s="11"/>
      <c r="M8" s="148" t="s">
        <v>44</v>
      </c>
      <c r="N8" s="148" t="s">
        <v>35</v>
      </c>
      <c r="O8" s="148" t="s">
        <v>25</v>
      </c>
      <c r="P8" s="148" t="s">
        <v>26</v>
      </c>
      <c r="Q8" s="148" t="s">
        <v>27</v>
      </c>
      <c r="R8" s="148" t="s">
        <v>28</v>
      </c>
      <c r="S8" s="148" t="s">
        <v>48</v>
      </c>
      <c r="T8" s="148" t="s">
        <v>47</v>
      </c>
      <c r="U8" s="148" t="s">
        <v>29</v>
      </c>
    </row>
    <row r="9" spans="1:36" x14ac:dyDescent="0.25">
      <c r="B9" s="314" t="s">
        <v>107</v>
      </c>
      <c r="C9" s="314"/>
      <c r="D9" s="315"/>
      <c r="E9" s="315"/>
      <c r="F9" s="316" t="s">
        <v>229</v>
      </c>
      <c r="G9" s="315" t="s">
        <v>240</v>
      </c>
      <c r="H9" s="315" t="str">
        <f>General!$D$15</f>
        <v>$/GJ</v>
      </c>
      <c r="J9" s="11"/>
      <c r="M9" s="6" t="s">
        <v>230</v>
      </c>
      <c r="O9" s="6" t="str">
        <f>"FT-"&amp;Commodities!D28&amp;"00"</f>
        <v>FT-TERCOASUB00</v>
      </c>
      <c r="P9" s="6" t="str">
        <f>"Fuel Tech -"&amp;Commodities!E28</f>
        <v>Fuel Tech -Sub-bituminous (TER)</v>
      </c>
      <c r="Q9" s="33" t="str">
        <f>General!$B$2</f>
        <v>PJ</v>
      </c>
      <c r="R9" s="33" t="str">
        <f>General!$B$2&amp;"a"</f>
        <v>PJa</v>
      </c>
      <c r="S9" s="33"/>
    </row>
    <row r="10" spans="1:36" x14ac:dyDescent="0.25">
      <c r="C10" s="6" t="str">
        <f>O9</f>
        <v>FT-TERCOASUB00</v>
      </c>
      <c r="D10" s="6" t="str">
        <f>P9</f>
        <v>Fuel Tech -Sub-bituminous (TER)</v>
      </c>
      <c r="E10" s="6" t="str">
        <f>RIGHT(F10,6)</f>
        <v>COASUB</v>
      </c>
      <c r="F10" s="317" t="str">
        <f>Commodities!D28</f>
        <v>TERCOASUB</v>
      </c>
      <c r="G10" s="33">
        <v>1</v>
      </c>
      <c r="H10" s="12">
        <v>0.01</v>
      </c>
      <c r="J10" s="12"/>
      <c r="O10" s="6" t="str">
        <f>"FT-"&amp;Commodities!D29&amp;"00"</f>
        <v>FT-TERCOABIC00</v>
      </c>
      <c r="P10" s="6" t="str">
        <f>"Fuel Tech -"&amp;Commodities!E29</f>
        <v>Fuel Tech -Other bituminous coal (TER)</v>
      </c>
      <c r="Q10" s="33" t="str">
        <f>General!$B$2</f>
        <v>PJ</v>
      </c>
      <c r="R10" s="33" t="str">
        <f>General!$B$2&amp;"a"</f>
        <v>PJa</v>
      </c>
      <c r="S10" s="33"/>
    </row>
    <row r="11" spans="1:36" x14ac:dyDescent="0.25">
      <c r="C11" s="6" t="str">
        <f t="shared" ref="C11:C17" si="0">O10</f>
        <v>FT-TERCOABIC00</v>
      </c>
      <c r="D11" s="6" t="str">
        <f t="shared" ref="D11:D17" si="1">P10</f>
        <v>Fuel Tech -Other bituminous coal (TER)</v>
      </c>
      <c r="E11" s="6" t="str">
        <f t="shared" ref="E11:E26" si="2">RIGHT(F11,6)</f>
        <v>COABIC</v>
      </c>
      <c r="F11" s="317" t="str">
        <f>Commodities!D29</f>
        <v>TERCOABIC</v>
      </c>
      <c r="G11" s="33">
        <v>1</v>
      </c>
      <c r="H11" s="12">
        <v>0.01</v>
      </c>
      <c r="J11" s="12"/>
      <c r="O11" s="6" t="str">
        <f>"FT-"&amp;Commodities!D30&amp;"00"</f>
        <v>FT-TERCOABCO00</v>
      </c>
      <c r="P11" s="6" t="str">
        <f>"Fuel Tech -"&amp;Commodities!E30</f>
        <v>Fuel Tech -Brown Coal/Lignite  (TER)</v>
      </c>
      <c r="Q11" s="33" t="str">
        <f>General!$B$2</f>
        <v>PJ</v>
      </c>
      <c r="R11" s="33" t="str">
        <f>General!$B$2&amp;"a"</f>
        <v>PJa</v>
      </c>
      <c r="S11" s="33"/>
    </row>
    <row r="12" spans="1:36" x14ac:dyDescent="0.25">
      <c r="C12" s="6" t="str">
        <f t="shared" si="0"/>
        <v>FT-TERCOABCO00</v>
      </c>
      <c r="D12" s="6" t="str">
        <f t="shared" si="1"/>
        <v>Fuel Tech -Brown Coal/Lignite  (TER)</v>
      </c>
      <c r="E12" s="6" t="str">
        <f t="shared" si="2"/>
        <v>COABCO</v>
      </c>
      <c r="F12" s="317" t="str">
        <f>Commodities!D30</f>
        <v>TERCOABCO</v>
      </c>
      <c r="G12" s="33">
        <v>1</v>
      </c>
      <c r="H12" s="12">
        <v>0.01</v>
      </c>
      <c r="J12" s="12"/>
      <c r="O12" s="6" t="str">
        <f>"FT-"&amp;Commodities!D31&amp;"00"</f>
        <v>FT-TERCOABKB00</v>
      </c>
      <c r="P12" s="6" t="str">
        <f>"Fuel Tech -"&amp;Commodities!E31</f>
        <v>Fuel Tech -BKB (brown coal briquettes) (TER)</v>
      </c>
      <c r="Q12" s="33" t="str">
        <f>General!$B$2</f>
        <v>PJ</v>
      </c>
      <c r="R12" s="33" t="str">
        <f>General!$B$2&amp;"a"</f>
        <v>PJa</v>
      </c>
      <c r="S12" s="33"/>
    </row>
    <row r="13" spans="1:36" x14ac:dyDescent="0.25">
      <c r="C13" s="6" t="str">
        <f t="shared" si="0"/>
        <v>FT-TERCOABKB00</v>
      </c>
      <c r="D13" s="6" t="str">
        <f t="shared" si="1"/>
        <v>Fuel Tech -BKB (brown coal briquettes) (TER)</v>
      </c>
      <c r="E13" s="6" t="str">
        <f t="shared" si="2"/>
        <v>COABKB</v>
      </c>
      <c r="F13" s="317" t="str">
        <f>Commodities!D31</f>
        <v>TERCOABKB</v>
      </c>
      <c r="G13" s="33">
        <v>1</v>
      </c>
      <c r="H13" s="12">
        <v>0.01</v>
      </c>
      <c r="J13" s="12"/>
      <c r="O13" s="6" t="str">
        <f>"FT-"&amp;Commodities!D32&amp;"00"</f>
        <v>FT-TEROILDSL00</v>
      </c>
      <c r="P13" s="6" t="str">
        <f>"Fuel Tech -"&amp;Commodities!E32</f>
        <v>Fuel Tech -Diesel (TER)</v>
      </c>
      <c r="Q13" s="33" t="str">
        <f>General!$B$2</f>
        <v>PJ</v>
      </c>
      <c r="R13" s="33" t="str">
        <f>General!$B$2&amp;"a"</f>
        <v>PJa</v>
      </c>
      <c r="S13" s="33"/>
    </row>
    <row r="14" spans="1:36" x14ac:dyDescent="0.25">
      <c r="C14" s="6" t="str">
        <f t="shared" si="0"/>
        <v>FT-TEROILDSL00</v>
      </c>
      <c r="D14" s="6" t="str">
        <f t="shared" si="1"/>
        <v>Fuel Tech -Diesel (TER)</v>
      </c>
      <c r="E14" s="6" t="str">
        <f t="shared" si="2"/>
        <v>OILDSL</v>
      </c>
      <c r="F14" s="317" t="str">
        <f>Commodities!D32</f>
        <v>TEROILDSL</v>
      </c>
      <c r="G14" s="33">
        <v>1</v>
      </c>
      <c r="H14" s="12">
        <v>0.01</v>
      </c>
      <c r="J14" s="12"/>
      <c r="O14" s="6" t="str">
        <f>"FT-"&amp;Commodities!D34&amp;"00"</f>
        <v>FT-TEROILLPG00</v>
      </c>
      <c r="P14" s="6" t="str">
        <f>"Fuel Tech -"&amp;Commodities!E34</f>
        <v>Fuel Tech -Liquified petroleum gas (TER)</v>
      </c>
      <c r="Q14" s="33" t="str">
        <f>General!$B$2</f>
        <v>PJ</v>
      </c>
      <c r="R14" s="33" t="str">
        <f>General!$B$2&amp;"a"</f>
        <v>PJa</v>
      </c>
      <c r="S14" s="33"/>
    </row>
    <row r="15" spans="1:36" x14ac:dyDescent="0.25">
      <c r="C15" s="6" t="str">
        <f t="shared" si="0"/>
        <v>FT-TEROILLPG00</v>
      </c>
      <c r="D15" s="6" t="str">
        <f t="shared" si="1"/>
        <v>Fuel Tech -Liquified petroleum gas (TER)</v>
      </c>
      <c r="E15" s="6" t="str">
        <f t="shared" si="2"/>
        <v>OILLPG</v>
      </c>
      <c r="F15" s="317" t="str">
        <f>Commodities!D34</f>
        <v>TEROILLPG</v>
      </c>
      <c r="G15" s="33">
        <v>1</v>
      </c>
      <c r="H15" s="12">
        <v>0.01</v>
      </c>
      <c r="J15" s="12"/>
      <c r="O15" s="6" t="str">
        <f>"FT-"&amp;Commodities!D36&amp;"00"</f>
        <v>FT-TEROILKER00</v>
      </c>
      <c r="P15" s="6" t="str">
        <f>"Fuel Tech -"&amp;Commodities!E34</f>
        <v>Fuel Tech -Liquified petroleum gas (TER)</v>
      </c>
      <c r="Q15" s="33" t="str">
        <f>General!$B$2</f>
        <v>PJ</v>
      </c>
      <c r="R15" s="33" t="str">
        <f>General!$B$2&amp;"a"</f>
        <v>PJa</v>
      </c>
      <c r="S15" s="33"/>
    </row>
    <row r="16" spans="1:36" x14ac:dyDescent="0.25">
      <c r="C16" s="6" t="str">
        <f t="shared" si="0"/>
        <v>FT-TEROILKER00</v>
      </c>
      <c r="D16" s="6" t="str">
        <f t="shared" si="1"/>
        <v>Fuel Tech -Liquified petroleum gas (TER)</v>
      </c>
      <c r="E16" s="6" t="str">
        <f t="shared" si="2"/>
        <v>OILKER</v>
      </c>
      <c r="F16" s="317" t="str">
        <f>Commodities!D36</f>
        <v>TEROILKER</v>
      </c>
      <c r="G16" s="33">
        <v>1</v>
      </c>
      <c r="H16" s="12">
        <v>0.01</v>
      </c>
      <c r="J16" s="12"/>
      <c r="O16" s="6" t="str">
        <f>"FT-"&amp;Commodities!D35&amp;"00"</f>
        <v>FT-TEROILHFO00</v>
      </c>
      <c r="P16" s="6" t="str">
        <f>"Fuel Tech -"&amp;Commodities!E35</f>
        <v>Fuel Tech -Heavy Fuel Oil (TER)</v>
      </c>
      <c r="Q16" s="33" t="str">
        <f>General!$B$2</f>
        <v>PJ</v>
      </c>
      <c r="R16" s="33" t="str">
        <f>General!$B$2&amp;"a"</f>
        <v>PJa</v>
      </c>
      <c r="S16" s="33"/>
    </row>
    <row r="17" spans="2:19" x14ac:dyDescent="0.25">
      <c r="C17" s="6" t="str">
        <f t="shared" si="0"/>
        <v>FT-TEROILHFO00</v>
      </c>
      <c r="D17" s="6" t="str">
        <f t="shared" si="1"/>
        <v>Fuel Tech -Heavy Fuel Oil (TER)</v>
      </c>
      <c r="E17" s="6" t="str">
        <f t="shared" si="2"/>
        <v>OILHFO</v>
      </c>
      <c r="F17" s="317" t="str">
        <f>Commodities!D35</f>
        <v>TEROILHFO</v>
      </c>
      <c r="G17" s="33">
        <v>1</v>
      </c>
      <c r="H17" s="12">
        <v>0.01</v>
      </c>
      <c r="J17" s="12"/>
      <c r="O17" s="6" t="str">
        <f>"FT-"&amp;Commodities!D37&amp;"D00"</f>
        <v>FT-TERGASNATD00</v>
      </c>
      <c r="P17" s="6" t="s">
        <v>466</v>
      </c>
      <c r="Q17" s="33" t="str">
        <f>General!$B$2</f>
        <v>PJ</v>
      </c>
      <c r="R17" s="33" t="str">
        <f>General!$B$2&amp;"a"</f>
        <v>PJa</v>
      </c>
      <c r="S17" s="33" t="s">
        <v>337</v>
      </c>
    </row>
    <row r="18" spans="2:19" x14ac:dyDescent="0.25">
      <c r="C18" s="6" t="str">
        <f t="shared" ref="C18:D20" si="3">O17</f>
        <v>FT-TERGASNATD00</v>
      </c>
      <c r="D18" s="6" t="str">
        <f t="shared" si="3"/>
        <v>Fuel Tech -Natural Gas (COM) - Dense</v>
      </c>
      <c r="E18" s="6" t="s">
        <v>374</v>
      </c>
      <c r="F18" s="317" t="str">
        <f>Commodities!D37</f>
        <v>TERGASNAT</v>
      </c>
      <c r="G18" s="33">
        <v>1</v>
      </c>
      <c r="H18" s="33">
        <v>0.01</v>
      </c>
      <c r="J18" s="12"/>
      <c r="O18" s="6" t="str">
        <f>"FT-"&amp;Commodities!D37&amp;"M00"</f>
        <v>FT-TERGASNATM00</v>
      </c>
      <c r="P18" s="6" t="s">
        <v>467</v>
      </c>
      <c r="Q18" s="33" t="str">
        <f>General!$B$2</f>
        <v>PJ</v>
      </c>
      <c r="R18" s="33" t="str">
        <f>General!$B$2&amp;"a"</f>
        <v>PJa</v>
      </c>
      <c r="S18" s="33" t="s">
        <v>337</v>
      </c>
    </row>
    <row r="19" spans="2:19" x14ac:dyDescent="0.25">
      <c r="C19" s="6" t="str">
        <f t="shared" si="3"/>
        <v>FT-TERGASNATM00</v>
      </c>
      <c r="D19" s="6" t="str">
        <f t="shared" si="3"/>
        <v>Fuel Tech -Natural Gas (COM) - Medium</v>
      </c>
      <c r="E19" s="6" t="s">
        <v>374</v>
      </c>
      <c r="F19" s="317" t="str">
        <f>F18</f>
        <v>TERGASNAT</v>
      </c>
      <c r="G19" s="33">
        <v>1</v>
      </c>
      <c r="H19" s="33">
        <v>1.4999999999999999E-2</v>
      </c>
      <c r="J19" s="12"/>
      <c r="O19" s="6" t="str">
        <f>"FT-"&amp;Commodities!D37&amp;"S00"</f>
        <v>FT-TERGASNATS00</v>
      </c>
      <c r="P19" s="6" t="s">
        <v>468</v>
      </c>
      <c r="Q19" s="33" t="str">
        <f>General!$B$2</f>
        <v>PJ</v>
      </c>
      <c r="R19" s="33" t="str">
        <f>General!$B$2&amp;"a"</f>
        <v>PJa</v>
      </c>
      <c r="S19" s="33" t="s">
        <v>337</v>
      </c>
    </row>
    <row r="20" spans="2:19" x14ac:dyDescent="0.25">
      <c r="C20" s="6" t="str">
        <f t="shared" si="3"/>
        <v>FT-TERGASNATS00</v>
      </c>
      <c r="D20" s="6" t="str">
        <f t="shared" si="3"/>
        <v>Fuel Tech -Natural Gas (COM) - Sparse</v>
      </c>
      <c r="E20" s="6" t="s">
        <v>374</v>
      </c>
      <c r="F20" s="317" t="str">
        <f>F19</f>
        <v>TERGASNAT</v>
      </c>
      <c r="G20" s="33">
        <v>1</v>
      </c>
      <c r="H20" s="33">
        <v>0.03</v>
      </c>
      <c r="J20" s="12"/>
      <c r="O20" s="6" t="str">
        <f>"FT-"&amp;Commodities!D37&amp;"D01"</f>
        <v>FT-TERGASNATD01</v>
      </c>
      <c r="P20" s="6" t="s">
        <v>463</v>
      </c>
      <c r="Q20" s="33" t="str">
        <f>General!$B$2</f>
        <v>PJ</v>
      </c>
      <c r="R20" s="33" t="str">
        <f>General!$B$2&amp;"a"</f>
        <v>PJa</v>
      </c>
      <c r="S20" s="33" t="s">
        <v>337</v>
      </c>
    </row>
    <row r="21" spans="2:19" x14ac:dyDescent="0.25">
      <c r="C21" s="6" t="str">
        <f t="shared" ref="C21:D26" si="4">O23</f>
        <v>FT-TERBIOLOG00</v>
      </c>
      <c r="D21" s="6" t="str">
        <f t="shared" si="4"/>
        <v>Fuel Tech -Wood (TER)</v>
      </c>
      <c r="E21" s="6" t="str">
        <f t="shared" si="2"/>
        <v>BIOLOG</v>
      </c>
      <c r="F21" s="317" t="str">
        <f>Commodities!D38</f>
        <v>TERBIOLOG</v>
      </c>
      <c r="G21" s="33">
        <v>1</v>
      </c>
      <c r="H21" s="12">
        <v>0.01</v>
      </c>
      <c r="J21" s="12"/>
      <c r="O21" s="6" t="str">
        <f>"FT-"&amp;Commodities!D37&amp;"M01"</f>
        <v>FT-TERGASNATM01</v>
      </c>
      <c r="P21" s="6" t="s">
        <v>464</v>
      </c>
      <c r="Q21" s="33" t="str">
        <f>General!$B$2</f>
        <v>PJ</v>
      </c>
      <c r="R21" s="33" t="str">
        <f>General!$B$2&amp;"a"</f>
        <v>PJa</v>
      </c>
      <c r="S21" s="33" t="s">
        <v>337</v>
      </c>
    </row>
    <row r="22" spans="2:19" x14ac:dyDescent="0.25">
      <c r="C22" s="6" t="str">
        <f t="shared" si="4"/>
        <v>FT-TERBIOBGS00</v>
      </c>
      <c r="D22" s="6" t="str">
        <f t="shared" si="4"/>
        <v>Fuel Tech -Biogas (TER)</v>
      </c>
      <c r="E22" s="6" t="str">
        <f t="shared" si="2"/>
        <v>BIOBGS</v>
      </c>
      <c r="F22" s="317" t="str">
        <f>Commodities!D41</f>
        <v>TERBIOBGS</v>
      </c>
      <c r="G22" s="33">
        <v>1</v>
      </c>
      <c r="H22" s="12">
        <v>0.01</v>
      </c>
      <c r="J22" s="12"/>
      <c r="O22" s="6" t="str">
        <f>"FT-"&amp;Commodities!D37&amp;"S01"</f>
        <v>FT-TERGASNATS01</v>
      </c>
      <c r="P22" s="6" t="s">
        <v>465</v>
      </c>
      <c r="Q22" s="33" t="str">
        <f>General!$B$2</f>
        <v>PJ</v>
      </c>
      <c r="R22" s="33" t="str">
        <f>General!$B$2&amp;"a"</f>
        <v>PJa</v>
      </c>
      <c r="S22" s="33" t="s">
        <v>337</v>
      </c>
    </row>
    <row r="23" spans="2:19" x14ac:dyDescent="0.25">
      <c r="C23" s="6" t="str">
        <f t="shared" si="4"/>
        <v>FT-TERBIOCHR00</v>
      </c>
      <c r="D23" s="6" t="str">
        <f t="shared" si="4"/>
        <v>Fuel Tech -Charcoal (TER)</v>
      </c>
      <c r="E23" s="6" t="str">
        <f t="shared" si="2"/>
        <v>BIOCHR</v>
      </c>
      <c r="F23" s="317" t="str">
        <f>Commodities!D43</f>
        <v>TERBIOCHR</v>
      </c>
      <c r="G23" s="33">
        <v>1</v>
      </c>
      <c r="H23" s="12">
        <v>0.01</v>
      </c>
      <c r="J23" s="12"/>
      <c r="O23" s="6" t="str">
        <f>"FT-"&amp;Commodities!D38&amp;"00"</f>
        <v>FT-TERBIOLOG00</v>
      </c>
      <c r="P23" s="6" t="str">
        <f>"Fuel Tech -"&amp;Commodities!E38</f>
        <v>Fuel Tech -Wood (TER)</v>
      </c>
      <c r="Q23" s="33" t="str">
        <f>General!$B$2</f>
        <v>PJ</v>
      </c>
      <c r="R23" s="33" t="str">
        <f>General!$B$2&amp;"a"</f>
        <v>PJa</v>
      </c>
      <c r="S23" s="33"/>
    </row>
    <row r="24" spans="2:19" x14ac:dyDescent="0.25">
      <c r="C24" s="6" t="str">
        <f t="shared" si="4"/>
        <v>FT-TERBIOPLT00</v>
      </c>
      <c r="D24" s="6" t="str">
        <f t="shared" si="4"/>
        <v>Fuel Tech -Pellet (TER)</v>
      </c>
      <c r="E24" s="6" t="str">
        <f t="shared" si="2"/>
        <v>BIOPLT</v>
      </c>
      <c r="F24" s="317" t="str">
        <f>Commodities!D42</f>
        <v>TERBIOPLT</v>
      </c>
      <c r="G24" s="33">
        <v>1</v>
      </c>
      <c r="H24" s="12">
        <v>0.01</v>
      </c>
      <c r="J24" s="12"/>
      <c r="O24" s="6" t="str">
        <f>"FT-"&amp;Commodities!D41&amp;"00"</f>
        <v>FT-TERBIOBGS00</v>
      </c>
      <c r="P24" s="6" t="str">
        <f>"Fuel Tech -"&amp;Commodities!E41</f>
        <v>Fuel Tech -Biogas (TER)</v>
      </c>
      <c r="Q24" s="33" t="str">
        <f>General!$B$2</f>
        <v>PJ</v>
      </c>
      <c r="R24" s="33" t="str">
        <f>General!$B$2&amp;"a"</f>
        <v>PJa</v>
      </c>
      <c r="S24" s="33"/>
    </row>
    <row r="25" spans="2:19" x14ac:dyDescent="0.25">
      <c r="C25" s="6" t="str">
        <f t="shared" si="4"/>
        <v>FT-TERRESSOL00</v>
      </c>
      <c r="D25" s="6" t="str">
        <f t="shared" si="4"/>
        <v>Fuel Tech -Solar Energy (TER)</v>
      </c>
      <c r="E25" s="6" t="str">
        <f t="shared" si="2"/>
        <v>RESSOL</v>
      </c>
      <c r="F25" s="317" t="str">
        <f>Commodities!D44</f>
        <v>TERRESSOL</v>
      </c>
      <c r="G25" s="33">
        <v>1</v>
      </c>
      <c r="H25" s="12">
        <v>0.01</v>
      </c>
      <c r="O25" s="6" t="str">
        <f>"FT-"&amp;Commodities!D43&amp;"00"</f>
        <v>FT-TERBIOCHR00</v>
      </c>
      <c r="P25" s="6" t="str">
        <f>"Fuel Tech -"&amp;Commodities!E43</f>
        <v>Fuel Tech -Charcoal (TER)</v>
      </c>
      <c r="Q25" s="33" t="str">
        <f>General!$B$2</f>
        <v>PJ</v>
      </c>
      <c r="R25" s="33" t="str">
        <f>General!$B$2&amp;"a"</f>
        <v>PJa</v>
      </c>
      <c r="S25" s="33"/>
    </row>
    <row r="26" spans="2:19" x14ac:dyDescent="0.25">
      <c r="C26" s="6" t="str">
        <f t="shared" si="4"/>
        <v>FT-TERRESGEO00</v>
      </c>
      <c r="D26" s="6" t="str">
        <f t="shared" si="4"/>
        <v>Fuel Tech -Geothermal Energy (TER)</v>
      </c>
      <c r="E26" s="6" t="str">
        <f t="shared" si="2"/>
        <v>RESGEO</v>
      </c>
      <c r="F26" s="317" t="str">
        <f>Commodities!D45</f>
        <v>TERRESGEO</v>
      </c>
      <c r="G26" s="33">
        <v>1</v>
      </c>
      <c r="H26" s="12">
        <v>0.01</v>
      </c>
      <c r="O26" s="6" t="str">
        <f>"FT-"&amp;Commodities!D42&amp;"00"</f>
        <v>FT-TERBIOPLT00</v>
      </c>
      <c r="P26" s="6" t="str">
        <f>"Fuel Tech -"&amp;Commodities!E42</f>
        <v>Fuel Tech -Pellet (TER)</v>
      </c>
      <c r="Q26" s="33" t="str">
        <f>General!$B$2</f>
        <v>PJ</v>
      </c>
      <c r="R26" s="33" t="str">
        <f>General!$B$2&amp;"a"</f>
        <v>PJa</v>
      </c>
      <c r="S26" s="33"/>
    </row>
    <row r="27" spans="2:19" x14ac:dyDescent="0.25">
      <c r="F27" s="9"/>
      <c r="O27" s="6" t="str">
        <f>"FT-"&amp;Commodities!D44&amp;"00"</f>
        <v>FT-TERRESSOL00</v>
      </c>
      <c r="P27" s="6" t="str">
        <f>"Fuel Tech -"&amp;Commodities!E44</f>
        <v>Fuel Tech -Solar Energy (TER)</v>
      </c>
      <c r="Q27" s="33" t="str">
        <f>General!$B$2</f>
        <v>PJ</v>
      </c>
      <c r="R27" s="33" t="str">
        <f>General!$B$2&amp;"a"</f>
        <v>PJa</v>
      </c>
      <c r="S27" s="33"/>
    </row>
    <row r="28" spans="2:19" x14ac:dyDescent="0.25">
      <c r="F28" s="9"/>
      <c r="O28" s="6" t="str">
        <f>"FT-"&amp;Commodities!D45&amp;"00"</f>
        <v>FT-TERRESGEO00</v>
      </c>
      <c r="P28" s="6" t="str">
        <f>"Fuel Tech -"&amp;Commodities!E45</f>
        <v>Fuel Tech -Geothermal Energy (TER)</v>
      </c>
      <c r="Q28" s="33" t="str">
        <f>General!$B$2</f>
        <v>PJ</v>
      </c>
      <c r="R28" s="33" t="str">
        <f>General!$B$2&amp;"a"</f>
        <v>PJa</v>
      </c>
      <c r="S28" s="33"/>
    </row>
    <row r="29" spans="2:19" x14ac:dyDescent="0.25">
      <c r="F29" s="169" t="s">
        <v>15</v>
      </c>
      <c r="G29" s="169"/>
      <c r="J29" s="320"/>
      <c r="M29" s="6" t="s">
        <v>232</v>
      </c>
      <c r="O29" s="6" t="str">
        <f>"FT-"&amp;Commodities!D49&amp;"00"</f>
        <v>FT-TERELC00</v>
      </c>
      <c r="P29" s="6" t="str">
        <f>"Fuel Tech -"&amp;Commodities!E49</f>
        <v>Fuel Tech -Electricity (TER)</v>
      </c>
      <c r="Q29" s="33" t="str">
        <f>General!$B$2</f>
        <v>PJ</v>
      </c>
      <c r="R29" s="33" t="str">
        <f>General!$B$5</f>
        <v>GW</v>
      </c>
      <c r="S29" s="33" t="s">
        <v>93</v>
      </c>
    </row>
    <row r="30" spans="2:19" x14ac:dyDescent="0.25">
      <c r="B30" s="95" t="s">
        <v>34</v>
      </c>
      <c r="C30" s="95" t="s">
        <v>1</v>
      </c>
      <c r="D30" s="95" t="s">
        <v>42</v>
      </c>
      <c r="E30" s="95" t="s">
        <v>7</v>
      </c>
      <c r="F30" s="192" t="s">
        <v>8</v>
      </c>
      <c r="G30" s="313" t="s">
        <v>17</v>
      </c>
      <c r="H30" s="313" t="s">
        <v>3</v>
      </c>
      <c r="I30" s="313" t="s">
        <v>6</v>
      </c>
      <c r="J30" s="313" t="s">
        <v>239</v>
      </c>
    </row>
    <row r="31" spans="2:19" ht="28.2" thickBot="1" x14ac:dyDescent="0.3">
      <c r="B31" s="113" t="s">
        <v>106</v>
      </c>
      <c r="C31" s="96" t="s">
        <v>25</v>
      </c>
      <c r="D31" s="96" t="s">
        <v>26</v>
      </c>
      <c r="E31" s="96" t="s">
        <v>36</v>
      </c>
      <c r="F31" s="145" t="s">
        <v>37</v>
      </c>
      <c r="G31" s="96" t="s">
        <v>38</v>
      </c>
      <c r="H31" s="96" t="s">
        <v>41</v>
      </c>
      <c r="I31" s="96" t="s">
        <v>40</v>
      </c>
      <c r="J31" s="96" t="s">
        <v>231</v>
      </c>
    </row>
    <row r="32" spans="2:19" x14ac:dyDescent="0.25">
      <c r="B32" s="314" t="s">
        <v>107</v>
      </c>
      <c r="C32" s="314"/>
      <c r="D32" s="315"/>
      <c r="E32" s="315"/>
      <c r="F32" s="316" t="s">
        <v>229</v>
      </c>
      <c r="G32" s="315" t="s">
        <v>240</v>
      </c>
      <c r="H32" s="315" t="str">
        <f>General!$D$14</f>
        <v>$/GJ/a</v>
      </c>
      <c r="I32" s="315" t="str">
        <f>General!$D$15</f>
        <v>$/GJ</v>
      </c>
      <c r="J32" s="315" t="str">
        <f>General!$D$16</f>
        <v>GJ/kW</v>
      </c>
    </row>
    <row r="33" spans="2:11" x14ac:dyDescent="0.25">
      <c r="C33" s="6" t="str">
        <f>O29</f>
        <v>FT-TERELC00</v>
      </c>
      <c r="D33" s="6" t="str">
        <f>P29</f>
        <v>Fuel Tech -Electricity (TER)</v>
      </c>
      <c r="E33" s="6" t="str">
        <f>Commodities!D50</f>
        <v>ELCMLO</v>
      </c>
      <c r="F33" s="317"/>
      <c r="G33" s="33">
        <v>1</v>
      </c>
      <c r="H33" s="33"/>
      <c r="I33" s="33"/>
      <c r="J33" s="33">
        <v>31.536000000000001</v>
      </c>
    </row>
    <row r="34" spans="2:11" x14ac:dyDescent="0.25">
      <c r="B34" s="204"/>
      <c r="C34" s="204"/>
      <c r="D34" s="204"/>
      <c r="E34" s="204"/>
      <c r="F34" s="318" t="str">
        <f>Commodities!D49</f>
        <v>TERELC</v>
      </c>
      <c r="G34" s="204"/>
      <c r="H34" s="204"/>
      <c r="I34" s="204"/>
      <c r="J34" s="204"/>
    </row>
    <row r="35" spans="2:11" ht="26.25" customHeight="1" x14ac:dyDescent="0.25"/>
    <row r="36" spans="2:11" ht="36" customHeight="1" x14ac:dyDescent="0.25"/>
    <row r="37" spans="2:11" x14ac:dyDescent="0.25">
      <c r="F37" s="169" t="s">
        <v>15</v>
      </c>
      <c r="G37" s="169"/>
      <c r="J37" s="319"/>
    </row>
    <row r="38" spans="2:11" ht="27.6" x14ac:dyDescent="0.25">
      <c r="B38" s="95" t="s">
        <v>34</v>
      </c>
      <c r="C38" s="95" t="s">
        <v>1</v>
      </c>
      <c r="D38" s="95" t="s">
        <v>42</v>
      </c>
      <c r="E38" s="95" t="s">
        <v>7</v>
      </c>
      <c r="F38" s="192" t="s">
        <v>8</v>
      </c>
      <c r="G38" s="313" t="s">
        <v>17</v>
      </c>
      <c r="H38" s="313" t="s">
        <v>3</v>
      </c>
      <c r="I38" s="313" t="s">
        <v>580</v>
      </c>
      <c r="J38" s="313" t="s">
        <v>460</v>
      </c>
      <c r="K38" s="313" t="s">
        <v>461</v>
      </c>
    </row>
    <row r="39" spans="2:11" ht="28.2" thickBot="1" x14ac:dyDescent="0.3">
      <c r="B39" s="113" t="s">
        <v>106</v>
      </c>
      <c r="C39" s="96" t="s">
        <v>25</v>
      </c>
      <c r="D39" s="96" t="s">
        <v>26</v>
      </c>
      <c r="E39" s="96" t="s">
        <v>36</v>
      </c>
      <c r="F39" s="145" t="s">
        <v>37</v>
      </c>
      <c r="G39" s="96" t="s">
        <v>38</v>
      </c>
      <c r="H39" s="96" t="s">
        <v>41</v>
      </c>
      <c r="I39" s="96" t="s">
        <v>581</v>
      </c>
      <c r="J39" s="96"/>
      <c r="K39" s="96" t="s">
        <v>462</v>
      </c>
    </row>
    <row r="40" spans="2:11" x14ac:dyDescent="0.25">
      <c r="B40" s="314" t="s">
        <v>107</v>
      </c>
      <c r="C40" s="314"/>
      <c r="D40" s="315"/>
      <c r="E40" s="315"/>
      <c r="F40" s="316" t="s">
        <v>229</v>
      </c>
      <c r="G40" s="315" t="s">
        <v>240</v>
      </c>
      <c r="H40" s="315" t="s">
        <v>383</v>
      </c>
      <c r="I40" s="315" t="s">
        <v>234</v>
      </c>
      <c r="J40" s="315"/>
      <c r="K40" s="315" t="s">
        <v>383</v>
      </c>
    </row>
    <row r="41" spans="2:11" x14ac:dyDescent="0.25">
      <c r="C41" s="6" t="str">
        <f>O20</f>
        <v>FT-TERGASNATD01</v>
      </c>
      <c r="D41" s="6" t="str">
        <f>P20</f>
        <v xml:space="preserve">Fuel Tech -Natural Gas (COM) - Dense New  </v>
      </c>
      <c r="E41" s="6" t="str">
        <f>E18</f>
        <v>GASNAT_LP</v>
      </c>
      <c r="F41" s="317"/>
      <c r="G41" s="33">
        <v>1</v>
      </c>
      <c r="H41" s="33"/>
      <c r="I41" s="33">
        <v>30</v>
      </c>
      <c r="J41" s="33">
        <v>2020</v>
      </c>
      <c r="K41" s="33">
        <v>2</v>
      </c>
    </row>
    <row r="42" spans="2:11" x14ac:dyDescent="0.25">
      <c r="B42" s="204"/>
      <c r="C42" s="204"/>
      <c r="D42" s="204"/>
      <c r="E42" s="204"/>
      <c r="F42" s="318" t="str">
        <f>F18</f>
        <v>TERGASNAT</v>
      </c>
      <c r="G42" s="204"/>
      <c r="H42" s="204"/>
      <c r="I42" s="204"/>
      <c r="J42" s="204"/>
      <c r="K42" s="204"/>
    </row>
    <row r="43" spans="2:11" x14ac:dyDescent="0.25">
      <c r="C43" s="6" t="str">
        <f>O21</f>
        <v>FT-TERGASNATM01</v>
      </c>
      <c r="D43" s="6" t="str">
        <f>P21</f>
        <v xml:space="preserve">Fuel Tech -Natural Gas (COM) - Medium New  </v>
      </c>
      <c r="E43" s="6" t="str">
        <f>E41</f>
        <v>GASNAT_LP</v>
      </c>
      <c r="F43" s="317"/>
      <c r="G43" s="33">
        <v>1</v>
      </c>
      <c r="H43" s="33"/>
      <c r="I43" s="33">
        <v>30</v>
      </c>
      <c r="J43" s="33">
        <v>2020</v>
      </c>
      <c r="K43" s="33">
        <f>K41*5</f>
        <v>10</v>
      </c>
    </row>
    <row r="44" spans="2:11" x14ac:dyDescent="0.25">
      <c r="B44" s="204"/>
      <c r="C44" s="204"/>
      <c r="D44" s="204"/>
      <c r="E44" s="204"/>
      <c r="F44" s="318" t="str">
        <f>F42</f>
        <v>TERGASNAT</v>
      </c>
      <c r="G44" s="204"/>
      <c r="H44" s="204"/>
      <c r="I44" s="204"/>
      <c r="J44" s="204"/>
      <c r="K44" s="204"/>
    </row>
    <row r="45" spans="2:11" x14ac:dyDescent="0.25">
      <c r="C45" s="6" t="str">
        <f>O22</f>
        <v>FT-TERGASNATS01</v>
      </c>
      <c r="D45" s="6" t="str">
        <f>P22</f>
        <v xml:space="preserve">Fuel Tech -Natural Gas (COM) - Sparse New  </v>
      </c>
      <c r="E45" s="6" t="str">
        <f>E43</f>
        <v>GASNAT_LP</v>
      </c>
      <c r="F45" s="317"/>
      <c r="G45" s="33">
        <v>1</v>
      </c>
      <c r="H45" s="33"/>
      <c r="I45" s="33">
        <v>30</v>
      </c>
      <c r="J45" s="33">
        <v>2020</v>
      </c>
      <c r="K45" s="33">
        <f>K41*10</f>
        <v>20</v>
      </c>
    </row>
    <row r="46" spans="2:11" x14ac:dyDescent="0.25">
      <c r="B46" s="204"/>
      <c r="C46" s="204"/>
      <c r="D46" s="204"/>
      <c r="E46" s="204"/>
      <c r="F46" s="318" t="str">
        <f>F44</f>
        <v>TERGASNAT</v>
      </c>
      <c r="G46" s="204"/>
      <c r="H46" s="204"/>
      <c r="I46" s="204"/>
      <c r="J46" s="204"/>
      <c r="K46" s="204"/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En.Bal-Final_Energy</vt:lpstr>
      <vt:lpstr>COM_En_Balance</vt:lpstr>
      <vt:lpstr>TER_Stock</vt:lpstr>
      <vt:lpstr>TER_Tech_SpHeat</vt:lpstr>
      <vt:lpstr>TER_Tech_WaterHeat</vt:lpstr>
      <vt:lpstr>TER_Tech_SpCool</vt:lpstr>
      <vt:lpstr>TER_Tech_Cook</vt:lpstr>
      <vt:lpstr>TER_Tech_Appliances</vt:lpstr>
      <vt:lpstr>TER_Fuels</vt:lpstr>
      <vt:lpstr>Emissions_Table</vt:lpstr>
      <vt:lpstr>Commodities</vt:lpstr>
      <vt:lpstr>General</vt:lpstr>
      <vt:lpstr>BASE_YEAR</vt:lpstr>
      <vt:lpstr>END_YEAR</vt:lpstr>
      <vt:lpstr>Stk_Mult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2018-03-26T08:56:47Z</cp:lastPrinted>
  <dcterms:created xsi:type="dcterms:W3CDTF">2000-12-13T15:53:11Z</dcterms:created>
  <dcterms:modified xsi:type="dcterms:W3CDTF">2022-09-23T16:32:55Z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919196546077728</vt:r8>
  </property>
</Properties>
</file>