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Objects="placeholders"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rocco\Desktop\TIMES-CAC_v2021_Open\"/>
    </mc:Choice>
  </mc:AlternateContent>
  <xr:revisionPtr revIDLastSave="0" documentId="13_ncr:1_{33C0A6BD-A79D-4A00-902A-5D52C12353D9}" xr6:coauthVersionLast="47" xr6:coauthVersionMax="47" xr10:uidLastSave="{00000000-0000-0000-0000-000000000000}"/>
  <bookViews>
    <workbookView xWindow="372" yWindow="0" windowWidth="22668" windowHeight="12240" tabRatio="853" firstSheet="1" activeTab="1" xr2:uid="{00000000-000D-0000-FFFF-FFFF00000000}"/>
  </bookViews>
  <sheets>
    <sheet name="RSD_En_Balance" sheetId="149" state="hidden" r:id="rId1"/>
    <sheet name="RSD_Stock" sheetId="142" r:id="rId2"/>
    <sheet name="RSD_Demands" sheetId="145" r:id="rId3"/>
    <sheet name="RSD_Tech_SpHeat" sheetId="143" r:id="rId4"/>
    <sheet name="RSD_Tech_WaterHeat" sheetId="147" r:id="rId5"/>
    <sheet name="RSD_Tech_SpCool" sheetId="146" r:id="rId6"/>
    <sheet name="RSD_Tech_Cook" sheetId="148" r:id="rId7"/>
    <sheet name="RSD_Tech_Lighting" sheetId="152" r:id="rId8"/>
    <sheet name="RSD_Tech_Appliances" sheetId="153" r:id="rId9"/>
    <sheet name="Emissions_Table" sheetId="134" r:id="rId10"/>
    <sheet name="Commodities" sheetId="135" r:id="rId11"/>
    <sheet name="RSD_Fuels" sheetId="144" r:id="rId12"/>
    <sheet name="En.Bal-Final_Energy" sheetId="137" state="hidden" r:id="rId13"/>
    <sheet name="General" sheetId="136" state="hidden" r:id="rId14"/>
  </sheets>
  <definedNames>
    <definedName name="_xlnm._FilterDatabase" localSheetId="3" hidden="1">RSD_Tech_SpHeat!$B$4:$F$335</definedName>
    <definedName name="BASE_YEAR">General!$F$1</definedName>
    <definedName name="END_YEAR">General!$F$2</definedName>
    <definedName name="Stk_Mult">General!$F$3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45" l="1"/>
  <c r="J8" i="145"/>
  <c r="AC46" i="135"/>
  <c r="AC41" i="135"/>
  <c r="AC42" i="135" s="1"/>
  <c r="AC43" i="135" s="1"/>
  <c r="AC44" i="135" s="1"/>
  <c r="AC45" i="135" s="1"/>
  <c r="AC40" i="135"/>
  <c r="AC39" i="135"/>
  <c r="AA86" i="135"/>
  <c r="AA78" i="135"/>
  <c r="AA70" i="135"/>
  <c r="AA62" i="135"/>
  <c r="AA54" i="135"/>
  <c r="AA46" i="135"/>
  <c r="AA38" i="135"/>
  <c r="AA30" i="135"/>
  <c r="AA22" i="135"/>
  <c r="AC14" i="135"/>
  <c r="K37" i="149" l="1"/>
  <c r="E7" i="142" l="1"/>
  <c r="E8" i="142"/>
  <c r="D16" i="143" l="1"/>
  <c r="D8" i="143"/>
  <c r="AU37" i="137"/>
  <c r="I5" i="149" l="1"/>
  <c r="E14" i="144"/>
  <c r="I6" i="149"/>
  <c r="I4" i="149"/>
  <c r="AS43" i="137" l="1"/>
  <c r="AE37" i="137"/>
  <c r="AL37" i="137"/>
  <c r="AM37" i="137"/>
  <c r="AM43" i="137" s="1"/>
  <c r="AS37" i="137"/>
  <c r="BF37" i="137"/>
  <c r="BW37" i="137"/>
  <c r="BX37" i="137"/>
  <c r="AU48" i="137"/>
  <c r="W48" i="137"/>
  <c r="AT48" i="137"/>
  <c r="BX48" i="137"/>
  <c r="A48" i="137"/>
  <c r="R42" i="149" l="1"/>
  <c r="E5" i="149" l="1"/>
  <c r="H17" i="144" l="1"/>
  <c r="D46" i="149" l="1"/>
  <c r="F46" i="149"/>
  <c r="E46" i="149"/>
  <c r="F26" i="149"/>
  <c r="D7" i="142" l="1"/>
  <c r="H47" i="149" l="1"/>
  <c r="E76" i="149"/>
  <c r="D76" i="149"/>
  <c r="K46" i="149" l="1"/>
  <c r="H54" i="149" l="1"/>
  <c r="K57" i="149"/>
  <c r="Q46" i="149"/>
  <c r="H34" i="149"/>
  <c r="D26" i="149"/>
  <c r="E26" i="149"/>
  <c r="H27" i="149"/>
  <c r="Q26" i="149"/>
  <c r="Q66" i="149" l="1"/>
  <c r="Q96" i="149"/>
  <c r="H87" i="149"/>
  <c r="K67" i="149"/>
  <c r="Q86" i="149" l="1"/>
  <c r="K87" i="149"/>
  <c r="Q76" i="149"/>
  <c r="Q56" i="149"/>
  <c r="L24" i="145" l="1"/>
  <c r="L23" i="145"/>
  <c r="E11" i="144" l="1"/>
  <c r="S30" i="144" l="1"/>
  <c r="S29" i="144"/>
  <c r="S28" i="144"/>
  <c r="S27" i="144"/>
  <c r="B180" i="149" l="1"/>
  <c r="B170" i="149"/>
  <c r="D64" i="149"/>
  <c r="E64" i="149"/>
  <c r="H64" i="149" l="1"/>
  <c r="D51" i="147" l="1"/>
  <c r="D45" i="147"/>
  <c r="D66" i="143"/>
  <c r="D58" i="143"/>
  <c r="R30" i="144"/>
  <c r="Q30" i="144"/>
  <c r="R29" i="144"/>
  <c r="Q29" i="144"/>
  <c r="R28" i="144"/>
  <c r="Q28" i="144"/>
  <c r="R27" i="144"/>
  <c r="Q27" i="144"/>
  <c r="P30" i="144"/>
  <c r="P29" i="144"/>
  <c r="P28" i="144"/>
  <c r="P27" i="144"/>
  <c r="O30" i="144"/>
  <c r="O29" i="144"/>
  <c r="O28" i="144"/>
  <c r="O27" i="144"/>
  <c r="F52" i="144"/>
  <c r="F51" i="144"/>
  <c r="E49" i="144"/>
  <c r="E50" i="144" s="1"/>
  <c r="E51" i="144" s="1"/>
  <c r="E52" i="144" s="1"/>
  <c r="H48" i="144"/>
  <c r="E57" i="135"/>
  <c r="E56" i="135"/>
  <c r="E55" i="135"/>
  <c r="E54" i="135"/>
  <c r="D57" i="135"/>
  <c r="D56" i="135"/>
  <c r="D39" i="147" s="1"/>
  <c r="D55" i="135"/>
  <c r="F50" i="144" s="1"/>
  <c r="D54" i="135"/>
  <c r="F49" i="144" s="1"/>
  <c r="D10" i="143" l="1"/>
  <c r="D9" i="147"/>
  <c r="D18" i="143"/>
  <c r="D15" i="147"/>
  <c r="D26" i="143"/>
  <c r="D21" i="147"/>
  <c r="D34" i="143"/>
  <c r="D27" i="147"/>
  <c r="D42" i="143"/>
  <c r="D33" i="147"/>
  <c r="D50" i="143"/>
  <c r="E30" i="142"/>
  <c r="G112" i="145" l="1"/>
  <c r="G117" i="145"/>
  <c r="G122" i="145"/>
  <c r="G127" i="145"/>
  <c r="G132" i="145"/>
  <c r="G137" i="145"/>
  <c r="G142" i="145"/>
  <c r="I164" i="148"/>
  <c r="I179" i="148"/>
  <c r="C194" i="148"/>
  <c r="C189" i="148"/>
  <c r="I174" i="148"/>
  <c r="I169" i="148"/>
  <c r="I159" i="148"/>
  <c r="I154" i="148"/>
  <c r="I149" i="148"/>
  <c r="I144" i="148"/>
  <c r="D43" i="148"/>
  <c r="D54" i="148" s="1"/>
  <c r="D59" i="148" s="1"/>
  <c r="D64" i="148" s="1"/>
  <c r="D69" i="148" s="1"/>
  <c r="D74" i="148" s="1"/>
  <c r="D79" i="148" s="1"/>
  <c r="D84" i="148" s="1"/>
  <c r="D89" i="148" s="1"/>
  <c r="D38" i="148"/>
  <c r="D33" i="148"/>
  <c r="D28" i="148"/>
  <c r="D23" i="148"/>
  <c r="D22" i="148"/>
  <c r="D18" i="148"/>
  <c r="D13" i="148"/>
  <c r="D8" i="148"/>
  <c r="D9" i="148"/>
  <c r="Q43" i="148"/>
  <c r="C134" i="148" s="1"/>
  <c r="S43" i="148"/>
  <c r="R43" i="148"/>
  <c r="Q38" i="148"/>
  <c r="C84" i="148" s="1"/>
  <c r="S38" i="148"/>
  <c r="R38" i="148"/>
  <c r="Q33" i="148"/>
  <c r="C124" i="148" s="1"/>
  <c r="S33" i="148"/>
  <c r="R33" i="148"/>
  <c r="Q28" i="148"/>
  <c r="C74" i="148" s="1"/>
  <c r="S28" i="148"/>
  <c r="R28" i="148"/>
  <c r="Q23" i="148"/>
  <c r="C69" i="148" s="1"/>
  <c r="S23" i="148"/>
  <c r="R23" i="148"/>
  <c r="Q18" i="148"/>
  <c r="C109" i="148" s="1"/>
  <c r="S18" i="148"/>
  <c r="R18" i="148"/>
  <c r="Q13" i="148"/>
  <c r="C104" i="148" s="1"/>
  <c r="S13" i="148"/>
  <c r="R13" i="148"/>
  <c r="Q8" i="148"/>
  <c r="C8" i="148" s="1"/>
  <c r="S8" i="148"/>
  <c r="R8" i="148"/>
  <c r="C159" i="148" l="1"/>
  <c r="C214" i="148"/>
  <c r="C174" i="148"/>
  <c r="C199" i="148"/>
  <c r="C219" i="148"/>
  <c r="C164" i="148"/>
  <c r="C179" i="148"/>
  <c r="C204" i="148"/>
  <c r="C224" i="148"/>
  <c r="C169" i="148"/>
  <c r="C209" i="148"/>
  <c r="C43" i="148"/>
  <c r="C149" i="148"/>
  <c r="C89" i="148"/>
  <c r="C144" i="148"/>
  <c r="C154" i="148"/>
  <c r="C129" i="148"/>
  <c r="C33" i="148"/>
  <c r="C79" i="148"/>
  <c r="C38" i="148"/>
  <c r="C114" i="148"/>
  <c r="C54" i="148"/>
  <c r="C99" i="148"/>
  <c r="C13" i="148"/>
  <c r="C59" i="148"/>
  <c r="C119" i="148"/>
  <c r="C18" i="148"/>
  <c r="C64" i="148"/>
  <c r="C23" i="148"/>
  <c r="C28" i="148"/>
  <c r="D20" i="143"/>
  <c r="D28" i="143"/>
  <c r="D36" i="143"/>
  <c r="D44" i="143"/>
  <c r="D52" i="143"/>
  <c r="D60" i="143"/>
  <c r="D68" i="143"/>
  <c r="D12" i="143"/>
  <c r="C8" i="142" l="1"/>
  <c r="C7" i="142"/>
  <c r="J176" i="145" l="1"/>
  <c r="J168" i="145"/>
  <c r="J160" i="145"/>
  <c r="N7" i="134" l="1"/>
  <c r="M7" i="134"/>
  <c r="L7" i="134"/>
  <c r="K7" i="134"/>
  <c r="J7" i="134"/>
  <c r="I7" i="134"/>
  <c r="H7" i="134"/>
  <c r="G7" i="134"/>
  <c r="F7" i="134"/>
  <c r="E7" i="134"/>
  <c r="D7" i="134"/>
  <c r="C7" i="134"/>
  <c r="N6" i="134"/>
  <c r="M6" i="134"/>
  <c r="L6" i="134"/>
  <c r="K6" i="134"/>
  <c r="J6" i="134"/>
  <c r="I6" i="134"/>
  <c r="H6" i="134"/>
  <c r="G6" i="134"/>
  <c r="F6" i="134"/>
  <c r="E6" i="134"/>
  <c r="D6" i="134"/>
  <c r="C6" i="134"/>
  <c r="F209" i="143" l="1"/>
  <c r="F201" i="143"/>
  <c r="F193" i="143"/>
  <c r="F185" i="143"/>
  <c r="F177" i="143"/>
  <c r="F169" i="143"/>
  <c r="F153" i="143"/>
  <c r="F161" i="143"/>
  <c r="H24" i="147"/>
  <c r="H26" i="147"/>
  <c r="H38" i="147" s="1"/>
  <c r="H50" i="147" s="1"/>
  <c r="H27" i="147"/>
  <c r="H39" i="147" s="1"/>
  <c r="H51" i="147" s="1"/>
  <c r="H30" i="147"/>
  <c r="H42" i="147" s="1"/>
  <c r="H54" i="147" s="1"/>
  <c r="H36" i="147"/>
  <c r="H48" i="147" s="1"/>
  <c r="H17" i="147"/>
  <c r="H29" i="147" s="1"/>
  <c r="H41" i="147" s="1"/>
  <c r="H53" i="147" s="1"/>
  <c r="H16" i="147"/>
  <c r="H28" i="147" s="1"/>
  <c r="H40" i="147" s="1"/>
  <c r="H52" i="147" s="1"/>
  <c r="H15" i="147"/>
  <c r="H14" i="147"/>
  <c r="H13" i="147"/>
  <c r="H25" i="147" s="1"/>
  <c r="H37" i="147" s="1"/>
  <c r="H49" i="147" s="1"/>
  <c r="H11" i="147"/>
  <c r="H23" i="147" s="1"/>
  <c r="H35" i="147" s="1"/>
  <c r="H47" i="147" s="1"/>
  <c r="H10" i="147"/>
  <c r="H22" i="147" s="1"/>
  <c r="H34" i="147" s="1"/>
  <c r="H46" i="147" s="1"/>
  <c r="H9" i="147"/>
  <c r="H21" i="147" s="1"/>
  <c r="H33" i="147" s="1"/>
  <c r="H45" i="147" s="1"/>
  <c r="H8" i="147"/>
  <c r="H20" i="147" s="1"/>
  <c r="H32" i="147" s="1"/>
  <c r="H44" i="147" s="1"/>
  <c r="H7" i="147"/>
  <c r="H19" i="147" s="1"/>
  <c r="H31" i="147" s="1"/>
  <c r="H43" i="147" s="1"/>
  <c r="D13" i="147"/>
  <c r="J70" i="143" l="1"/>
  <c r="J68" i="143"/>
  <c r="J67" i="143"/>
  <c r="J66" i="143"/>
  <c r="J65" i="143"/>
  <c r="J64" i="143"/>
  <c r="J63" i="143"/>
  <c r="J54" i="143"/>
  <c r="J52" i="143"/>
  <c r="J51" i="143"/>
  <c r="J50" i="143"/>
  <c r="J49" i="143"/>
  <c r="J48" i="143"/>
  <c r="J47" i="143"/>
  <c r="J38" i="143"/>
  <c r="J36" i="143"/>
  <c r="J35" i="143"/>
  <c r="J34" i="143"/>
  <c r="J33" i="143"/>
  <c r="J32" i="143"/>
  <c r="J31" i="143"/>
  <c r="J16" i="143"/>
  <c r="J17" i="143"/>
  <c r="J18" i="143"/>
  <c r="J19" i="143"/>
  <c r="J20" i="143"/>
  <c r="J22" i="143"/>
  <c r="J15" i="143"/>
  <c r="C43" i="137" l="1"/>
  <c r="K37" i="144" l="1"/>
  <c r="H37" i="144"/>
  <c r="D42" i="144"/>
  <c r="D40" i="144"/>
  <c r="D38" i="144"/>
  <c r="O19" i="144"/>
  <c r="C42" i="144" s="1"/>
  <c r="O18" i="144"/>
  <c r="C40" i="144" s="1"/>
  <c r="O17" i="144"/>
  <c r="C38" i="144" s="1"/>
  <c r="R19" i="144"/>
  <c r="Q19" i="144"/>
  <c r="R18" i="144"/>
  <c r="Q18" i="144"/>
  <c r="R17" i="144"/>
  <c r="Q17" i="144"/>
  <c r="D17" i="144" l="1"/>
  <c r="D16" i="144"/>
  <c r="O16" i="144"/>
  <c r="C17" i="144" s="1"/>
  <c r="O15" i="144"/>
  <c r="C16" i="144" s="1"/>
  <c r="R16" i="144"/>
  <c r="Q16" i="144"/>
  <c r="R15" i="144"/>
  <c r="Q15" i="144"/>
  <c r="O14" i="144"/>
  <c r="R102" i="149" l="1"/>
  <c r="R92" i="149"/>
  <c r="R82" i="149"/>
  <c r="R72" i="149"/>
  <c r="R62" i="149"/>
  <c r="R52" i="149"/>
  <c r="R32" i="149"/>
  <c r="G109" i="149" l="1"/>
  <c r="F6" i="149"/>
  <c r="F109" i="149" s="1"/>
  <c r="BX43" i="137"/>
  <c r="R5" i="149" s="1"/>
  <c r="BW43" i="137"/>
  <c r="Q5" i="149" s="1"/>
  <c r="BF43" i="137"/>
  <c r="L5" i="149" s="1"/>
  <c r="AU43" i="137"/>
  <c r="K5" i="149" s="1"/>
  <c r="AL43" i="137"/>
  <c r="J5" i="149" s="1"/>
  <c r="AE43" i="137"/>
  <c r="H5" i="149" s="1"/>
  <c r="N43" i="137"/>
  <c r="F5" i="149" s="1"/>
  <c r="L43" i="137"/>
  <c r="M43" i="137"/>
  <c r="D5" i="149" s="1"/>
  <c r="BZ37" i="137"/>
  <c r="D6" i="149"/>
  <c r="D109" i="149" s="1"/>
  <c r="O32" i="153" l="1"/>
  <c r="O24" i="153"/>
  <c r="O16" i="153"/>
  <c r="O8" i="153"/>
  <c r="O31" i="153"/>
  <c r="O23" i="153"/>
  <c r="O15" i="153"/>
  <c r="O7" i="153"/>
  <c r="Q46" i="148"/>
  <c r="Q45" i="148"/>
  <c r="Q44" i="148"/>
  <c r="Q42" i="148"/>
  <c r="Q41" i="148"/>
  <c r="Q40" i="148"/>
  <c r="Q39" i="148"/>
  <c r="Q37" i="148"/>
  <c r="Q36" i="148"/>
  <c r="Q35" i="148"/>
  <c r="Q34" i="148"/>
  <c r="Q32" i="148"/>
  <c r="Q31" i="148"/>
  <c r="Q30" i="148"/>
  <c r="Q29" i="148"/>
  <c r="Q27" i="148"/>
  <c r="Q26" i="148"/>
  <c r="Q25" i="148"/>
  <c r="Q24" i="148"/>
  <c r="Q22" i="148"/>
  <c r="Q21" i="148"/>
  <c r="Q20" i="148"/>
  <c r="Q19" i="148"/>
  <c r="Q17" i="148"/>
  <c r="Q16" i="148"/>
  <c r="Q15" i="148"/>
  <c r="Q14" i="148"/>
  <c r="Q12" i="148"/>
  <c r="Q11" i="148"/>
  <c r="Q10" i="148"/>
  <c r="Q9" i="148"/>
  <c r="Q7" i="148"/>
  <c r="Q54" i="147"/>
  <c r="Q53" i="147"/>
  <c r="Q52" i="147"/>
  <c r="Q51" i="147"/>
  <c r="Q50" i="147"/>
  <c r="Q49" i="147"/>
  <c r="Q42" i="147"/>
  <c r="Q41" i="147"/>
  <c r="Q40" i="147"/>
  <c r="Q39" i="147"/>
  <c r="Q38" i="147"/>
  <c r="Q37" i="147"/>
  <c r="Q30" i="147"/>
  <c r="Q29" i="147"/>
  <c r="Q28" i="147"/>
  <c r="Q27" i="147"/>
  <c r="Q26" i="147"/>
  <c r="Q25" i="147"/>
  <c r="Q18" i="147"/>
  <c r="Q17" i="147"/>
  <c r="Q16" i="147"/>
  <c r="Q15" i="147"/>
  <c r="Q14" i="147"/>
  <c r="Q13" i="147"/>
  <c r="Q48" i="147"/>
  <c r="Q47" i="147"/>
  <c r="Q46" i="147"/>
  <c r="Q45" i="147"/>
  <c r="Q44" i="147"/>
  <c r="Q43" i="147"/>
  <c r="Q24" i="147"/>
  <c r="Q23" i="147"/>
  <c r="Q22" i="147"/>
  <c r="Q21" i="147"/>
  <c r="Q20" i="147"/>
  <c r="Q19" i="147"/>
  <c r="Q12" i="147"/>
  <c r="Q11" i="147"/>
  <c r="Q10" i="147"/>
  <c r="Q9" i="147"/>
  <c r="Q8" i="147"/>
  <c r="Q7" i="147"/>
  <c r="Q36" i="147"/>
  <c r="Q35" i="147"/>
  <c r="Q34" i="147"/>
  <c r="Q33" i="147"/>
  <c r="Q32" i="147"/>
  <c r="Q31" i="147"/>
  <c r="E20" i="142" l="1"/>
  <c r="C22" i="142"/>
  <c r="C21" i="142"/>
  <c r="B8" i="142"/>
  <c r="B22" i="142" s="1"/>
  <c r="B7" i="142"/>
  <c r="B21" i="142" s="1"/>
  <c r="U18" i="142" l="1"/>
  <c r="U17" i="142"/>
  <c r="T18" i="142"/>
  <c r="H24" i="145" s="1"/>
  <c r="T17" i="142"/>
  <c r="H23" i="145" s="1"/>
  <c r="E21" i="142" l="1"/>
  <c r="I7" i="142" s="1"/>
  <c r="F54" i="145"/>
  <c r="E22" i="142"/>
  <c r="I8" i="142" s="1"/>
  <c r="E15" i="142"/>
  <c r="R11" i="149" s="1"/>
  <c r="R12" i="149" s="1"/>
  <c r="J155" i="145" l="1"/>
  <c r="J164" i="145"/>
  <c r="J172" i="145"/>
  <c r="J178" i="145"/>
  <c r="J152" i="145" l="1"/>
  <c r="J156" i="145" s="1"/>
  <c r="J180" i="145"/>
  <c r="J157" i="145"/>
  <c r="J154" i="145"/>
  <c r="J181" i="145"/>
  <c r="J179" i="145"/>
  <c r="J170" i="145"/>
  <c r="J163" i="145"/>
  <c r="J162" i="145"/>
  <c r="J165" i="145"/>
  <c r="J173" i="145"/>
  <c r="J171" i="145"/>
  <c r="C4" i="134" l="1"/>
  <c r="E15" i="144" l="1"/>
  <c r="E38" i="144" l="1"/>
  <c r="E40" i="144" s="1"/>
  <c r="E42" i="144" s="1"/>
  <c r="E16" i="144"/>
  <c r="E17" i="144" s="1"/>
  <c r="R103" i="149" l="1"/>
  <c r="R93" i="149"/>
  <c r="R83" i="149"/>
  <c r="R73" i="149"/>
  <c r="R63" i="149"/>
  <c r="R53" i="149"/>
  <c r="R43" i="149"/>
  <c r="R33" i="149"/>
  <c r="K9" i="145" l="1"/>
  <c r="K8" i="145"/>
  <c r="F82" i="145"/>
  <c r="F83" i="145"/>
  <c r="F84" i="145"/>
  <c r="F71" i="145"/>
  <c r="F72" i="145"/>
  <c r="F73" i="145"/>
  <c r="F74" i="145"/>
  <c r="F75" i="145"/>
  <c r="F76" i="145"/>
  <c r="F77" i="145"/>
  <c r="F70" i="145"/>
  <c r="F63" i="145"/>
  <c r="F64" i="145"/>
  <c r="F65" i="145"/>
  <c r="F66" i="145"/>
  <c r="F67" i="145"/>
  <c r="F68" i="145"/>
  <c r="F69" i="145"/>
  <c r="F62" i="145"/>
  <c r="F55" i="145"/>
  <c r="F56" i="145"/>
  <c r="F57" i="145"/>
  <c r="F58" i="145"/>
  <c r="F59" i="145"/>
  <c r="F60" i="145"/>
  <c r="F61" i="145"/>
  <c r="F85" i="145"/>
  <c r="F81" i="145"/>
  <c r="F80" i="145"/>
  <c r="F79" i="145"/>
  <c r="F78" i="145"/>
  <c r="D92" i="148" l="1"/>
  <c r="D91" i="148"/>
  <c r="D90" i="148"/>
  <c r="D88" i="148"/>
  <c r="D87" i="148"/>
  <c r="D86" i="148"/>
  <c r="D85" i="148"/>
  <c r="D83" i="148"/>
  <c r="D82" i="148"/>
  <c r="D81" i="148"/>
  <c r="D80" i="148"/>
  <c r="D78" i="148"/>
  <c r="D77" i="148"/>
  <c r="D76" i="148"/>
  <c r="D75" i="148"/>
  <c r="D73" i="148"/>
  <c r="D72" i="148"/>
  <c r="D71" i="148"/>
  <c r="D70" i="148"/>
  <c r="D68" i="148"/>
  <c r="D67" i="148"/>
  <c r="D66" i="148"/>
  <c r="D65" i="148"/>
  <c r="D63" i="148"/>
  <c r="D62" i="148"/>
  <c r="D61" i="148"/>
  <c r="D60" i="148"/>
  <c r="D58" i="148"/>
  <c r="D57" i="148"/>
  <c r="D56" i="148"/>
  <c r="D55" i="148"/>
  <c r="D53" i="148"/>
  <c r="D45" i="148"/>
  <c r="D44" i="148"/>
  <c r="D42" i="148"/>
  <c r="D40" i="148"/>
  <c r="D39" i="148"/>
  <c r="D37" i="148"/>
  <c r="D35" i="148"/>
  <c r="D34" i="148"/>
  <c r="D32" i="148"/>
  <c r="D30" i="148"/>
  <c r="D29" i="148"/>
  <c r="D27" i="148"/>
  <c r="D25" i="148"/>
  <c r="D24" i="148"/>
  <c r="D20" i="148"/>
  <c r="D19" i="148"/>
  <c r="D17" i="148"/>
  <c r="D15" i="148"/>
  <c r="D14" i="148"/>
  <c r="D12" i="148"/>
  <c r="D10" i="148"/>
  <c r="AC38" i="135"/>
  <c r="AC37" i="135"/>
  <c r="AA48" i="135"/>
  <c r="E162" i="152" s="1"/>
  <c r="AA49" i="135"/>
  <c r="E165" i="152" s="1"/>
  <c r="AA50" i="135"/>
  <c r="E170" i="152" s="1"/>
  <c r="AA51" i="135"/>
  <c r="E174" i="152" s="1"/>
  <c r="AA52" i="135"/>
  <c r="E178" i="152" s="1"/>
  <c r="AA53" i="135"/>
  <c r="A88" i="149" s="1"/>
  <c r="E185" i="152"/>
  <c r="AA47" i="135"/>
  <c r="E157" i="152" s="1"/>
  <c r="AA40" i="135"/>
  <c r="AA41" i="135"/>
  <c r="AA42" i="135"/>
  <c r="AA43" i="135"/>
  <c r="AA44" i="135"/>
  <c r="AA45" i="135"/>
  <c r="AA39" i="135"/>
  <c r="AA32" i="135"/>
  <c r="A35" i="149" s="1"/>
  <c r="AA33" i="135"/>
  <c r="E64" i="146" s="1"/>
  <c r="AA34" i="135"/>
  <c r="E65" i="146" s="1"/>
  <c r="AA35" i="135"/>
  <c r="A65" i="149" s="1"/>
  <c r="AA36" i="135"/>
  <c r="E39" i="146" s="1"/>
  <c r="AA37" i="135"/>
  <c r="AA31" i="135"/>
  <c r="E7" i="146" s="1"/>
  <c r="E193" i="148" l="1"/>
  <c r="E104" i="148"/>
  <c r="E13" i="148"/>
  <c r="E149" i="148"/>
  <c r="P13" i="148"/>
  <c r="E194" i="148"/>
  <c r="E223" i="148"/>
  <c r="E224" i="148"/>
  <c r="E134" i="148"/>
  <c r="E179" i="148"/>
  <c r="E43" i="148"/>
  <c r="P43" i="148"/>
  <c r="A27" i="149"/>
  <c r="E189" i="148"/>
  <c r="E144" i="148"/>
  <c r="E99" i="148"/>
  <c r="E8" i="148"/>
  <c r="P8" i="148"/>
  <c r="E9" i="148"/>
  <c r="E218" i="148"/>
  <c r="E219" i="148"/>
  <c r="E129" i="148"/>
  <c r="E174" i="148"/>
  <c r="E38" i="148"/>
  <c r="P38" i="148"/>
  <c r="E215" i="148"/>
  <c r="E214" i="148"/>
  <c r="E124" i="148"/>
  <c r="P33" i="148"/>
  <c r="E169" i="148"/>
  <c r="E33" i="148"/>
  <c r="E122" i="148"/>
  <c r="E164" i="148"/>
  <c r="E28" i="148"/>
  <c r="E209" i="148"/>
  <c r="P28" i="148"/>
  <c r="E119" i="148"/>
  <c r="P24" i="148"/>
  <c r="E159" i="148"/>
  <c r="E23" i="148"/>
  <c r="E204" i="148"/>
  <c r="P23" i="148"/>
  <c r="E22" i="148"/>
  <c r="E114" i="148"/>
  <c r="D40" i="145"/>
  <c r="P18" i="148"/>
  <c r="E18" i="148"/>
  <c r="E199" i="148"/>
  <c r="E154" i="148"/>
  <c r="E109" i="148"/>
  <c r="D53" i="145"/>
  <c r="M36" i="152"/>
  <c r="E135" i="148"/>
  <c r="M38" i="152"/>
  <c r="A57" i="149"/>
  <c r="P21" i="148"/>
  <c r="E19" i="148"/>
  <c r="D48" i="145"/>
  <c r="E201" i="148"/>
  <c r="E202" i="148"/>
  <c r="E129" i="152"/>
  <c r="E166" i="152"/>
  <c r="P20" i="148"/>
  <c r="E122" i="152"/>
  <c r="E85" i="152"/>
  <c r="E11" i="148"/>
  <c r="E84" i="152"/>
  <c r="E20" i="146"/>
  <c r="E100" i="148"/>
  <c r="E101" i="148"/>
  <c r="E62" i="146"/>
  <c r="E176" i="148"/>
  <c r="E11" i="146"/>
  <c r="E48" i="146"/>
  <c r="A25" i="149"/>
  <c r="P11" i="148"/>
  <c r="E41" i="148"/>
  <c r="E130" i="148"/>
  <c r="E156" i="148"/>
  <c r="E192" i="148"/>
  <c r="M34" i="152"/>
  <c r="E36" i="152"/>
  <c r="E112" i="152"/>
  <c r="E158" i="152"/>
  <c r="E175" i="148"/>
  <c r="E13" i="146"/>
  <c r="E52" i="146"/>
  <c r="A55" i="149"/>
  <c r="P19" i="148"/>
  <c r="E10" i="148"/>
  <c r="E44" i="148"/>
  <c r="E131" i="148"/>
  <c r="E157" i="148"/>
  <c r="E200" i="148"/>
  <c r="M35" i="152"/>
  <c r="E38" i="152"/>
  <c r="E121" i="152"/>
  <c r="E159" i="152"/>
  <c r="A85" i="149"/>
  <c r="D52" i="145"/>
  <c r="E66" i="146"/>
  <c r="A87" i="149"/>
  <c r="P39" i="148"/>
  <c r="E20" i="148"/>
  <c r="E102" i="148"/>
  <c r="E145" i="148"/>
  <c r="E177" i="148"/>
  <c r="E220" i="148"/>
  <c r="E18" i="152"/>
  <c r="E92" i="152"/>
  <c r="E145" i="152"/>
  <c r="E183" i="152"/>
  <c r="R10" i="146"/>
  <c r="E34" i="146"/>
  <c r="E68" i="146"/>
  <c r="A95" i="149"/>
  <c r="P40" i="148"/>
  <c r="E21" i="148"/>
  <c r="E110" i="148"/>
  <c r="E146" i="148"/>
  <c r="E180" i="148"/>
  <c r="E221" i="148"/>
  <c r="E19" i="152"/>
  <c r="E108" i="152"/>
  <c r="E146" i="152"/>
  <c r="E184" i="152"/>
  <c r="E54" i="146"/>
  <c r="E182" i="152"/>
  <c r="R12" i="146"/>
  <c r="E38" i="146"/>
  <c r="A38" i="149"/>
  <c r="P9" i="148"/>
  <c r="P41" i="148"/>
  <c r="E39" i="148"/>
  <c r="E111" i="148"/>
  <c r="E147" i="148"/>
  <c r="E190" i="148"/>
  <c r="E222" i="148"/>
  <c r="M18" i="152"/>
  <c r="E34" i="152"/>
  <c r="E109" i="152"/>
  <c r="E147" i="152"/>
  <c r="E186" i="152"/>
  <c r="E132" i="148"/>
  <c r="E40" i="146"/>
  <c r="A28" i="149"/>
  <c r="P10" i="148"/>
  <c r="P44" i="148"/>
  <c r="E40" i="148"/>
  <c r="E112" i="148"/>
  <c r="E155" i="148"/>
  <c r="E191" i="148"/>
  <c r="E225" i="148"/>
  <c r="M19" i="152"/>
  <c r="E35" i="152"/>
  <c r="E110" i="152"/>
  <c r="E149" i="152"/>
  <c r="D43" i="145"/>
  <c r="E166" i="148"/>
  <c r="E211" i="148"/>
  <c r="E167" i="148"/>
  <c r="E212" i="148"/>
  <c r="D50" i="145"/>
  <c r="D39" i="145"/>
  <c r="A37" i="149"/>
  <c r="A67" i="149"/>
  <c r="P14" i="148"/>
  <c r="E24" i="148"/>
  <c r="M30" i="152"/>
  <c r="E22" i="152"/>
  <c r="E30" i="152"/>
  <c r="E88" i="152"/>
  <c r="E96" i="152"/>
  <c r="E104" i="152"/>
  <c r="E125" i="152"/>
  <c r="E141" i="152"/>
  <c r="D38" i="145"/>
  <c r="E8" i="146"/>
  <c r="E21" i="146"/>
  <c r="E35" i="146"/>
  <c r="E49" i="146"/>
  <c r="E63" i="146"/>
  <c r="A45" i="149"/>
  <c r="A68" i="149"/>
  <c r="A97" i="149"/>
  <c r="P15" i="148"/>
  <c r="P25" i="148"/>
  <c r="P35" i="148"/>
  <c r="P45" i="148"/>
  <c r="E15" i="148"/>
  <c r="E25" i="148"/>
  <c r="E35" i="148"/>
  <c r="E45" i="148"/>
  <c r="E106" i="148"/>
  <c r="E116" i="148"/>
  <c r="E126" i="148"/>
  <c r="E136" i="148"/>
  <c r="E151" i="148"/>
  <c r="E161" i="148"/>
  <c r="E171" i="148"/>
  <c r="E181" i="148"/>
  <c r="E196" i="148"/>
  <c r="E206" i="148"/>
  <c r="E216" i="148"/>
  <c r="E226" i="148"/>
  <c r="M15" i="152"/>
  <c r="M23" i="152"/>
  <c r="M31" i="152"/>
  <c r="E15" i="152"/>
  <c r="E23" i="152"/>
  <c r="E31" i="152"/>
  <c r="E81" i="152"/>
  <c r="E89" i="152"/>
  <c r="E97" i="152"/>
  <c r="E105" i="152"/>
  <c r="E118" i="152"/>
  <c r="E126" i="152"/>
  <c r="E134" i="152"/>
  <c r="E142" i="152"/>
  <c r="E155" i="152"/>
  <c r="E163" i="152"/>
  <c r="E171" i="152"/>
  <c r="E179" i="152"/>
  <c r="A58" i="149"/>
  <c r="P31" i="148"/>
  <c r="E31" i="148"/>
  <c r="E195" i="148"/>
  <c r="M22" i="152"/>
  <c r="E133" i="152"/>
  <c r="D45" i="145"/>
  <c r="E9" i="146"/>
  <c r="E36" i="146"/>
  <c r="E50" i="146"/>
  <c r="A47" i="149"/>
  <c r="A75" i="149"/>
  <c r="A98" i="149"/>
  <c r="P16" i="148"/>
  <c r="P26" i="148"/>
  <c r="P36" i="148"/>
  <c r="P46" i="148"/>
  <c r="E16" i="148"/>
  <c r="E26" i="148"/>
  <c r="E36" i="148"/>
  <c r="E46" i="148"/>
  <c r="E107" i="148"/>
  <c r="E117" i="148"/>
  <c r="E127" i="148"/>
  <c r="E137" i="148"/>
  <c r="E152" i="148"/>
  <c r="E162" i="148"/>
  <c r="E172" i="148"/>
  <c r="E182" i="148"/>
  <c r="E197" i="148"/>
  <c r="E207" i="148"/>
  <c r="E217" i="148"/>
  <c r="E227" i="148"/>
  <c r="M16" i="152"/>
  <c r="M24" i="152"/>
  <c r="M32" i="152"/>
  <c r="E16" i="152"/>
  <c r="E24" i="152"/>
  <c r="E32" i="152"/>
  <c r="E82" i="152"/>
  <c r="E90" i="152"/>
  <c r="E98" i="152"/>
  <c r="E106" i="152"/>
  <c r="E119" i="152"/>
  <c r="E127" i="152"/>
  <c r="E135" i="152"/>
  <c r="E143" i="152"/>
  <c r="E156" i="152"/>
  <c r="E164" i="152"/>
  <c r="E172" i="152"/>
  <c r="E180" i="152"/>
  <c r="E12" i="146"/>
  <c r="E67" i="146"/>
  <c r="E27" i="152"/>
  <c r="E14" i="148"/>
  <c r="E105" i="148"/>
  <c r="E115" i="148"/>
  <c r="E125" i="148"/>
  <c r="E150" i="148"/>
  <c r="E160" i="148"/>
  <c r="E170" i="148"/>
  <c r="E205" i="148"/>
  <c r="D49" i="145"/>
  <c r="D44" i="145"/>
  <c r="R9" i="146"/>
  <c r="E10" i="146"/>
  <c r="E37" i="146"/>
  <c r="E51" i="146"/>
  <c r="A48" i="149"/>
  <c r="A77" i="149"/>
  <c r="P7" i="148"/>
  <c r="P17" i="148"/>
  <c r="P27" i="148"/>
  <c r="P37" i="148"/>
  <c r="E7" i="148"/>
  <c r="E17" i="148"/>
  <c r="E27" i="148"/>
  <c r="E37" i="148"/>
  <c r="E98" i="148"/>
  <c r="E108" i="148"/>
  <c r="E118" i="148"/>
  <c r="E128" i="148"/>
  <c r="E143" i="148"/>
  <c r="E153" i="148"/>
  <c r="E163" i="148"/>
  <c r="E173" i="148"/>
  <c r="E188" i="148"/>
  <c r="E198" i="148"/>
  <c r="E208" i="148"/>
  <c r="M17" i="152"/>
  <c r="M25" i="152"/>
  <c r="M33" i="152"/>
  <c r="E17" i="152"/>
  <c r="E25" i="152"/>
  <c r="E33" i="152"/>
  <c r="E83" i="152"/>
  <c r="E91" i="152"/>
  <c r="E99" i="152"/>
  <c r="E107" i="152"/>
  <c r="E120" i="152"/>
  <c r="E128" i="152"/>
  <c r="E136" i="152"/>
  <c r="E144" i="152"/>
  <c r="E173" i="152"/>
  <c r="E181" i="152"/>
  <c r="E165" i="148"/>
  <c r="E210" i="148"/>
  <c r="M26" i="152"/>
  <c r="E26" i="152"/>
  <c r="E100" i="152"/>
  <c r="E137" i="152"/>
  <c r="E121" i="148"/>
  <c r="M27" i="152"/>
  <c r="E93" i="152"/>
  <c r="E101" i="152"/>
  <c r="E130" i="152"/>
  <c r="E138" i="152"/>
  <c r="E167" i="152"/>
  <c r="E175" i="152"/>
  <c r="P29" i="148"/>
  <c r="E29" i="148"/>
  <c r="E120" i="148"/>
  <c r="R11" i="146"/>
  <c r="E53" i="146"/>
  <c r="E30" i="148"/>
  <c r="D41" i="145"/>
  <c r="A78" i="149"/>
  <c r="P30" i="148"/>
  <c r="M20" i="152"/>
  <c r="M28" i="152"/>
  <c r="E20" i="152"/>
  <c r="E28" i="152"/>
  <c r="E86" i="152"/>
  <c r="E94" i="152"/>
  <c r="E102" i="152"/>
  <c r="E123" i="152"/>
  <c r="E131" i="152"/>
  <c r="E139" i="152"/>
  <c r="E160" i="152"/>
  <c r="E168" i="152"/>
  <c r="E176" i="152"/>
  <c r="D51" i="145"/>
  <c r="R13" i="146"/>
  <c r="E14" i="146"/>
  <c r="E41" i="146"/>
  <c r="E55" i="146"/>
  <c r="E69" i="146"/>
  <c r="P12" i="148"/>
  <c r="P22" i="148"/>
  <c r="P32" i="148"/>
  <c r="P42" i="148"/>
  <c r="E12" i="148"/>
  <c r="E32" i="148"/>
  <c r="E42" i="148"/>
  <c r="E103" i="148"/>
  <c r="E113" i="148"/>
  <c r="E123" i="148"/>
  <c r="E133" i="148"/>
  <c r="E148" i="148"/>
  <c r="E158" i="148"/>
  <c r="E168" i="148"/>
  <c r="E178" i="148"/>
  <c r="E203" i="148"/>
  <c r="E213" i="148"/>
  <c r="M21" i="152"/>
  <c r="M29" i="152"/>
  <c r="M37" i="152"/>
  <c r="E21" i="152"/>
  <c r="E29" i="152"/>
  <c r="E37" i="152"/>
  <c r="E87" i="152"/>
  <c r="E95" i="152"/>
  <c r="E103" i="152"/>
  <c r="E111" i="152"/>
  <c r="E124" i="152"/>
  <c r="E132" i="152"/>
  <c r="E140" i="152"/>
  <c r="E148" i="152"/>
  <c r="E161" i="152"/>
  <c r="E169" i="152"/>
  <c r="E177" i="152"/>
  <c r="D42" i="145"/>
  <c r="P34" i="148"/>
  <c r="E34" i="148"/>
  <c r="C185" i="152"/>
  <c r="C182" i="152"/>
  <c r="D75" i="152"/>
  <c r="D74" i="152"/>
  <c r="D73" i="152"/>
  <c r="D72" i="152"/>
  <c r="D71" i="152"/>
  <c r="D70" i="152"/>
  <c r="D69" i="152"/>
  <c r="D68" i="152"/>
  <c r="D38" i="152"/>
  <c r="D37" i="152"/>
  <c r="D36" i="152"/>
  <c r="D35" i="152"/>
  <c r="D34" i="152"/>
  <c r="D33" i="152"/>
  <c r="D32" i="152"/>
  <c r="D31" i="152"/>
  <c r="C38" i="152"/>
  <c r="C37" i="152"/>
  <c r="C73" i="152"/>
  <c r="C35" i="152"/>
  <c r="C34" i="152"/>
  <c r="C33" i="152"/>
  <c r="C69" i="152"/>
  <c r="C68" i="152"/>
  <c r="P38" i="152"/>
  <c r="O38" i="152"/>
  <c r="P37" i="152"/>
  <c r="O37" i="152"/>
  <c r="P36" i="152"/>
  <c r="O36" i="152"/>
  <c r="P35" i="152"/>
  <c r="O35" i="152"/>
  <c r="P34" i="152"/>
  <c r="O34" i="152"/>
  <c r="P33" i="152"/>
  <c r="O33" i="152"/>
  <c r="P32" i="152"/>
  <c r="O32" i="152"/>
  <c r="P31" i="152"/>
  <c r="O31" i="152"/>
  <c r="G108" i="145"/>
  <c r="G109" i="145" s="1"/>
  <c r="G110" i="145" s="1"/>
  <c r="C227" i="148"/>
  <c r="C222" i="148"/>
  <c r="I182" i="148"/>
  <c r="C137" i="148"/>
  <c r="I181" i="148"/>
  <c r="I180" i="148"/>
  <c r="I178" i="148"/>
  <c r="I177" i="148"/>
  <c r="C132" i="148"/>
  <c r="I176" i="148"/>
  <c r="I175" i="148"/>
  <c r="I173" i="148"/>
  <c r="D46" i="148"/>
  <c r="D41" i="148"/>
  <c r="C46" i="148"/>
  <c r="C45" i="148"/>
  <c r="C44" i="148"/>
  <c r="C42" i="148"/>
  <c r="C41" i="148"/>
  <c r="C40" i="148"/>
  <c r="C39" i="148"/>
  <c r="C37" i="148"/>
  <c r="S46" i="148"/>
  <c r="R46" i="148"/>
  <c r="S45" i="148"/>
  <c r="R45" i="148"/>
  <c r="S44" i="148"/>
  <c r="R44" i="148"/>
  <c r="S42" i="148"/>
  <c r="R42" i="148"/>
  <c r="S41" i="148"/>
  <c r="R41" i="148"/>
  <c r="S40" i="148"/>
  <c r="R40" i="148"/>
  <c r="S39" i="148"/>
  <c r="R39" i="148"/>
  <c r="S37" i="148"/>
  <c r="R37" i="148"/>
  <c r="H154" i="148" l="1"/>
  <c r="H169" i="148"/>
  <c r="B13" i="148"/>
  <c r="B149" i="148"/>
  <c r="H149" i="148" s="1"/>
  <c r="B104" i="148"/>
  <c r="B59" i="148"/>
  <c r="B194" i="148"/>
  <c r="H164" i="148"/>
  <c r="H179" i="148"/>
  <c r="H159" i="148"/>
  <c r="B8" i="148"/>
  <c r="B189" i="148"/>
  <c r="B99" i="148"/>
  <c r="B144" i="148"/>
  <c r="H144" i="148" s="1"/>
  <c r="B54" i="148"/>
  <c r="H174" i="148"/>
  <c r="C220" i="148"/>
  <c r="C130" i="148"/>
  <c r="C221" i="148"/>
  <c r="C175" i="148"/>
  <c r="C86" i="148"/>
  <c r="C176" i="148"/>
  <c r="C87" i="148"/>
  <c r="C177" i="148"/>
  <c r="C85" i="148"/>
  <c r="C92" i="148"/>
  <c r="C135" i="148"/>
  <c r="C182" i="148"/>
  <c r="C91" i="148"/>
  <c r="C181" i="148"/>
  <c r="C226" i="148"/>
  <c r="C131" i="148"/>
  <c r="C178" i="148"/>
  <c r="C223" i="148"/>
  <c r="C83" i="148"/>
  <c r="C128" i="148"/>
  <c r="C133" i="148"/>
  <c r="C173" i="148"/>
  <c r="C218" i="148"/>
  <c r="C88" i="148"/>
  <c r="C136" i="148"/>
  <c r="C90" i="148"/>
  <c r="C180" i="148"/>
  <c r="C225" i="148"/>
  <c r="C184" i="152"/>
  <c r="C179" i="152"/>
  <c r="C180" i="152"/>
  <c r="C183" i="152"/>
  <c r="C145" i="152"/>
  <c r="C149" i="152"/>
  <c r="C186" i="152"/>
  <c r="C181" i="152"/>
  <c r="C142" i="152"/>
  <c r="C146" i="152"/>
  <c r="C110" i="152"/>
  <c r="C105" i="152"/>
  <c r="C144" i="152"/>
  <c r="C148" i="152"/>
  <c r="C143" i="152"/>
  <c r="C147" i="152"/>
  <c r="C111" i="152"/>
  <c r="C108" i="152"/>
  <c r="C106" i="152"/>
  <c r="C109" i="152"/>
  <c r="C112" i="152"/>
  <c r="C72" i="152"/>
  <c r="C107" i="152"/>
  <c r="C70" i="152"/>
  <c r="C74" i="152"/>
  <c r="C32" i="152"/>
  <c r="C31" i="152"/>
  <c r="C36" i="152"/>
  <c r="C71" i="152"/>
  <c r="C75" i="152"/>
  <c r="G111" i="145"/>
  <c r="G113" i="145" s="1"/>
  <c r="B162" i="145"/>
  <c r="B163" i="145" s="1"/>
  <c r="B164" i="145" s="1"/>
  <c r="B165" i="145" s="1"/>
  <c r="B166" i="145" s="1"/>
  <c r="D54" i="147"/>
  <c r="D53" i="147"/>
  <c r="D52" i="147"/>
  <c r="D50" i="147"/>
  <c r="D49" i="147"/>
  <c r="D48" i="147"/>
  <c r="D47" i="147"/>
  <c r="D46" i="147"/>
  <c r="D44" i="147"/>
  <c r="D43" i="147"/>
  <c r="C54" i="147"/>
  <c r="C53" i="147"/>
  <c r="C52" i="147"/>
  <c r="C51" i="147"/>
  <c r="C103" i="147"/>
  <c r="C102" i="147"/>
  <c r="C48" i="147"/>
  <c r="C47" i="147"/>
  <c r="C99" i="147"/>
  <c r="C45" i="147"/>
  <c r="C44" i="147"/>
  <c r="C43" i="147"/>
  <c r="S54" i="147"/>
  <c r="R54" i="147"/>
  <c r="S53" i="147"/>
  <c r="R53" i="147"/>
  <c r="S52" i="147"/>
  <c r="R52" i="147"/>
  <c r="S51" i="147"/>
  <c r="R51" i="147"/>
  <c r="S50" i="147"/>
  <c r="R50" i="147"/>
  <c r="S49" i="147"/>
  <c r="R49" i="147"/>
  <c r="S48" i="147"/>
  <c r="R48" i="147"/>
  <c r="S47" i="147"/>
  <c r="R47" i="147"/>
  <c r="S46" i="147"/>
  <c r="R46" i="147"/>
  <c r="S45" i="147"/>
  <c r="R45" i="147"/>
  <c r="S44" i="147"/>
  <c r="R44" i="147"/>
  <c r="S43" i="147"/>
  <c r="R43" i="147"/>
  <c r="D37" i="147"/>
  <c r="D31" i="147"/>
  <c r="D25" i="147"/>
  <c r="D19" i="147"/>
  <c r="D7" i="147"/>
  <c r="I96" i="145"/>
  <c r="C68" i="146"/>
  <c r="C69" i="146"/>
  <c r="C54" i="146"/>
  <c r="C55" i="146"/>
  <c r="C40" i="146"/>
  <c r="C41" i="146"/>
  <c r="C13" i="146"/>
  <c r="D13" i="146"/>
  <c r="C14" i="146"/>
  <c r="D14" i="146"/>
  <c r="U13" i="146"/>
  <c r="T13" i="146"/>
  <c r="U12" i="146"/>
  <c r="T12" i="146"/>
  <c r="B110" i="145"/>
  <c r="B111" i="145" s="1"/>
  <c r="C349" i="143"/>
  <c r="C345" i="143"/>
  <c r="C344" i="143"/>
  <c r="C341" i="143"/>
  <c r="C337" i="143"/>
  <c r="C336" i="143"/>
  <c r="C277" i="143"/>
  <c r="C275" i="143"/>
  <c r="C274" i="143"/>
  <c r="C269" i="143"/>
  <c r="C206" i="143"/>
  <c r="C202" i="143"/>
  <c r="C201" i="143"/>
  <c r="C200" i="143"/>
  <c r="C198" i="143"/>
  <c r="C195" i="143"/>
  <c r="D63" i="143"/>
  <c r="D55" i="143"/>
  <c r="D47" i="143"/>
  <c r="D39" i="143"/>
  <c r="D31" i="143"/>
  <c r="D23" i="143"/>
  <c r="D15" i="143"/>
  <c r="D7" i="143"/>
  <c r="D70" i="143"/>
  <c r="D69" i="143"/>
  <c r="D67" i="143"/>
  <c r="D65" i="143"/>
  <c r="D64" i="143"/>
  <c r="D62" i="143"/>
  <c r="D61" i="143"/>
  <c r="D59" i="143"/>
  <c r="D57" i="143"/>
  <c r="D56" i="143"/>
  <c r="C140" i="143"/>
  <c r="C69" i="143"/>
  <c r="C138" i="143"/>
  <c r="C67" i="143"/>
  <c r="C66" i="143"/>
  <c r="C65" i="143"/>
  <c r="C64" i="143"/>
  <c r="C63" i="143"/>
  <c r="C132" i="143"/>
  <c r="C61" i="143"/>
  <c r="C60" i="143"/>
  <c r="C59" i="143"/>
  <c r="C58" i="143"/>
  <c r="C57" i="143"/>
  <c r="C126" i="143"/>
  <c r="C55" i="143"/>
  <c r="U70" i="143"/>
  <c r="T70" i="143"/>
  <c r="U69" i="143"/>
  <c r="T69" i="143"/>
  <c r="U68" i="143"/>
  <c r="T68" i="143"/>
  <c r="U67" i="143"/>
  <c r="T67" i="143"/>
  <c r="U66" i="143"/>
  <c r="T66" i="143"/>
  <c r="U65" i="143"/>
  <c r="T65" i="143"/>
  <c r="U64" i="143"/>
  <c r="T64" i="143"/>
  <c r="U63" i="143"/>
  <c r="T63" i="143"/>
  <c r="U62" i="143"/>
  <c r="T62" i="143"/>
  <c r="U61" i="143"/>
  <c r="T61" i="143"/>
  <c r="U60" i="143"/>
  <c r="T60" i="143"/>
  <c r="U59" i="143"/>
  <c r="T59" i="143"/>
  <c r="U58" i="143"/>
  <c r="T58" i="143"/>
  <c r="U57" i="143"/>
  <c r="T57" i="143"/>
  <c r="U56" i="143"/>
  <c r="T56" i="143"/>
  <c r="U55" i="143"/>
  <c r="T55" i="143"/>
  <c r="F10" i="144"/>
  <c r="E10" i="144"/>
  <c r="O22" i="144"/>
  <c r="O9" i="144"/>
  <c r="B167" i="145" l="1"/>
  <c r="B168" i="145" s="1"/>
  <c r="B169" i="145" s="1"/>
  <c r="B170" i="145" s="1"/>
  <c r="B171" i="145" s="1"/>
  <c r="B172" i="145" s="1"/>
  <c r="G114" i="145"/>
  <c r="C160" i="147"/>
  <c r="C259" i="147"/>
  <c r="C267" i="147"/>
  <c r="C262" i="147"/>
  <c r="C264" i="147"/>
  <c r="C266" i="147"/>
  <c r="C258" i="147"/>
  <c r="C261" i="147"/>
  <c r="C210" i="147"/>
  <c r="C257" i="147"/>
  <c r="C265" i="147"/>
  <c r="C260" i="147"/>
  <c r="C268" i="147"/>
  <c r="C214" i="147"/>
  <c r="C263" i="147"/>
  <c r="C203" i="147"/>
  <c r="C207" i="147"/>
  <c r="C211" i="147"/>
  <c r="C206" i="147"/>
  <c r="C205" i="147"/>
  <c r="C209" i="147"/>
  <c r="C213" i="147"/>
  <c r="C204" i="147"/>
  <c r="C208" i="147"/>
  <c r="C212" i="147"/>
  <c r="C155" i="147"/>
  <c r="C157" i="147"/>
  <c r="C151" i="147"/>
  <c r="C159" i="147"/>
  <c r="C154" i="147"/>
  <c r="C152" i="147"/>
  <c r="C150" i="147"/>
  <c r="C158" i="147"/>
  <c r="C153" i="147"/>
  <c r="C161" i="147"/>
  <c r="C106" i="147"/>
  <c r="C156" i="147"/>
  <c r="C97" i="147"/>
  <c r="C49" i="147"/>
  <c r="C105" i="147"/>
  <c r="C46" i="147"/>
  <c r="C100" i="147"/>
  <c r="C101" i="147"/>
  <c r="C96" i="147"/>
  <c r="C104" i="147"/>
  <c r="C107" i="147"/>
  <c r="C50" i="147"/>
  <c r="C98" i="147"/>
  <c r="C207" i="143"/>
  <c r="C340" i="143"/>
  <c r="C348" i="143"/>
  <c r="C199" i="143"/>
  <c r="C268" i="143"/>
  <c r="C273" i="143"/>
  <c r="C209" i="143"/>
  <c r="C350" i="143"/>
  <c r="C203" i="143"/>
  <c r="C210" i="143"/>
  <c r="C270" i="143"/>
  <c r="C276" i="143"/>
  <c r="C280" i="143"/>
  <c r="C278" i="143"/>
  <c r="C338" i="143"/>
  <c r="C346" i="143"/>
  <c r="C196" i="143"/>
  <c r="C204" i="143"/>
  <c r="C266" i="143"/>
  <c r="C271" i="143"/>
  <c r="C281" i="143"/>
  <c r="C339" i="143"/>
  <c r="C343" i="143"/>
  <c r="C347" i="143"/>
  <c r="C351" i="143"/>
  <c r="C208" i="143"/>
  <c r="C279" i="143"/>
  <c r="C342" i="143"/>
  <c r="C197" i="143"/>
  <c r="C205" i="143"/>
  <c r="C267" i="143"/>
  <c r="C272" i="143"/>
  <c r="B112" i="145"/>
  <c r="C56" i="143"/>
  <c r="C134" i="143"/>
  <c r="C68" i="143"/>
  <c r="C130" i="143"/>
  <c r="C135" i="143"/>
  <c r="C127" i="143"/>
  <c r="C125" i="143"/>
  <c r="C129" i="143"/>
  <c r="C133" i="143"/>
  <c r="C137" i="143"/>
  <c r="C131" i="143"/>
  <c r="C139" i="143"/>
  <c r="C70" i="143"/>
  <c r="C62" i="143"/>
  <c r="C128" i="143"/>
  <c r="C136" i="143"/>
  <c r="N19" i="149"/>
  <c r="F19" i="149"/>
  <c r="L19" i="149"/>
  <c r="Q19" i="149"/>
  <c r="I19" i="149"/>
  <c r="P19" i="149"/>
  <c r="O19" i="149"/>
  <c r="M19" i="149"/>
  <c r="K19" i="149"/>
  <c r="H19" i="149"/>
  <c r="G19" i="149"/>
  <c r="E19" i="149"/>
  <c r="J19" i="149"/>
  <c r="R19" i="149"/>
  <c r="D19" i="149"/>
  <c r="A180" i="149"/>
  <c r="A170" i="149"/>
  <c r="B94" i="149"/>
  <c r="B84" i="149"/>
  <c r="P103" i="149"/>
  <c r="O103" i="149"/>
  <c r="N103" i="149"/>
  <c r="M103" i="149"/>
  <c r="J103" i="149"/>
  <c r="I103" i="149"/>
  <c r="E103" i="149"/>
  <c r="D103" i="149"/>
  <c r="P93" i="149"/>
  <c r="O93" i="149"/>
  <c r="N93" i="149"/>
  <c r="M93" i="149"/>
  <c r="J93" i="149"/>
  <c r="I93" i="149"/>
  <c r="E93" i="149"/>
  <c r="D93" i="149"/>
  <c r="U104" i="149"/>
  <c r="C109" i="149"/>
  <c r="A110" i="149"/>
  <c r="B110" i="149"/>
  <c r="A120" i="149"/>
  <c r="B120" i="149"/>
  <c r="B12" i="149"/>
  <c r="B13" i="149"/>
  <c r="B14" i="149"/>
  <c r="B15" i="149"/>
  <c r="B16" i="149"/>
  <c r="B17" i="149"/>
  <c r="B18" i="149"/>
  <c r="C12" i="149"/>
  <c r="A12" i="149" s="1"/>
  <c r="C13" i="149"/>
  <c r="A13" i="149" s="1"/>
  <c r="C14" i="149"/>
  <c r="A14" i="149" s="1"/>
  <c r="C15" i="149"/>
  <c r="A15" i="149" s="1"/>
  <c r="C16" i="149"/>
  <c r="A16" i="149" s="1"/>
  <c r="C17" i="149"/>
  <c r="A17" i="149" s="1"/>
  <c r="C18" i="149"/>
  <c r="A18" i="149" s="1"/>
  <c r="U10" i="142"/>
  <c r="U9" i="142"/>
  <c r="B173" i="145" l="1"/>
  <c r="B174" i="145" s="1"/>
  <c r="B175" i="145" s="1"/>
  <c r="B176" i="145" s="1"/>
  <c r="B177" i="145" s="1"/>
  <c r="B178" i="145" s="1"/>
  <c r="B179" i="145" s="1"/>
  <c r="B180" i="145" s="1"/>
  <c r="B181" i="145" s="1"/>
  <c r="B182" i="145" s="1"/>
  <c r="B183" i="145" s="1"/>
  <c r="B184" i="145" s="1"/>
  <c r="B185" i="145" s="1"/>
  <c r="B186" i="145" s="1"/>
  <c r="B187" i="145" s="1"/>
  <c r="B188" i="145" s="1"/>
  <c r="B189" i="145" s="1"/>
  <c r="B190" i="145" s="1"/>
  <c r="B191" i="145" s="1"/>
  <c r="B192" i="145" s="1"/>
  <c r="B193" i="145" s="1"/>
  <c r="B194" i="145" s="1"/>
  <c r="B195" i="145" s="1"/>
  <c r="B196" i="145" s="1"/>
  <c r="B197" i="145" s="1"/>
  <c r="B198" i="145" s="1"/>
  <c r="B199" i="145" s="1"/>
  <c r="B200" i="145" s="1"/>
  <c r="B201" i="145" s="1"/>
  <c r="B202" i="145" s="1"/>
  <c r="B203" i="145" s="1"/>
  <c r="B204" i="145" s="1"/>
  <c r="B205" i="145" s="1"/>
  <c r="B206" i="145" s="1"/>
  <c r="B207" i="145" s="1"/>
  <c r="B208" i="145" s="1"/>
  <c r="G115" i="145"/>
  <c r="B113" i="145"/>
  <c r="C183" i="149"/>
  <c r="C185" i="149"/>
  <c r="C186" i="149"/>
  <c r="C181" i="149"/>
  <c r="C187" i="149"/>
  <c r="C182" i="149"/>
  <c r="C189" i="149"/>
  <c r="C177" i="149"/>
  <c r="C173" i="149"/>
  <c r="C174" i="149"/>
  <c r="C175" i="149"/>
  <c r="C176" i="149"/>
  <c r="C172" i="149"/>
  <c r="C179" i="149"/>
  <c r="C171" i="149"/>
  <c r="C178" i="149"/>
  <c r="C184" i="149"/>
  <c r="C188" i="149"/>
  <c r="C119" i="149"/>
  <c r="C117" i="149"/>
  <c r="C118" i="149"/>
  <c r="C121" i="149"/>
  <c r="C126" i="149"/>
  <c r="C127" i="149"/>
  <c r="C111" i="149"/>
  <c r="C128" i="149"/>
  <c r="C112" i="149"/>
  <c r="C129" i="149"/>
  <c r="C113" i="149"/>
  <c r="C122" i="149"/>
  <c r="C114" i="149"/>
  <c r="C123" i="149"/>
  <c r="L93" i="149"/>
  <c r="C115" i="149"/>
  <c r="C124" i="149"/>
  <c r="C116" i="149"/>
  <c r="C125" i="149"/>
  <c r="K103" i="149"/>
  <c r="G116" i="145" l="1"/>
  <c r="B114" i="145"/>
  <c r="H103" i="149"/>
  <c r="G93" i="149"/>
  <c r="Q103" i="149"/>
  <c r="G103" i="149"/>
  <c r="F93" i="149"/>
  <c r="Q93" i="149"/>
  <c r="F103" i="149"/>
  <c r="L103" i="149"/>
  <c r="H93" i="149"/>
  <c r="K93" i="149"/>
  <c r="G118" i="145" l="1"/>
  <c r="B115" i="145"/>
  <c r="G119" i="145" l="1"/>
  <c r="B116" i="145"/>
  <c r="G120" i="145" l="1"/>
  <c r="B117" i="145"/>
  <c r="B118" i="145" s="1"/>
  <c r="G121" i="145" l="1"/>
  <c r="G123" i="145" l="1"/>
  <c r="B119" i="145"/>
  <c r="G124" i="145" l="1"/>
  <c r="B120" i="145"/>
  <c r="G125" i="145" l="1"/>
  <c r="B121" i="145"/>
  <c r="G126" i="145" l="1"/>
  <c r="B122" i="145"/>
  <c r="G128" i="145" l="1"/>
  <c r="B123" i="145"/>
  <c r="G129" i="145" l="1"/>
  <c r="B124" i="145"/>
  <c r="G130" i="145" l="1"/>
  <c r="B125" i="145"/>
  <c r="G131" i="145" l="1"/>
  <c r="B126" i="145"/>
  <c r="G133" i="145" l="1"/>
  <c r="B127" i="145"/>
  <c r="G134" i="145" l="1"/>
  <c r="B128" i="145"/>
  <c r="G135" i="145" l="1"/>
  <c r="B129" i="145"/>
  <c r="G136" i="145" l="1"/>
  <c r="B130" i="145"/>
  <c r="G138" i="145" l="1"/>
  <c r="B131" i="145"/>
  <c r="G139" i="145" l="1"/>
  <c r="B132" i="145"/>
  <c r="G140" i="145" l="1"/>
  <c r="B133" i="145"/>
  <c r="B134" i="145" s="1"/>
  <c r="G141" i="145" l="1"/>
  <c r="G143" i="145" l="1"/>
  <c r="B135" i="145"/>
  <c r="G144" i="145" l="1"/>
  <c r="B136" i="145"/>
  <c r="G145" i="145" l="1"/>
  <c r="B137" i="145"/>
  <c r="B138" i="145" l="1"/>
  <c r="B139" i="145" l="1"/>
  <c r="B140" i="145" l="1"/>
  <c r="B141" i="145" l="1"/>
  <c r="B142" i="145" l="1"/>
  <c r="B143" i="145" l="1"/>
  <c r="B144" i="145" l="1"/>
  <c r="B145" i="145" l="1"/>
  <c r="B146" i="145" l="1"/>
  <c r="B147" i="145" l="1"/>
  <c r="B148" i="145" l="1"/>
  <c r="B149" i="145" l="1"/>
  <c r="B150" i="145" s="1"/>
  <c r="B151" i="145" l="1"/>
  <c r="B152" i="145" l="1"/>
  <c r="B153" i="145" l="1"/>
  <c r="B154" i="145" l="1"/>
  <c r="B155" i="145" l="1"/>
  <c r="B156" i="145" l="1"/>
  <c r="B157" i="145" l="1"/>
  <c r="J21" i="142" l="1"/>
  <c r="E6" i="142"/>
  <c r="J22" i="142"/>
  <c r="T10" i="142"/>
  <c r="G8" i="142" s="1"/>
  <c r="T9" i="142"/>
  <c r="G7" i="142" s="1"/>
  <c r="AA85" i="135"/>
  <c r="AA77" i="135"/>
  <c r="AA69" i="135"/>
  <c r="AA61" i="135"/>
  <c r="AC36" i="135"/>
  <c r="AA29" i="135"/>
  <c r="AC29" i="135"/>
  <c r="AC30" i="135"/>
  <c r="AA21" i="135"/>
  <c r="AC21" i="135"/>
  <c r="AC22" i="135"/>
  <c r="AA15" i="135"/>
  <c r="R8" i="143" s="1"/>
  <c r="AC13" i="135"/>
  <c r="AC12" i="135"/>
  <c r="AC11" i="135"/>
  <c r="I23" i="145" l="1"/>
  <c r="R12" i="143"/>
  <c r="R68" i="143"/>
  <c r="R60" i="143"/>
  <c r="E349" i="143"/>
  <c r="E278" i="143"/>
  <c r="E203" i="143"/>
  <c r="E139" i="143"/>
  <c r="E69" i="143"/>
  <c r="R67" i="143"/>
  <c r="E274" i="143"/>
  <c r="E64" i="143"/>
  <c r="R70" i="143"/>
  <c r="E351" i="143"/>
  <c r="E348" i="143"/>
  <c r="E277" i="143"/>
  <c r="E210" i="143"/>
  <c r="E138" i="143"/>
  <c r="E68" i="143"/>
  <c r="R66" i="143"/>
  <c r="E65" i="143"/>
  <c r="E344" i="143"/>
  <c r="E134" i="143"/>
  <c r="E347" i="143"/>
  <c r="E276" i="143"/>
  <c r="E209" i="143"/>
  <c r="E137" i="143"/>
  <c r="E67" i="143"/>
  <c r="R65" i="143"/>
  <c r="E135" i="143"/>
  <c r="E281" i="143"/>
  <c r="E346" i="143"/>
  <c r="E275" i="143"/>
  <c r="E208" i="143"/>
  <c r="E136" i="143"/>
  <c r="E66" i="143"/>
  <c r="R64" i="143"/>
  <c r="R63" i="143"/>
  <c r="E345" i="143"/>
  <c r="E207" i="143"/>
  <c r="E206" i="143"/>
  <c r="E140" i="143"/>
  <c r="E133" i="143"/>
  <c r="E70" i="143"/>
  <c r="E63" i="143"/>
  <c r="E350" i="143"/>
  <c r="E280" i="143"/>
  <c r="E205" i="143"/>
  <c r="R69" i="143"/>
  <c r="E279" i="143"/>
  <c r="E204" i="143"/>
  <c r="A94" i="149"/>
  <c r="D69" i="145"/>
  <c r="A100" i="149"/>
  <c r="E341" i="143"/>
  <c r="E270" i="143"/>
  <c r="E195" i="143"/>
  <c r="E131" i="143"/>
  <c r="E61" i="143"/>
  <c r="R58" i="143"/>
  <c r="R57" i="143"/>
  <c r="E199" i="143"/>
  <c r="E57" i="143"/>
  <c r="E340" i="143"/>
  <c r="E269" i="143"/>
  <c r="E202" i="143"/>
  <c r="E130" i="143"/>
  <c r="E60" i="143"/>
  <c r="R62" i="143"/>
  <c r="R55" i="143"/>
  <c r="E273" i="143"/>
  <c r="E339" i="143"/>
  <c r="E268" i="143"/>
  <c r="E201" i="143"/>
  <c r="E129" i="143"/>
  <c r="E59" i="143"/>
  <c r="R56" i="143"/>
  <c r="E337" i="143"/>
  <c r="E266" i="143"/>
  <c r="E198" i="143"/>
  <c r="E56" i="143"/>
  <c r="R61" i="143"/>
  <c r="E343" i="143"/>
  <c r="E338" i="143"/>
  <c r="E267" i="143"/>
  <c r="E200" i="143"/>
  <c r="E128" i="143"/>
  <c r="E58" i="143"/>
  <c r="E127" i="143"/>
  <c r="E336" i="143"/>
  <c r="E126" i="143"/>
  <c r="E271" i="143"/>
  <c r="E132" i="143"/>
  <c r="E125" i="143"/>
  <c r="E62" i="143"/>
  <c r="E342" i="143"/>
  <c r="E55" i="143"/>
  <c r="E272" i="143"/>
  <c r="E197" i="143"/>
  <c r="E196" i="143"/>
  <c r="R59" i="143"/>
  <c r="A84" i="149"/>
  <c r="D68" i="145"/>
  <c r="A90" i="149"/>
  <c r="D60" i="145"/>
  <c r="A89" i="149"/>
  <c r="D77" i="145"/>
  <c r="A101" i="149"/>
  <c r="E263" i="147"/>
  <c r="E214" i="147"/>
  <c r="E157" i="147"/>
  <c r="E51" i="147"/>
  <c r="P51" i="147"/>
  <c r="E104" i="147"/>
  <c r="E209" i="147"/>
  <c r="E54" i="147"/>
  <c r="P53" i="147"/>
  <c r="E213" i="147"/>
  <c r="E156" i="147"/>
  <c r="E107" i="147"/>
  <c r="E50" i="147"/>
  <c r="P50" i="147"/>
  <c r="E267" i="147"/>
  <c r="E160" i="147"/>
  <c r="E212" i="147"/>
  <c r="E106" i="147"/>
  <c r="P49" i="147"/>
  <c r="E210" i="147"/>
  <c r="E103" i="147"/>
  <c r="P54" i="147"/>
  <c r="E102" i="147"/>
  <c r="E268" i="147"/>
  <c r="E211" i="147"/>
  <c r="E105" i="147"/>
  <c r="E161" i="147"/>
  <c r="E266" i="147"/>
  <c r="E265" i="147"/>
  <c r="E159" i="147"/>
  <c r="E53" i="147"/>
  <c r="E49" i="147"/>
  <c r="E264" i="147"/>
  <c r="E158" i="147"/>
  <c r="P52" i="147"/>
  <c r="E52" i="147"/>
  <c r="A96" i="149"/>
  <c r="D76" i="145"/>
  <c r="A91" i="149"/>
  <c r="D85" i="145"/>
  <c r="A102" i="149"/>
  <c r="R7" i="143"/>
  <c r="A24" i="149"/>
  <c r="E206" i="147"/>
  <c r="E100" i="147"/>
  <c r="E43" i="147"/>
  <c r="P43" i="147"/>
  <c r="E259" i="147"/>
  <c r="E257" i="147"/>
  <c r="E151" i="147"/>
  <c r="E44" i="147"/>
  <c r="E262" i="147"/>
  <c r="E205" i="147"/>
  <c r="E99" i="147"/>
  <c r="E96" i="147"/>
  <c r="E45" i="147"/>
  <c r="P46" i="147"/>
  <c r="E261" i="147"/>
  <c r="E204" i="147"/>
  <c r="E155" i="147"/>
  <c r="E98" i="147"/>
  <c r="E48" i="147"/>
  <c r="E153" i="147"/>
  <c r="E46" i="147"/>
  <c r="P47" i="147"/>
  <c r="E258" i="147"/>
  <c r="E208" i="147"/>
  <c r="E260" i="147"/>
  <c r="E203" i="147"/>
  <c r="E154" i="147"/>
  <c r="E97" i="147"/>
  <c r="E47" i="147"/>
  <c r="P48" i="147"/>
  <c r="E152" i="147"/>
  <c r="P45" i="147"/>
  <c r="E207" i="147"/>
  <c r="E150" i="147"/>
  <c r="E101" i="147"/>
  <c r="P44" i="147"/>
  <c r="A86" i="149"/>
  <c r="D84" i="145"/>
  <c r="A92" i="149"/>
  <c r="D61" i="145"/>
  <c r="A99" i="149"/>
  <c r="I172" i="148"/>
  <c r="I171" i="148"/>
  <c r="I170" i="148"/>
  <c r="I167" i="148"/>
  <c r="I166" i="148"/>
  <c r="I165" i="148"/>
  <c r="I163" i="148"/>
  <c r="I162" i="148"/>
  <c r="I161" i="148"/>
  <c r="I160" i="148"/>
  <c r="I158" i="148"/>
  <c r="I157" i="148"/>
  <c r="I156" i="148"/>
  <c r="I155" i="148"/>
  <c r="I153" i="148"/>
  <c r="I152" i="148"/>
  <c r="I151" i="148"/>
  <c r="I150" i="148"/>
  <c r="I148" i="148"/>
  <c r="I147" i="148"/>
  <c r="I146" i="148"/>
  <c r="I145" i="148"/>
  <c r="I247" i="153"/>
  <c r="I246" i="153"/>
  <c r="I181" i="153"/>
  <c r="I180" i="153"/>
  <c r="I114" i="153"/>
  <c r="I113" i="153"/>
  <c r="I47" i="153"/>
  <c r="I46" i="153"/>
  <c r="H73" i="153"/>
  <c r="I73" i="153"/>
  <c r="I168" i="148"/>
  <c r="G3" i="148"/>
  <c r="H209" i="147" l="1"/>
  <c r="H182" i="148"/>
  <c r="I277" i="143"/>
  <c r="H203" i="147"/>
  <c r="B185" i="152"/>
  <c r="B148" i="152"/>
  <c r="H148" i="152" s="1"/>
  <c r="B74" i="152"/>
  <c r="B111" i="152"/>
  <c r="I267" i="143"/>
  <c r="I273" i="143"/>
  <c r="I268" i="143"/>
  <c r="B179" i="152"/>
  <c r="B105" i="152"/>
  <c r="B68" i="152"/>
  <c r="B142" i="152"/>
  <c r="H142" i="152" s="1"/>
  <c r="B149" i="152"/>
  <c r="H149" i="152" s="1"/>
  <c r="B112" i="152"/>
  <c r="B186" i="152"/>
  <c r="B75" i="152"/>
  <c r="H213" i="147"/>
  <c r="H180" i="148"/>
  <c r="I269" i="143"/>
  <c r="H204" i="147"/>
  <c r="I279" i="143"/>
  <c r="H173" i="148"/>
  <c r="I280" i="143"/>
  <c r="I278" i="143"/>
  <c r="B69" i="152"/>
  <c r="B180" i="152"/>
  <c r="B143" i="152"/>
  <c r="H143" i="152" s="1"/>
  <c r="B106" i="152"/>
  <c r="H205" i="147"/>
  <c r="H214" i="147"/>
  <c r="H210" i="147"/>
  <c r="B71" i="152"/>
  <c r="B182" i="152"/>
  <c r="B145" i="152"/>
  <c r="H145" i="152" s="1"/>
  <c r="B108" i="152"/>
  <c r="H212" i="147"/>
  <c r="I266" i="143"/>
  <c r="H181" i="148"/>
  <c r="I272" i="143"/>
  <c r="H175" i="148"/>
  <c r="H211" i="147"/>
  <c r="H55" i="146"/>
  <c r="I274" i="143"/>
  <c r="H177" i="148"/>
  <c r="B144" i="152"/>
  <c r="H144" i="152" s="1"/>
  <c r="B181" i="152"/>
  <c r="B70" i="152"/>
  <c r="B107" i="152"/>
  <c r="B73" i="152"/>
  <c r="B184" i="152"/>
  <c r="B147" i="152"/>
  <c r="H147" i="152" s="1"/>
  <c r="B110" i="152"/>
  <c r="H176" i="148"/>
  <c r="H54" i="146"/>
  <c r="H208" i="147"/>
  <c r="H207" i="147"/>
  <c r="H206" i="147"/>
  <c r="B183" i="152"/>
  <c r="B109" i="152"/>
  <c r="B72" i="152"/>
  <c r="B146" i="152"/>
  <c r="H146" i="152" s="1"/>
  <c r="H178" i="148"/>
  <c r="I270" i="143"/>
  <c r="I271" i="143"/>
  <c r="I275" i="143"/>
  <c r="I276" i="143"/>
  <c r="I281" i="143"/>
  <c r="I143" i="148"/>
  <c r="I119" i="152" l="1"/>
  <c r="I118" i="152"/>
  <c r="I120" i="152" l="1"/>
  <c r="W10" i="142"/>
  <c r="V10" i="142"/>
  <c r="W9" i="142"/>
  <c r="V9" i="142"/>
  <c r="I121" i="152" l="1"/>
  <c r="I122" i="152" l="1"/>
  <c r="I123" i="152" l="1"/>
  <c r="F44" i="145"/>
  <c r="F45" i="145" s="1"/>
  <c r="F39" i="145"/>
  <c r="F40" i="145" s="1"/>
  <c r="F41" i="145" s="1"/>
  <c r="F42" i="145" s="1"/>
  <c r="I124" i="152" l="1"/>
  <c r="I125" i="152" l="1"/>
  <c r="H21" i="142"/>
  <c r="I126" i="152" l="1"/>
  <c r="I127" i="152" l="1"/>
  <c r="I128" i="152" l="1"/>
  <c r="C217" i="148"/>
  <c r="C125" i="148"/>
  <c r="C168" i="148"/>
  <c r="C122" i="148"/>
  <c r="C121" i="148"/>
  <c r="C210" i="148"/>
  <c r="C118" i="148"/>
  <c r="C24" i="148"/>
  <c r="C203" i="148"/>
  <c r="C16" i="148"/>
  <c r="C61" i="148"/>
  <c r="C195" i="148"/>
  <c r="C193" i="148"/>
  <c r="C54" i="143"/>
  <c r="C123" i="143"/>
  <c r="C50" i="143"/>
  <c r="C119" i="143"/>
  <c r="C259" i="143"/>
  <c r="C325" i="143"/>
  <c r="C324" i="143"/>
  <c r="C253" i="143"/>
  <c r="C111" i="143"/>
  <c r="C320" i="143"/>
  <c r="C37" i="143"/>
  <c r="C36" i="143"/>
  <c r="C104" i="143"/>
  <c r="C314" i="143"/>
  <c r="C313" i="143"/>
  <c r="C19" i="143"/>
  <c r="C87" i="143"/>
  <c r="C227" i="143"/>
  <c r="C86" i="143"/>
  <c r="C226" i="143"/>
  <c r="C178" i="147"/>
  <c r="C124" i="147"/>
  <c r="C176" i="147"/>
  <c r="C175" i="147"/>
  <c r="C228" i="147"/>
  <c r="C66" i="147"/>
  <c r="H9" i="144"/>
  <c r="B11" i="149"/>
  <c r="D30" i="144"/>
  <c r="D23" i="144"/>
  <c r="D22" i="144"/>
  <c r="D21" i="144"/>
  <c r="D20" i="144"/>
  <c r="D19" i="144"/>
  <c r="D18" i="144"/>
  <c r="D15" i="144"/>
  <c r="D14" i="144"/>
  <c r="D13" i="144"/>
  <c r="D12" i="144"/>
  <c r="D11" i="144"/>
  <c r="D10" i="144"/>
  <c r="C208" i="153"/>
  <c r="C207" i="153"/>
  <c r="C155" i="153"/>
  <c r="C180" i="153"/>
  <c r="C7" i="153"/>
  <c r="C67" i="152"/>
  <c r="C66" i="152"/>
  <c r="C176" i="152"/>
  <c r="C175" i="152"/>
  <c r="C100" i="152"/>
  <c r="C99" i="152"/>
  <c r="C172" i="152"/>
  <c r="C20" i="152"/>
  <c r="C130" i="152"/>
  <c r="C55" i="152"/>
  <c r="C54" i="152"/>
  <c r="C127" i="152"/>
  <c r="C126" i="152"/>
  <c r="C89" i="152"/>
  <c r="C124" i="152"/>
  <c r="C11" i="152"/>
  <c r="C10" i="152"/>
  <c r="C83" i="152"/>
  <c r="C155" i="152"/>
  <c r="C67" i="148"/>
  <c r="C156" i="148"/>
  <c r="C19" i="148"/>
  <c r="C63" i="148"/>
  <c r="C192" i="148"/>
  <c r="C100" i="148"/>
  <c r="C188" i="148"/>
  <c r="C201" i="147"/>
  <c r="C145" i="147"/>
  <c r="C37" i="147"/>
  <c r="C36" i="147"/>
  <c r="C88" i="147"/>
  <c r="C138" i="147"/>
  <c r="C29" i="147"/>
  <c r="C242" i="147"/>
  <c r="C241" i="147"/>
  <c r="C79" i="147"/>
  <c r="C25" i="147"/>
  <c r="C131" i="147"/>
  <c r="C23" i="147"/>
  <c r="C129" i="147"/>
  <c r="C235" i="147"/>
  <c r="C19" i="147"/>
  <c r="C119" i="147"/>
  <c r="C64" i="147"/>
  <c r="C63" i="147"/>
  <c r="C116" i="147"/>
  <c r="C66" i="146"/>
  <c r="C50" i="146"/>
  <c r="C36" i="146"/>
  <c r="C63" i="146"/>
  <c r="C20" i="146"/>
  <c r="C100" i="143"/>
  <c r="C169" i="143"/>
  <c r="C28" i="143"/>
  <c r="C26" i="143"/>
  <c r="C95" i="143"/>
  <c r="C24" i="143"/>
  <c r="C93" i="143"/>
  <c r="C154" i="143"/>
  <c r="C82" i="143"/>
  <c r="C150" i="143"/>
  <c r="C148" i="143"/>
  <c r="C77" i="143"/>
  <c r="C202" i="147"/>
  <c r="D42" i="147"/>
  <c r="D41" i="147"/>
  <c r="D40" i="147"/>
  <c r="D38" i="147"/>
  <c r="D36" i="147"/>
  <c r="D35" i="147"/>
  <c r="D34" i="147"/>
  <c r="D32" i="147"/>
  <c r="D30" i="147"/>
  <c r="D29" i="147"/>
  <c r="D28" i="147"/>
  <c r="D26" i="147"/>
  <c r="D24" i="147"/>
  <c r="D23" i="147"/>
  <c r="D22" i="147"/>
  <c r="D20" i="147"/>
  <c r="D18" i="147"/>
  <c r="D17" i="147"/>
  <c r="D16" i="147"/>
  <c r="D14" i="147"/>
  <c r="S42" i="147"/>
  <c r="R42" i="147"/>
  <c r="S41" i="147"/>
  <c r="R41" i="147"/>
  <c r="S40" i="147"/>
  <c r="R40" i="147"/>
  <c r="S39" i="147"/>
  <c r="R39" i="147"/>
  <c r="S38" i="147"/>
  <c r="R38" i="147"/>
  <c r="S37" i="147"/>
  <c r="R37" i="147"/>
  <c r="S36" i="147"/>
  <c r="R36" i="147"/>
  <c r="S35" i="147"/>
  <c r="R35" i="147"/>
  <c r="S34" i="147"/>
  <c r="R34" i="147"/>
  <c r="S33" i="147"/>
  <c r="R33" i="147"/>
  <c r="S32" i="147"/>
  <c r="R32" i="147"/>
  <c r="S31" i="147"/>
  <c r="R31" i="147"/>
  <c r="S30" i="147"/>
  <c r="R30" i="147"/>
  <c r="S29" i="147"/>
  <c r="R29" i="147"/>
  <c r="S28" i="147"/>
  <c r="R28" i="147"/>
  <c r="S27" i="147"/>
  <c r="R27" i="147"/>
  <c r="S26" i="147"/>
  <c r="R26" i="147"/>
  <c r="S25" i="147"/>
  <c r="R25" i="147"/>
  <c r="S24" i="147"/>
  <c r="R24" i="147"/>
  <c r="S23" i="147"/>
  <c r="R23" i="147"/>
  <c r="S22" i="147"/>
  <c r="R22" i="147"/>
  <c r="S21" i="147"/>
  <c r="R21" i="147"/>
  <c r="S20" i="147"/>
  <c r="R20" i="147"/>
  <c r="S19" i="147"/>
  <c r="R19" i="147"/>
  <c r="D8" i="147"/>
  <c r="C254" i="143"/>
  <c r="D54" i="143"/>
  <c r="D46" i="143"/>
  <c r="D38" i="143"/>
  <c r="D30" i="143"/>
  <c r="D22" i="143"/>
  <c r="D53" i="143"/>
  <c r="D51" i="143"/>
  <c r="D49" i="143"/>
  <c r="D48" i="143"/>
  <c r="D45" i="143"/>
  <c r="D43" i="143"/>
  <c r="D41" i="143"/>
  <c r="D40" i="143"/>
  <c r="D37" i="143"/>
  <c r="D35" i="143"/>
  <c r="D33" i="143"/>
  <c r="D32" i="143"/>
  <c r="D29" i="143"/>
  <c r="D27" i="143"/>
  <c r="D25" i="143"/>
  <c r="D24" i="143"/>
  <c r="U54" i="143"/>
  <c r="T54" i="143"/>
  <c r="U53" i="143"/>
  <c r="T53" i="143"/>
  <c r="U52" i="143"/>
  <c r="T52" i="143"/>
  <c r="U51" i="143"/>
  <c r="T51" i="143"/>
  <c r="U50" i="143"/>
  <c r="T50" i="143"/>
  <c r="U49" i="143"/>
  <c r="T49" i="143"/>
  <c r="U48" i="143"/>
  <c r="T48" i="143"/>
  <c r="U47" i="143"/>
  <c r="T47" i="143"/>
  <c r="U46" i="143"/>
  <c r="T46" i="143"/>
  <c r="U45" i="143"/>
  <c r="T45" i="143"/>
  <c r="U44" i="143"/>
  <c r="T44" i="143"/>
  <c r="U43" i="143"/>
  <c r="T43" i="143"/>
  <c r="U42" i="143"/>
  <c r="T42" i="143"/>
  <c r="U41" i="143"/>
  <c r="T41" i="143"/>
  <c r="U40" i="143"/>
  <c r="T40" i="143"/>
  <c r="U39" i="143"/>
  <c r="T39" i="143"/>
  <c r="U38" i="143"/>
  <c r="T38" i="143"/>
  <c r="U37" i="143"/>
  <c r="T37" i="143"/>
  <c r="U36" i="143"/>
  <c r="T36" i="143"/>
  <c r="U35" i="143"/>
  <c r="T35" i="143"/>
  <c r="U34" i="143"/>
  <c r="T34" i="143"/>
  <c r="U33" i="143"/>
  <c r="T33" i="143"/>
  <c r="U32" i="143"/>
  <c r="T32" i="143"/>
  <c r="U31" i="143"/>
  <c r="T31" i="143"/>
  <c r="U27" i="143"/>
  <c r="U28" i="143"/>
  <c r="U29" i="143"/>
  <c r="T27" i="143"/>
  <c r="T28" i="143"/>
  <c r="T29" i="143"/>
  <c r="D14" i="143"/>
  <c r="D9" i="143"/>
  <c r="P83" i="149"/>
  <c r="O83" i="149"/>
  <c r="N83" i="149"/>
  <c r="M83" i="149"/>
  <c r="J83" i="149"/>
  <c r="I83" i="149"/>
  <c r="E83" i="149"/>
  <c r="D83" i="149"/>
  <c r="P73" i="149"/>
  <c r="O73" i="149"/>
  <c r="N73" i="149"/>
  <c r="M73" i="149"/>
  <c r="J73" i="149"/>
  <c r="I73" i="149"/>
  <c r="E73" i="149"/>
  <c r="D73" i="149"/>
  <c r="P63" i="149"/>
  <c r="O63" i="149"/>
  <c r="N63" i="149"/>
  <c r="M63" i="149"/>
  <c r="J63" i="149"/>
  <c r="I63" i="149"/>
  <c r="E63" i="149"/>
  <c r="D63" i="149"/>
  <c r="P53" i="149"/>
  <c r="O53" i="149"/>
  <c r="N53" i="149"/>
  <c r="M53" i="149"/>
  <c r="J53" i="149"/>
  <c r="I53" i="149"/>
  <c r="E53" i="149"/>
  <c r="D53" i="149"/>
  <c r="P43" i="149"/>
  <c r="O43" i="149"/>
  <c r="N43" i="149"/>
  <c r="M43" i="149"/>
  <c r="J43" i="149"/>
  <c r="I43" i="149"/>
  <c r="E43" i="149"/>
  <c r="D43" i="149"/>
  <c r="P33" i="149"/>
  <c r="O33" i="149"/>
  <c r="N33" i="149"/>
  <c r="M33" i="149"/>
  <c r="J33" i="149"/>
  <c r="I33" i="149"/>
  <c r="E33" i="149"/>
  <c r="D33" i="149"/>
  <c r="D4" i="134"/>
  <c r="E4" i="134"/>
  <c r="F4" i="134"/>
  <c r="G4" i="134"/>
  <c r="H4" i="134"/>
  <c r="I4" i="134"/>
  <c r="J4" i="134"/>
  <c r="K4" i="134"/>
  <c r="L4" i="134"/>
  <c r="M4" i="134"/>
  <c r="N4" i="134"/>
  <c r="C234" i="153"/>
  <c r="D221" i="153"/>
  <c r="D220" i="153"/>
  <c r="D208" i="153"/>
  <c r="D207" i="153"/>
  <c r="I206" i="153"/>
  <c r="H206" i="153"/>
  <c r="F206" i="153"/>
  <c r="D155" i="153"/>
  <c r="D154" i="153"/>
  <c r="D142" i="153"/>
  <c r="D141" i="153"/>
  <c r="I140" i="153"/>
  <c r="H140" i="153"/>
  <c r="F140" i="153"/>
  <c r="D88" i="153"/>
  <c r="D87" i="153"/>
  <c r="D75" i="153"/>
  <c r="D74" i="153"/>
  <c r="F73" i="153"/>
  <c r="C167" i="153"/>
  <c r="P15" i="153"/>
  <c r="Q15" i="153"/>
  <c r="P16" i="153"/>
  <c r="Q16" i="153"/>
  <c r="P23" i="153"/>
  <c r="Q23" i="153"/>
  <c r="P24" i="153"/>
  <c r="Q24" i="153"/>
  <c r="P31" i="153"/>
  <c r="Q31" i="153"/>
  <c r="P32" i="153"/>
  <c r="Q32" i="153"/>
  <c r="D21" i="153"/>
  <c r="D20" i="153"/>
  <c r="Q8" i="153"/>
  <c r="P8" i="153"/>
  <c r="D8" i="153"/>
  <c r="Q7" i="153"/>
  <c r="P7" i="153"/>
  <c r="D7" i="153"/>
  <c r="I6" i="153"/>
  <c r="H6" i="153"/>
  <c r="F6" i="153"/>
  <c r="D67" i="152"/>
  <c r="D66" i="152"/>
  <c r="D65" i="152"/>
  <c r="D64" i="152"/>
  <c r="D63" i="152"/>
  <c r="D62" i="152"/>
  <c r="D61" i="152"/>
  <c r="D60" i="152"/>
  <c r="D59" i="152"/>
  <c r="D58" i="152"/>
  <c r="D57" i="152"/>
  <c r="D56" i="152"/>
  <c r="D55" i="152"/>
  <c r="D54" i="152"/>
  <c r="D53" i="152"/>
  <c r="D52" i="152"/>
  <c r="D51" i="152"/>
  <c r="D50" i="152"/>
  <c r="D49" i="152"/>
  <c r="D48" i="152"/>
  <c r="D47" i="152"/>
  <c r="D46" i="152"/>
  <c r="D45" i="152"/>
  <c r="D44" i="152"/>
  <c r="D30" i="152"/>
  <c r="D29" i="152"/>
  <c r="D28" i="152"/>
  <c r="D27" i="152"/>
  <c r="D26" i="152"/>
  <c r="D25" i="152"/>
  <c r="D24" i="152"/>
  <c r="D23" i="152"/>
  <c r="D22" i="152"/>
  <c r="D21" i="152"/>
  <c r="D20" i="152"/>
  <c r="D19" i="152"/>
  <c r="D18" i="152"/>
  <c r="D17" i="152"/>
  <c r="D16" i="152"/>
  <c r="D15" i="152"/>
  <c r="D14" i="152"/>
  <c r="D13" i="152"/>
  <c r="D12" i="152"/>
  <c r="D10" i="152"/>
  <c r="D9" i="152"/>
  <c r="D8" i="152"/>
  <c r="D7" i="152"/>
  <c r="C28" i="152"/>
  <c r="C13" i="152"/>
  <c r="C21" i="152"/>
  <c r="O8" i="152"/>
  <c r="O9" i="152"/>
  <c r="O10" i="152"/>
  <c r="O11" i="152"/>
  <c r="O12" i="152"/>
  <c r="O13" i="152"/>
  <c r="O14" i="152"/>
  <c r="O15" i="152"/>
  <c r="O16" i="152"/>
  <c r="O17" i="152"/>
  <c r="O18" i="152"/>
  <c r="O19" i="152"/>
  <c r="O20" i="152"/>
  <c r="O21" i="152"/>
  <c r="O22" i="152"/>
  <c r="O23" i="152"/>
  <c r="O24" i="152"/>
  <c r="O25" i="152"/>
  <c r="O26" i="152"/>
  <c r="O27" i="152"/>
  <c r="O28" i="152"/>
  <c r="O29" i="152"/>
  <c r="O30" i="152"/>
  <c r="O7" i="152"/>
  <c r="C139" i="152"/>
  <c r="C132" i="152"/>
  <c r="C102" i="152"/>
  <c r="C65" i="152"/>
  <c r="P30" i="152"/>
  <c r="P29" i="152"/>
  <c r="P28" i="152"/>
  <c r="P27" i="152"/>
  <c r="P26" i="152"/>
  <c r="P25" i="152"/>
  <c r="P24" i="152"/>
  <c r="P23" i="152"/>
  <c r="P22" i="152"/>
  <c r="P21" i="152"/>
  <c r="P20" i="152"/>
  <c r="P19" i="152"/>
  <c r="P18" i="152"/>
  <c r="P17" i="152"/>
  <c r="P16" i="152"/>
  <c r="P15" i="152"/>
  <c r="P14" i="152"/>
  <c r="P13" i="152"/>
  <c r="P12" i="152"/>
  <c r="P11" i="152"/>
  <c r="D11" i="152"/>
  <c r="P10" i="152"/>
  <c r="P9" i="152"/>
  <c r="P8" i="152"/>
  <c r="P7" i="152"/>
  <c r="I6" i="152"/>
  <c r="H6" i="152"/>
  <c r="F6" i="152"/>
  <c r="F6" i="148"/>
  <c r="S36" i="148"/>
  <c r="S35" i="148"/>
  <c r="S34" i="148"/>
  <c r="S32" i="148"/>
  <c r="S31" i="148"/>
  <c r="S30" i="148"/>
  <c r="S29" i="148"/>
  <c r="S27" i="148"/>
  <c r="S26" i="148"/>
  <c r="S25" i="148"/>
  <c r="S24" i="148"/>
  <c r="S22" i="148"/>
  <c r="S21" i="148"/>
  <c r="S20" i="148"/>
  <c r="S19" i="148"/>
  <c r="S17" i="148"/>
  <c r="S16" i="148"/>
  <c r="S15" i="148"/>
  <c r="S14" i="148"/>
  <c r="S12" i="148"/>
  <c r="S11" i="148"/>
  <c r="S10" i="148"/>
  <c r="S9" i="148"/>
  <c r="S7" i="148"/>
  <c r="D36" i="148"/>
  <c r="D31" i="148"/>
  <c r="D26" i="148"/>
  <c r="D21" i="148"/>
  <c r="D16" i="148"/>
  <c r="D11" i="148"/>
  <c r="D7" i="148"/>
  <c r="R36" i="148"/>
  <c r="R35" i="148"/>
  <c r="R30" i="148"/>
  <c r="R34" i="148"/>
  <c r="R32" i="148"/>
  <c r="R31" i="148"/>
  <c r="R29" i="148"/>
  <c r="R27" i="148"/>
  <c r="R26" i="148"/>
  <c r="R25" i="148"/>
  <c r="R24" i="148"/>
  <c r="R22" i="148"/>
  <c r="R21" i="148"/>
  <c r="R20" i="148"/>
  <c r="R19" i="148"/>
  <c r="R17" i="148"/>
  <c r="R16" i="148"/>
  <c r="R15" i="148"/>
  <c r="R14" i="148"/>
  <c r="R12" i="148"/>
  <c r="R11" i="148"/>
  <c r="R10" i="148"/>
  <c r="R9" i="148"/>
  <c r="R7" i="148"/>
  <c r="J6" i="148"/>
  <c r="I6" i="148"/>
  <c r="AA84" i="135"/>
  <c r="AA83" i="135"/>
  <c r="AA82" i="135"/>
  <c r="AA81" i="135"/>
  <c r="AA80" i="135"/>
  <c r="A42" i="149" s="1"/>
  <c r="AA79" i="135"/>
  <c r="A32" i="149" s="1"/>
  <c r="AA76" i="135"/>
  <c r="AA75" i="135"/>
  <c r="AA74" i="135"/>
  <c r="AA73" i="135"/>
  <c r="AA72" i="135"/>
  <c r="A41" i="149" s="1"/>
  <c r="AA71" i="135"/>
  <c r="A31" i="149" s="1"/>
  <c r="AA68" i="135"/>
  <c r="AA67" i="135"/>
  <c r="AA66" i="135"/>
  <c r="AA65" i="135"/>
  <c r="AA64" i="135"/>
  <c r="A40" i="149" s="1"/>
  <c r="AA63" i="135"/>
  <c r="A30" i="149" s="1"/>
  <c r="AA60" i="135"/>
  <c r="AA59" i="135"/>
  <c r="AA58" i="135"/>
  <c r="AA57" i="135"/>
  <c r="AA56" i="135"/>
  <c r="AA55" i="135"/>
  <c r="M8" i="152"/>
  <c r="B45" i="152" s="1"/>
  <c r="AA28" i="135"/>
  <c r="AA27" i="135"/>
  <c r="AA26" i="135"/>
  <c r="AA25" i="135"/>
  <c r="AA24" i="135"/>
  <c r="A36" i="149" s="1"/>
  <c r="AA23" i="135"/>
  <c r="A26" i="149" s="1"/>
  <c r="AA19" i="135"/>
  <c r="AA18" i="135"/>
  <c r="R36" i="143" s="1"/>
  <c r="AA17" i="135"/>
  <c r="AA16" i="135"/>
  <c r="R16" i="143" s="1"/>
  <c r="AA20" i="135"/>
  <c r="R9" i="143"/>
  <c r="D10" i="147"/>
  <c r="S18" i="147"/>
  <c r="R18" i="147"/>
  <c r="S17" i="147"/>
  <c r="R17" i="147"/>
  <c r="S16" i="147"/>
  <c r="R16" i="147"/>
  <c r="S15" i="147"/>
  <c r="R15" i="147"/>
  <c r="S14" i="147"/>
  <c r="R14" i="147"/>
  <c r="S13" i="147"/>
  <c r="R13" i="147"/>
  <c r="S12" i="147"/>
  <c r="R12" i="147"/>
  <c r="D12" i="147"/>
  <c r="S11" i="147"/>
  <c r="R11" i="147"/>
  <c r="D11" i="147"/>
  <c r="S10" i="147"/>
  <c r="R10" i="147"/>
  <c r="S9" i="147"/>
  <c r="R9" i="147"/>
  <c r="S8" i="147"/>
  <c r="R8" i="147"/>
  <c r="S7" i="147"/>
  <c r="R7" i="147"/>
  <c r="K6" i="147"/>
  <c r="J6" i="147"/>
  <c r="I6" i="147"/>
  <c r="F6" i="147"/>
  <c r="K6" i="146"/>
  <c r="J6" i="146"/>
  <c r="I6" i="146"/>
  <c r="D8" i="146"/>
  <c r="D9" i="146"/>
  <c r="D10" i="146"/>
  <c r="D11" i="146"/>
  <c r="D12" i="146"/>
  <c r="D7" i="146"/>
  <c r="Q6" i="149"/>
  <c r="F50" i="135"/>
  <c r="C12" i="146"/>
  <c r="C7" i="146"/>
  <c r="U11" i="146"/>
  <c r="T11" i="146"/>
  <c r="U10" i="146"/>
  <c r="T10" i="146"/>
  <c r="U9" i="146"/>
  <c r="T9" i="146"/>
  <c r="U7" i="146"/>
  <c r="T7" i="146"/>
  <c r="U6" i="146"/>
  <c r="T6" i="146"/>
  <c r="F6" i="146"/>
  <c r="M6" i="143"/>
  <c r="L6" i="143"/>
  <c r="K6" i="143"/>
  <c r="F6" i="143"/>
  <c r="U18" i="143"/>
  <c r="T18" i="143"/>
  <c r="T10" i="143"/>
  <c r="U10" i="143"/>
  <c r="D21" i="143"/>
  <c r="D19" i="143"/>
  <c r="D17" i="143"/>
  <c r="T25" i="143"/>
  <c r="U25" i="143"/>
  <c r="T23" i="143"/>
  <c r="U23" i="143"/>
  <c r="U30" i="143"/>
  <c r="T30" i="143"/>
  <c r="U26" i="143"/>
  <c r="T26" i="143"/>
  <c r="U24" i="143"/>
  <c r="T24" i="143"/>
  <c r="U22" i="143"/>
  <c r="T22" i="143"/>
  <c r="U21" i="143"/>
  <c r="T21" i="143"/>
  <c r="U20" i="143"/>
  <c r="T20" i="143"/>
  <c r="U19" i="143"/>
  <c r="T19" i="143"/>
  <c r="U17" i="143"/>
  <c r="T17" i="143"/>
  <c r="U16" i="143"/>
  <c r="T16" i="143"/>
  <c r="U15" i="143"/>
  <c r="T15" i="143"/>
  <c r="T12" i="143"/>
  <c r="U12" i="143"/>
  <c r="D11" i="143"/>
  <c r="D13" i="143"/>
  <c r="T14" i="143"/>
  <c r="U14" i="143"/>
  <c r="T13" i="143"/>
  <c r="U13" i="143"/>
  <c r="U11" i="143"/>
  <c r="T11" i="143"/>
  <c r="U9" i="143"/>
  <c r="T9" i="143"/>
  <c r="U8" i="143"/>
  <c r="T8" i="143"/>
  <c r="U7" i="143"/>
  <c r="T7" i="143"/>
  <c r="A160" i="149"/>
  <c r="A150" i="149"/>
  <c r="A140" i="149"/>
  <c r="A130" i="149"/>
  <c r="E23" i="149"/>
  <c r="F23" i="149"/>
  <c r="G23" i="149"/>
  <c r="H23" i="149"/>
  <c r="I23" i="149"/>
  <c r="J23" i="149"/>
  <c r="K23" i="149"/>
  <c r="L23" i="149"/>
  <c r="M23" i="149"/>
  <c r="N23" i="149"/>
  <c r="O23" i="149"/>
  <c r="P23" i="149"/>
  <c r="Q23" i="149"/>
  <c r="R23" i="149"/>
  <c r="D23" i="149"/>
  <c r="C11" i="149"/>
  <c r="A11" i="149" s="1"/>
  <c r="D10" i="149"/>
  <c r="C10" i="149"/>
  <c r="R10" i="149"/>
  <c r="Q10" i="149"/>
  <c r="P10" i="149"/>
  <c r="O10" i="149"/>
  <c r="N10" i="149"/>
  <c r="M10" i="149"/>
  <c r="L10" i="149"/>
  <c r="K10" i="149"/>
  <c r="J10" i="149"/>
  <c r="I10" i="149"/>
  <c r="H10" i="149"/>
  <c r="G10" i="149"/>
  <c r="F10" i="149"/>
  <c r="E10" i="149"/>
  <c r="R6" i="149"/>
  <c r="P6" i="149"/>
  <c r="P109" i="149" s="1"/>
  <c r="O6" i="149"/>
  <c r="O109" i="149" s="1"/>
  <c r="N6" i="149"/>
  <c r="N109" i="149" s="1"/>
  <c r="M6" i="149"/>
  <c r="L6" i="149"/>
  <c r="K6" i="149"/>
  <c r="J6" i="149"/>
  <c r="H6" i="149"/>
  <c r="H109" i="149" s="1"/>
  <c r="E6" i="149"/>
  <c r="L3" i="134"/>
  <c r="N3" i="134"/>
  <c r="M3" i="134"/>
  <c r="K3" i="134"/>
  <c r="J3" i="134"/>
  <c r="I3" i="134"/>
  <c r="H3" i="134"/>
  <c r="G3" i="134"/>
  <c r="F3" i="134"/>
  <c r="E3" i="134"/>
  <c r="D3" i="134"/>
  <c r="AC35" i="135"/>
  <c r="AC34" i="135"/>
  <c r="AC33" i="135"/>
  <c r="AC32" i="135"/>
  <c r="AC31" i="135"/>
  <c r="AC28" i="135"/>
  <c r="AC27" i="135"/>
  <c r="AC26" i="135"/>
  <c r="AC25" i="135"/>
  <c r="AC24" i="135"/>
  <c r="AC23" i="135"/>
  <c r="B111" i="149"/>
  <c r="AC16" i="135"/>
  <c r="AC17" i="135"/>
  <c r="AC18" i="135"/>
  <c r="AC19" i="135"/>
  <c r="AC20" i="135"/>
  <c r="AC15" i="135"/>
  <c r="H8" i="142"/>
  <c r="H7" i="142"/>
  <c r="H22" i="142"/>
  <c r="AC8" i="135"/>
  <c r="AC9" i="135"/>
  <c r="AC10" i="135"/>
  <c r="AC7" i="135"/>
  <c r="L6" i="142"/>
  <c r="J20" i="142"/>
  <c r="I6" i="142"/>
  <c r="F23" i="144"/>
  <c r="F22" i="144"/>
  <c r="E23" i="144"/>
  <c r="E22" i="144"/>
  <c r="E21" i="144"/>
  <c r="F21" i="144"/>
  <c r="E20" i="144"/>
  <c r="F20" i="144"/>
  <c r="F19" i="144"/>
  <c r="E19" i="144"/>
  <c r="F18" i="144"/>
  <c r="E18" i="144"/>
  <c r="F15" i="144"/>
  <c r="F14" i="144"/>
  <c r="F13" i="144"/>
  <c r="E13" i="144"/>
  <c r="F12" i="144"/>
  <c r="F11" i="144"/>
  <c r="F31" i="144"/>
  <c r="O26" i="144"/>
  <c r="C30" i="144" s="1"/>
  <c r="O25" i="144"/>
  <c r="C23" i="144" s="1"/>
  <c r="O24" i="144"/>
  <c r="C22" i="144" s="1"/>
  <c r="O23" i="144"/>
  <c r="C21" i="144" s="1"/>
  <c r="C20" i="144"/>
  <c r="O21" i="144"/>
  <c r="C19" i="144" s="1"/>
  <c r="O20" i="144"/>
  <c r="C18" i="144" s="1"/>
  <c r="C15" i="144"/>
  <c r="O13" i="144"/>
  <c r="C14" i="144" s="1"/>
  <c r="O12" i="144"/>
  <c r="C13" i="144" s="1"/>
  <c r="O11" i="144"/>
  <c r="C12" i="144" s="1"/>
  <c r="O10" i="144"/>
  <c r="C11" i="144" s="1"/>
  <c r="C10" i="144"/>
  <c r="E30" i="144"/>
  <c r="J29" i="144"/>
  <c r="I29" i="144"/>
  <c r="H29" i="144"/>
  <c r="R26" i="144"/>
  <c r="Q26" i="144"/>
  <c r="R25" i="144"/>
  <c r="Q25" i="144"/>
  <c r="R24" i="144"/>
  <c r="Q24" i="144"/>
  <c r="R23" i="144"/>
  <c r="Q23" i="144"/>
  <c r="R22" i="144"/>
  <c r="Q22" i="144"/>
  <c r="R21" i="144"/>
  <c r="Q21" i="144"/>
  <c r="R20" i="144"/>
  <c r="Q20" i="144"/>
  <c r="R14" i="144"/>
  <c r="Q14" i="144"/>
  <c r="R13" i="144"/>
  <c r="Q13" i="144"/>
  <c r="R12" i="144"/>
  <c r="Q12" i="144"/>
  <c r="E12" i="144"/>
  <c r="R11" i="144"/>
  <c r="Q11" i="144"/>
  <c r="R10" i="144"/>
  <c r="Q10" i="144"/>
  <c r="R9" i="144"/>
  <c r="Q9" i="144"/>
  <c r="B6" i="134"/>
  <c r="B7" i="134"/>
  <c r="B5" i="134"/>
  <c r="D21" i="136"/>
  <c r="E14" i="136"/>
  <c r="E16" i="136"/>
  <c r="E15" i="136"/>
  <c r="E12" i="136"/>
  <c r="D19" i="136"/>
  <c r="F86" i="153" s="1"/>
  <c r="D13" i="136"/>
  <c r="R9" i="135"/>
  <c r="R8" i="135"/>
  <c r="R7" i="135"/>
  <c r="F49" i="135"/>
  <c r="F48" i="135"/>
  <c r="F47" i="135"/>
  <c r="F46" i="135"/>
  <c r="F45" i="135"/>
  <c r="F44" i="135"/>
  <c r="F43" i="135"/>
  <c r="F42" i="135"/>
  <c r="F41" i="135"/>
  <c r="F40" i="135"/>
  <c r="F39" i="135"/>
  <c r="F38" i="135"/>
  <c r="F37" i="135"/>
  <c r="F36" i="135"/>
  <c r="F35" i="135"/>
  <c r="F34" i="135"/>
  <c r="F33" i="135"/>
  <c r="F32" i="135"/>
  <c r="F31" i="135"/>
  <c r="F30" i="135"/>
  <c r="F29" i="135"/>
  <c r="F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3" i="135"/>
  <c r="F12" i="135"/>
  <c r="F11" i="135"/>
  <c r="F10" i="135"/>
  <c r="F9" i="135"/>
  <c r="F8" i="135"/>
  <c r="F7" i="135"/>
  <c r="C53" i="146"/>
  <c r="C67" i="146"/>
  <c r="C39" i="146"/>
  <c r="C64" i="146"/>
  <c r="C53" i="148"/>
  <c r="C20" i="148"/>
  <c r="C147" i="147"/>
  <c r="C146" i="147"/>
  <c r="C144" i="147"/>
  <c r="C149" i="147"/>
  <c r="C71" i="147"/>
  <c r="C95" i="147"/>
  <c r="C90" i="147"/>
  <c r="C40" i="147"/>
  <c r="C8" i="147"/>
  <c r="C39" i="147"/>
  <c r="C9" i="146"/>
  <c r="C50" i="152"/>
  <c r="C87" i="152"/>
  <c r="C138" i="152"/>
  <c r="C64" i="152"/>
  <c r="C140" i="152"/>
  <c r="C177" i="152"/>
  <c r="C125" i="152"/>
  <c r="C14" i="152"/>
  <c r="C95" i="152"/>
  <c r="C233" i="153"/>
  <c r="C169" i="152"/>
  <c r="C58" i="152"/>
  <c r="C167" i="152"/>
  <c r="C19" i="152"/>
  <c r="C260" i="143"/>
  <c r="C256" i="147"/>
  <c r="C42" i="147"/>
  <c r="C251" i="147"/>
  <c r="C197" i="147"/>
  <c r="C254" i="147"/>
  <c r="F1" i="136"/>
  <c r="C247" i="153"/>
  <c r="C27" i="152"/>
  <c r="C101" i="152"/>
  <c r="C56" i="152"/>
  <c r="C93" i="152"/>
  <c r="C198" i="148"/>
  <c r="C195" i="147"/>
  <c r="C142" i="147"/>
  <c r="C250" i="147"/>
  <c r="C196" i="147"/>
  <c r="C143" i="147"/>
  <c r="C89" i="147"/>
  <c r="C31" i="147"/>
  <c r="C35" i="147"/>
  <c r="C190" i="147"/>
  <c r="C83" i="147"/>
  <c r="C244" i="147"/>
  <c r="C253" i="147"/>
  <c r="C199" i="147"/>
  <c r="C252" i="147"/>
  <c r="C75" i="147"/>
  <c r="C182" i="147"/>
  <c r="C92" i="147"/>
  <c r="C91" i="147"/>
  <c r="C38" i="147"/>
  <c r="C198" i="147"/>
  <c r="C249" i="147"/>
  <c r="C62" i="146"/>
  <c r="C48" i="146"/>
  <c r="C34" i="146"/>
  <c r="C229" i="143"/>
  <c r="C299" i="143"/>
  <c r="C159" i="143"/>
  <c r="C230" i="143"/>
  <c r="C316" i="143"/>
  <c r="C105" i="143"/>
  <c r="C43" i="143"/>
  <c r="C183" i="143"/>
  <c r="C113" i="143"/>
  <c r="C200" i="147"/>
  <c r="C76" i="147"/>
  <c r="C183" i="147"/>
  <c r="C148" i="147"/>
  <c r="C255" i="147"/>
  <c r="C130" i="147"/>
  <c r="C194" i="147"/>
  <c r="C41" i="147"/>
  <c r="C94" i="147"/>
  <c r="C11" i="146"/>
  <c r="C52" i="146"/>
  <c r="F153" i="153"/>
  <c r="C93" i="147"/>
  <c r="C225" i="143"/>
  <c r="C310" i="143"/>
  <c r="C311" i="143"/>
  <c r="C189" i="143"/>
  <c r="C49" i="143"/>
  <c r="C331" i="143"/>
  <c r="C300" i="143"/>
  <c r="C89" i="143"/>
  <c r="C65" i="146"/>
  <c r="C51" i="146"/>
  <c r="C10" i="146"/>
  <c r="C37" i="146"/>
  <c r="C103" i="143"/>
  <c r="C245" i="147"/>
  <c r="D112" i="149" l="1"/>
  <c r="D111" i="149"/>
  <c r="D114" i="149"/>
  <c r="D115" i="149"/>
  <c r="D113" i="149"/>
  <c r="R52" i="143"/>
  <c r="R28" i="143"/>
  <c r="I24" i="145"/>
  <c r="R20" i="143"/>
  <c r="B172" i="149"/>
  <c r="B171" i="149"/>
  <c r="B162" i="149"/>
  <c r="B163" i="149"/>
  <c r="R44" i="143"/>
  <c r="B155" i="149"/>
  <c r="C3" i="134"/>
  <c r="E109" i="149"/>
  <c r="F39" i="144"/>
  <c r="F41" i="144" s="1"/>
  <c r="F43" i="144" s="1"/>
  <c r="F16" i="144"/>
  <c r="F17" i="144" s="1"/>
  <c r="R31" i="143"/>
  <c r="D55" i="145"/>
  <c r="A39" i="149"/>
  <c r="E59" i="153"/>
  <c r="A29" i="149"/>
  <c r="D125" i="149" s="1"/>
  <c r="I129" i="152"/>
  <c r="D74" i="145"/>
  <c r="E14" i="147"/>
  <c r="D17" i="145"/>
  <c r="P13" i="147"/>
  <c r="A60" i="149"/>
  <c r="D65" i="145"/>
  <c r="A81" i="149"/>
  <c r="D75" i="145"/>
  <c r="E179" i="147"/>
  <c r="P19" i="147"/>
  <c r="D56" i="145"/>
  <c r="D66" i="145"/>
  <c r="D78" i="145"/>
  <c r="E233" i="153"/>
  <c r="E259" i="153"/>
  <c r="E246" i="153"/>
  <c r="E27" i="147"/>
  <c r="P25" i="147"/>
  <c r="H185" i="147" s="1"/>
  <c r="A59" i="149"/>
  <c r="D57" i="145"/>
  <c r="P34" i="147"/>
  <c r="P31" i="147"/>
  <c r="H191" i="147" s="1"/>
  <c r="D58" i="145"/>
  <c r="D80" i="145"/>
  <c r="E27" i="143"/>
  <c r="R23" i="143"/>
  <c r="E146" i="147"/>
  <c r="P37" i="147"/>
  <c r="H197" i="147" s="1"/>
  <c r="D59" i="145"/>
  <c r="E181" i="153"/>
  <c r="E168" i="153"/>
  <c r="E194" i="153"/>
  <c r="D71" i="145"/>
  <c r="A62" i="149"/>
  <c r="D81" i="145"/>
  <c r="D67" i="145"/>
  <c r="E155" i="143"/>
  <c r="R15" i="143"/>
  <c r="B184" i="149"/>
  <c r="B129" i="149"/>
  <c r="B186" i="149"/>
  <c r="B183" i="149"/>
  <c r="B187" i="149"/>
  <c r="B121" i="149"/>
  <c r="B119" i="149"/>
  <c r="B122" i="149"/>
  <c r="B113" i="149"/>
  <c r="B114" i="149"/>
  <c r="B173" i="149"/>
  <c r="B126" i="149"/>
  <c r="B179" i="149"/>
  <c r="B174" i="149"/>
  <c r="B128" i="149"/>
  <c r="B117" i="149"/>
  <c r="B124" i="149"/>
  <c r="B125" i="149"/>
  <c r="B182" i="149"/>
  <c r="B112" i="149"/>
  <c r="B177" i="149"/>
  <c r="B116" i="149"/>
  <c r="B188" i="149"/>
  <c r="B123" i="149"/>
  <c r="B115" i="149"/>
  <c r="B178" i="149"/>
  <c r="B118" i="149"/>
  <c r="B185" i="149"/>
  <c r="B127" i="149"/>
  <c r="B189" i="149"/>
  <c r="B181" i="149"/>
  <c r="B175" i="149"/>
  <c r="B176" i="149"/>
  <c r="D70" i="145"/>
  <c r="E193" i="153"/>
  <c r="E180" i="153"/>
  <c r="E167" i="153"/>
  <c r="R6" i="146"/>
  <c r="B20" i="146" s="1"/>
  <c r="D24" i="145"/>
  <c r="E113" i="153"/>
  <c r="E126" i="153"/>
  <c r="D72" i="145"/>
  <c r="D82" i="145"/>
  <c r="E10" i="147"/>
  <c r="E167" i="147"/>
  <c r="D16" i="145"/>
  <c r="P7" i="147"/>
  <c r="B7" i="147" s="1"/>
  <c r="D64" i="145"/>
  <c r="E123" i="143"/>
  <c r="R47" i="143"/>
  <c r="D47" i="145"/>
  <c r="E234" i="153"/>
  <c r="E247" i="153"/>
  <c r="E260" i="153"/>
  <c r="D79" i="145"/>
  <c r="P111" i="149"/>
  <c r="G111" i="149"/>
  <c r="M111" i="149"/>
  <c r="O111" i="149"/>
  <c r="K111" i="149"/>
  <c r="F111" i="149"/>
  <c r="I111" i="149"/>
  <c r="J111" i="149"/>
  <c r="E111" i="149"/>
  <c r="N111" i="149"/>
  <c r="Q111" i="149"/>
  <c r="R111" i="149"/>
  <c r="L111" i="149"/>
  <c r="H111" i="149"/>
  <c r="E184" i="143"/>
  <c r="R39" i="143"/>
  <c r="D25" i="145"/>
  <c r="E127" i="153"/>
  <c r="D63" i="145"/>
  <c r="D73" i="145"/>
  <c r="D83" i="145"/>
  <c r="C259" i="153"/>
  <c r="C246" i="153"/>
  <c r="C220" i="153"/>
  <c r="C181" i="153"/>
  <c r="C168" i="153"/>
  <c r="C142" i="153"/>
  <c r="C194" i="153"/>
  <c r="C161" i="152"/>
  <c r="C165" i="152"/>
  <c r="C91" i="152"/>
  <c r="C17" i="152"/>
  <c r="C84" i="152"/>
  <c r="C128" i="152"/>
  <c r="C53" i="152"/>
  <c r="C9" i="152"/>
  <c r="C66" i="148"/>
  <c r="C155" i="148"/>
  <c r="C107" i="148"/>
  <c r="C145" i="148"/>
  <c r="C9" i="148"/>
  <c r="C213" i="148"/>
  <c r="C211" i="148"/>
  <c r="C62" i="148"/>
  <c r="C30" i="148"/>
  <c r="C152" i="148"/>
  <c r="C106" i="148"/>
  <c r="C201" i="148"/>
  <c r="C166" i="148"/>
  <c r="C68" i="148"/>
  <c r="C55" i="148"/>
  <c r="C22" i="148"/>
  <c r="C158" i="148"/>
  <c r="C113" i="148"/>
  <c r="C76" i="148"/>
  <c r="C111" i="148"/>
  <c r="C190" i="148"/>
  <c r="C110" i="148"/>
  <c r="C65" i="148"/>
  <c r="C208" i="148"/>
  <c r="C200" i="148"/>
  <c r="C157" i="148"/>
  <c r="F14" i="146"/>
  <c r="F13" i="146"/>
  <c r="C170" i="147"/>
  <c r="C224" i="147"/>
  <c r="C117" i="147"/>
  <c r="C10" i="147"/>
  <c r="C14" i="147"/>
  <c r="C12" i="147"/>
  <c r="C133" i="147"/>
  <c r="C136" i="147"/>
  <c r="C172" i="147"/>
  <c r="C174" i="147"/>
  <c r="C65" i="147"/>
  <c r="C191" i="147"/>
  <c r="C74" i="147"/>
  <c r="C189" i="147"/>
  <c r="C82" i="147"/>
  <c r="C11" i="147"/>
  <c r="C177" i="143"/>
  <c r="C223" i="143"/>
  <c r="C33" i="143"/>
  <c r="C244" i="143"/>
  <c r="C318" i="143"/>
  <c r="C305" i="143"/>
  <c r="C164" i="143"/>
  <c r="C219" i="143"/>
  <c r="C107" i="143"/>
  <c r="C289" i="143"/>
  <c r="C147" i="143"/>
  <c r="C297" i="143"/>
  <c r="C288" i="143"/>
  <c r="C172" i="143"/>
  <c r="C23" i="143"/>
  <c r="C184" i="143"/>
  <c r="C234" i="143"/>
  <c r="C118" i="143"/>
  <c r="C48" i="143"/>
  <c r="C188" i="143"/>
  <c r="C163" i="143"/>
  <c r="C39" i="143"/>
  <c r="C218" i="143"/>
  <c r="C304" i="143"/>
  <c r="C7" i="143"/>
  <c r="C114" i="143"/>
  <c r="C173" i="143"/>
  <c r="C14" i="143"/>
  <c r="C295" i="143"/>
  <c r="B136" i="149"/>
  <c r="B135" i="149"/>
  <c r="B133" i="149"/>
  <c r="B134" i="149"/>
  <c r="B132" i="149"/>
  <c r="B138" i="149"/>
  <c r="B137" i="149"/>
  <c r="B139" i="149"/>
  <c r="B131" i="149"/>
  <c r="B154" i="149"/>
  <c r="B158" i="149"/>
  <c r="B153" i="149"/>
  <c r="B159" i="149"/>
  <c r="B151" i="149"/>
  <c r="B152" i="149"/>
  <c r="B156" i="149"/>
  <c r="B157" i="149"/>
  <c r="B167" i="149"/>
  <c r="B168" i="149"/>
  <c r="B169" i="149"/>
  <c r="B161" i="149"/>
  <c r="C161" i="149"/>
  <c r="B165" i="149"/>
  <c r="B164" i="149"/>
  <c r="B166" i="149"/>
  <c r="B145" i="149"/>
  <c r="B141" i="149"/>
  <c r="B144" i="149"/>
  <c r="B142" i="149"/>
  <c r="B143" i="149"/>
  <c r="B149" i="149"/>
  <c r="B147" i="149"/>
  <c r="B146" i="149"/>
  <c r="B148" i="149"/>
  <c r="C143" i="149"/>
  <c r="C147" i="149"/>
  <c r="C142" i="149"/>
  <c r="C145" i="149"/>
  <c r="C149" i="149"/>
  <c r="C141" i="149"/>
  <c r="C148" i="149"/>
  <c r="C146" i="149"/>
  <c r="C144" i="149"/>
  <c r="C152" i="149"/>
  <c r="C159" i="149"/>
  <c r="C151" i="149"/>
  <c r="C153" i="149"/>
  <c r="C158" i="149"/>
  <c r="C157" i="149"/>
  <c r="C156" i="149"/>
  <c r="C155" i="149"/>
  <c r="C154" i="149"/>
  <c r="C134" i="149"/>
  <c r="C136" i="149"/>
  <c r="C133" i="149"/>
  <c r="C138" i="149"/>
  <c r="C132" i="149"/>
  <c r="C139" i="149"/>
  <c r="C131" i="149"/>
  <c r="C137" i="149"/>
  <c r="C135" i="149"/>
  <c r="C169" i="149"/>
  <c r="C168" i="149"/>
  <c r="C163" i="149"/>
  <c r="C167" i="149"/>
  <c r="C166" i="149"/>
  <c r="C165" i="149"/>
  <c r="C164" i="149"/>
  <c r="C162" i="149"/>
  <c r="I109" i="149"/>
  <c r="J109" i="149"/>
  <c r="R109" i="149"/>
  <c r="K109" i="149"/>
  <c r="M109" i="149"/>
  <c r="Q109" i="149"/>
  <c r="L109" i="149"/>
  <c r="C60" i="147"/>
  <c r="C114" i="147"/>
  <c r="C167" i="147"/>
  <c r="C234" i="147"/>
  <c r="C8" i="152"/>
  <c r="C156" i="152"/>
  <c r="C119" i="152"/>
  <c r="C81" i="148"/>
  <c r="C126" i="148"/>
  <c r="C35" i="148"/>
  <c r="C216" i="148"/>
  <c r="C171" i="148"/>
  <c r="C229" i="147"/>
  <c r="C69" i="147"/>
  <c r="C215" i="148"/>
  <c r="C160" i="148"/>
  <c r="C141" i="152"/>
  <c r="C170" i="148"/>
  <c r="C81" i="152"/>
  <c r="C7" i="152"/>
  <c r="C108" i="143"/>
  <c r="C178" i="143"/>
  <c r="C10" i="143"/>
  <c r="C291" i="143"/>
  <c r="C179" i="143"/>
  <c r="C109" i="143"/>
  <c r="C335" i="143"/>
  <c r="C290" i="143"/>
  <c r="C146" i="148"/>
  <c r="C56" i="148"/>
  <c r="C10" i="148"/>
  <c r="C191" i="148"/>
  <c r="C101" i="148"/>
  <c r="C113" i="153"/>
  <c r="C100" i="153"/>
  <c r="C30" i="152"/>
  <c r="C60" i="152"/>
  <c r="C97" i="152"/>
  <c r="C23" i="152"/>
  <c r="C171" i="152"/>
  <c r="C104" i="152"/>
  <c r="C155" i="143"/>
  <c r="C178" i="152"/>
  <c r="C250" i="143"/>
  <c r="C134" i="152"/>
  <c r="C59" i="153"/>
  <c r="C80" i="147"/>
  <c r="C134" i="147"/>
  <c r="C170" i="152"/>
  <c r="C96" i="152"/>
  <c r="C303" i="143"/>
  <c r="C124" i="143"/>
  <c r="C265" i="143"/>
  <c r="C194" i="143"/>
  <c r="C27" i="147"/>
  <c r="C96" i="143"/>
  <c r="C31" i="143"/>
  <c r="C312" i="143"/>
  <c r="C187" i="147"/>
  <c r="C221" i="143"/>
  <c r="C249" i="143"/>
  <c r="C237" i="143"/>
  <c r="C34" i="148"/>
  <c r="C80" i="148"/>
  <c r="C120" i="152"/>
  <c r="C46" i="152"/>
  <c r="C157" i="152"/>
  <c r="C70" i="147"/>
  <c r="C177" i="147"/>
  <c r="C32" i="143"/>
  <c r="C243" i="143"/>
  <c r="C110" i="143"/>
  <c r="C180" i="143"/>
  <c r="C40" i="143"/>
  <c r="C102" i="143"/>
  <c r="C237" i="147"/>
  <c r="C158" i="143"/>
  <c r="C85" i="152"/>
  <c r="C164" i="152"/>
  <c r="C48" i="152"/>
  <c r="C150" i="148"/>
  <c r="C99" i="143"/>
  <c r="C24" i="152"/>
  <c r="C169" i="147"/>
  <c r="C34" i="143"/>
  <c r="C88" i="143"/>
  <c r="C153" i="148"/>
  <c r="C60" i="148"/>
  <c r="C14" i="148"/>
  <c r="C181" i="147"/>
  <c r="C21" i="147"/>
  <c r="C240" i="143"/>
  <c r="C29" i="143"/>
  <c r="C243" i="147"/>
  <c r="C182" i="143"/>
  <c r="C18" i="143"/>
  <c r="C90" i="152"/>
  <c r="C231" i="147"/>
  <c r="C17" i="147"/>
  <c r="C329" i="143"/>
  <c r="C16" i="152"/>
  <c r="F52" i="148"/>
  <c r="F19" i="153"/>
  <c r="C101" i="153"/>
  <c r="C88" i="153"/>
  <c r="C261" i="143"/>
  <c r="C42" i="143"/>
  <c r="C101" i="143"/>
  <c r="C118" i="147"/>
  <c r="C9" i="147"/>
  <c r="C62" i="147"/>
  <c r="C159" i="152"/>
  <c r="C122" i="152"/>
  <c r="C166" i="152"/>
  <c r="C62" i="152"/>
  <c r="C173" i="152"/>
  <c r="C25" i="152"/>
  <c r="C136" i="152"/>
  <c r="C98" i="152"/>
  <c r="C323" i="143"/>
  <c r="C120" i="143"/>
  <c r="C92" i="152"/>
  <c r="C129" i="152"/>
  <c r="C20" i="153"/>
  <c r="C8" i="143"/>
  <c r="C78" i="143"/>
  <c r="C226" i="147"/>
  <c r="C26" i="147"/>
  <c r="C240" i="147"/>
  <c r="C186" i="147"/>
  <c r="C86" i="147"/>
  <c r="C247" i="147"/>
  <c r="C140" i="147"/>
  <c r="C193" i="147"/>
  <c r="C33" i="147"/>
  <c r="C49" i="152"/>
  <c r="C12" i="152"/>
  <c r="C32" i="147"/>
  <c r="C85" i="147"/>
  <c r="C170" i="143"/>
  <c r="C135" i="152"/>
  <c r="C112" i="143"/>
  <c r="C190" i="143"/>
  <c r="C46" i="153"/>
  <c r="C16" i="147"/>
  <c r="C123" i="147"/>
  <c r="C9" i="143"/>
  <c r="C220" i="143"/>
  <c r="C149" i="143"/>
  <c r="C79" i="143"/>
  <c r="C236" i="143"/>
  <c r="C25" i="143"/>
  <c r="C73" i="148"/>
  <c r="C163" i="148"/>
  <c r="C18" i="152"/>
  <c r="C242" i="143"/>
  <c r="C84" i="143"/>
  <c r="C241" i="143"/>
  <c r="C61" i="152"/>
  <c r="C171" i="147"/>
  <c r="C27" i="148"/>
  <c r="C230" i="147"/>
  <c r="C59" i="152"/>
  <c r="C22" i="152"/>
  <c r="C133" i="152"/>
  <c r="C256" i="143"/>
  <c r="C45" i="143"/>
  <c r="C185" i="143"/>
  <c r="C58" i="148"/>
  <c r="C103" i="148"/>
  <c r="C12" i="148"/>
  <c r="C148" i="148"/>
  <c r="C171" i="143"/>
  <c r="C30" i="143"/>
  <c r="C225" i="147"/>
  <c r="C33" i="153"/>
  <c r="C75" i="153"/>
  <c r="C38" i="143"/>
  <c r="C319" i="143"/>
  <c r="I130" i="152"/>
  <c r="C28" i="147"/>
  <c r="C188" i="147"/>
  <c r="C17" i="143"/>
  <c r="C228" i="143"/>
  <c r="C157" i="143"/>
  <c r="C51" i="152"/>
  <c r="C88" i="152"/>
  <c r="C125" i="147"/>
  <c r="C232" i="147"/>
  <c r="C135" i="147"/>
  <c r="C298" i="143"/>
  <c r="C11" i="148"/>
  <c r="C162" i="152"/>
  <c r="I21" i="142"/>
  <c r="C18" i="147"/>
  <c r="C81" i="147"/>
  <c r="C330" i="143"/>
  <c r="C117" i="148"/>
  <c r="C162" i="148"/>
  <c r="C207" i="148"/>
  <c r="C72" i="148"/>
  <c r="C26" i="148"/>
  <c r="C82" i="148"/>
  <c r="C20" i="143"/>
  <c r="C231" i="143"/>
  <c r="C160" i="143"/>
  <c r="C105" i="148"/>
  <c r="C120" i="148"/>
  <c r="C98" i="148"/>
  <c r="C7" i="148"/>
  <c r="C143" i="148"/>
  <c r="C248" i="143"/>
  <c r="C255" i="143"/>
  <c r="C44" i="143"/>
  <c r="C196" i="148"/>
  <c r="C151" i="148"/>
  <c r="C15" i="148"/>
  <c r="C326" i="143"/>
  <c r="C115" i="143"/>
  <c r="C334" i="143"/>
  <c r="C53" i="143"/>
  <c r="C94" i="152"/>
  <c r="C57" i="152"/>
  <c r="I22" i="142"/>
  <c r="C165" i="143"/>
  <c r="C306" i="143"/>
  <c r="C132" i="147"/>
  <c r="C239" i="147"/>
  <c r="C80" i="143"/>
  <c r="F219" i="153"/>
  <c r="F43" i="152"/>
  <c r="C57" i="148"/>
  <c r="C147" i="148"/>
  <c r="C102" i="148"/>
  <c r="C301" i="143"/>
  <c r="C90" i="143"/>
  <c r="C17" i="148"/>
  <c r="C108" i="148"/>
  <c r="C221" i="147"/>
  <c r="C302" i="143"/>
  <c r="C91" i="143"/>
  <c r="C161" i="148"/>
  <c r="C71" i="148"/>
  <c r="C235" i="143"/>
  <c r="C94" i="143"/>
  <c r="C121" i="152"/>
  <c r="C158" i="152"/>
  <c r="C16" i="145"/>
  <c r="C24" i="145"/>
  <c r="C38" i="145" s="1"/>
  <c r="C46" i="145" s="1"/>
  <c r="C54" i="145" s="1"/>
  <c r="C62" i="145" s="1"/>
  <c r="C70" i="145" s="1"/>
  <c r="C78" i="145" s="1"/>
  <c r="C264" i="143"/>
  <c r="C193" i="143"/>
  <c r="C21" i="153"/>
  <c r="C34" i="153"/>
  <c r="R25" i="143"/>
  <c r="E197" i="147"/>
  <c r="E313" i="143"/>
  <c r="E333" i="143"/>
  <c r="E119" i="147"/>
  <c r="E134" i="147"/>
  <c r="E188" i="147"/>
  <c r="P42" i="147"/>
  <c r="E239" i="143"/>
  <c r="E40" i="147"/>
  <c r="E310" i="143"/>
  <c r="E95" i="147"/>
  <c r="E95" i="143"/>
  <c r="E163" i="143"/>
  <c r="E11" i="147"/>
  <c r="B133" i="152"/>
  <c r="H133" i="152" s="1"/>
  <c r="E85" i="143"/>
  <c r="E174" i="143"/>
  <c r="E246" i="143"/>
  <c r="E177" i="143"/>
  <c r="E81" i="143"/>
  <c r="E109" i="143"/>
  <c r="E149" i="143"/>
  <c r="E207" i="153"/>
  <c r="E222" i="147"/>
  <c r="E224" i="143"/>
  <c r="E83" i="147"/>
  <c r="E133" i="147"/>
  <c r="E64" i="147"/>
  <c r="E190" i="143"/>
  <c r="E14" i="152"/>
  <c r="E135" i="147"/>
  <c r="E221" i="147"/>
  <c r="E170" i="147"/>
  <c r="E242" i="147"/>
  <c r="D54" i="145"/>
  <c r="E186" i="147"/>
  <c r="P10" i="147"/>
  <c r="B117" i="147" s="1"/>
  <c r="A69" i="149"/>
  <c r="P33" i="147"/>
  <c r="P28" i="147"/>
  <c r="E65" i="147"/>
  <c r="E103" i="143"/>
  <c r="E319" i="143"/>
  <c r="E147" i="143"/>
  <c r="E31" i="143"/>
  <c r="E33" i="153"/>
  <c r="E244" i="143"/>
  <c r="N7" i="153"/>
  <c r="B59" i="153" s="1"/>
  <c r="E101" i="143"/>
  <c r="A79" i="149"/>
  <c r="E36" i="143"/>
  <c r="E249" i="143"/>
  <c r="P9" i="147"/>
  <c r="B62" i="147" s="1"/>
  <c r="N16" i="153"/>
  <c r="B88" i="153" s="1"/>
  <c r="A50" i="149"/>
  <c r="E115" i="147"/>
  <c r="P12" i="147"/>
  <c r="B12" i="147" s="1"/>
  <c r="E61" i="147"/>
  <c r="E168" i="147"/>
  <c r="E172" i="147"/>
  <c r="R7" i="146"/>
  <c r="E8" i="147"/>
  <c r="E12" i="143"/>
  <c r="E118" i="147"/>
  <c r="E60" i="147"/>
  <c r="R14" i="143"/>
  <c r="B154" i="143" s="1"/>
  <c r="P11" i="147"/>
  <c r="B171" i="147" s="1"/>
  <c r="H171" i="147" s="1"/>
  <c r="E62" i="147"/>
  <c r="E116" i="147"/>
  <c r="E225" i="147"/>
  <c r="P8" i="147"/>
  <c r="E224" i="147"/>
  <c r="E223" i="147"/>
  <c r="R11" i="143"/>
  <c r="B11" i="143" s="1"/>
  <c r="E114" i="147"/>
  <c r="E169" i="147"/>
  <c r="E63" i="147"/>
  <c r="E9" i="147"/>
  <c r="E186" i="143"/>
  <c r="E7" i="147"/>
  <c r="E12" i="147"/>
  <c r="E226" i="147"/>
  <c r="E117" i="147"/>
  <c r="E171" i="147"/>
  <c r="E300" i="143"/>
  <c r="E100" i="143"/>
  <c r="E145" i="147"/>
  <c r="E108" i="143"/>
  <c r="E314" i="143"/>
  <c r="B171" i="152"/>
  <c r="E35" i="143"/>
  <c r="E176" i="143"/>
  <c r="E235" i="143"/>
  <c r="E170" i="143"/>
  <c r="B56" i="152"/>
  <c r="E200" i="147"/>
  <c r="E142" i="147"/>
  <c r="B11" i="148"/>
  <c r="P35" i="147"/>
  <c r="R38" i="143"/>
  <c r="E243" i="143"/>
  <c r="P40" i="147"/>
  <c r="E38" i="143"/>
  <c r="E241" i="143"/>
  <c r="E30" i="143"/>
  <c r="E28" i="143"/>
  <c r="E202" i="147"/>
  <c r="P41" i="147"/>
  <c r="E248" i="147"/>
  <c r="R33" i="143"/>
  <c r="E316" i="143"/>
  <c r="E88" i="143"/>
  <c r="E37" i="147"/>
  <c r="E194" i="147"/>
  <c r="E90" i="147"/>
  <c r="B82" i="152"/>
  <c r="B163" i="152"/>
  <c r="E142" i="153"/>
  <c r="E172" i="143"/>
  <c r="E97" i="143"/>
  <c r="E168" i="143"/>
  <c r="E42" i="147"/>
  <c r="E41" i="147"/>
  <c r="E84" i="147"/>
  <c r="E245" i="147"/>
  <c r="R35" i="143"/>
  <c r="E193" i="147"/>
  <c r="E26" i="143"/>
  <c r="B62" i="148"/>
  <c r="E106" i="143"/>
  <c r="E164" i="143"/>
  <c r="E93" i="143"/>
  <c r="E254" i="147"/>
  <c r="E312" i="143"/>
  <c r="B190" i="148"/>
  <c r="E141" i="147"/>
  <c r="E141" i="153"/>
  <c r="E32" i="143"/>
  <c r="E237" i="143"/>
  <c r="P39" i="147"/>
  <c r="H199" i="147" s="1"/>
  <c r="E250" i="147"/>
  <c r="E242" i="143"/>
  <c r="E69" i="147"/>
  <c r="E124" i="147"/>
  <c r="B156" i="152"/>
  <c r="E34" i="147"/>
  <c r="E31" i="147"/>
  <c r="E13" i="152"/>
  <c r="M14" i="152"/>
  <c r="E12" i="152"/>
  <c r="M12" i="152"/>
  <c r="B49" i="152" s="1"/>
  <c r="B143" i="148"/>
  <c r="H143" i="148" s="1"/>
  <c r="A80" i="149"/>
  <c r="B150" i="149"/>
  <c r="B64" i="149"/>
  <c r="E85" i="147"/>
  <c r="E247" i="147"/>
  <c r="E246" i="147"/>
  <c r="A49" i="149"/>
  <c r="E305" i="143"/>
  <c r="E25" i="143"/>
  <c r="E94" i="143"/>
  <c r="E165" i="143"/>
  <c r="E234" i="143"/>
  <c r="E308" i="143"/>
  <c r="E24" i="143"/>
  <c r="E166" i="143"/>
  <c r="R26" i="143"/>
  <c r="E306" i="143"/>
  <c r="E238" i="143"/>
  <c r="E167" i="143"/>
  <c r="E99" i="143"/>
  <c r="R30" i="143"/>
  <c r="E98" i="143"/>
  <c r="E23" i="143"/>
  <c r="E236" i="143"/>
  <c r="A44" i="149"/>
  <c r="E309" i="143"/>
  <c r="E253" i="147"/>
  <c r="E149" i="147"/>
  <c r="E144" i="147"/>
  <c r="E252" i="147"/>
  <c r="E199" i="147"/>
  <c r="E148" i="147"/>
  <c r="E94" i="147"/>
  <c r="E92" i="147"/>
  <c r="E255" i="147"/>
  <c r="E201" i="147"/>
  <c r="E147" i="147"/>
  <c r="E93" i="147"/>
  <c r="E39" i="147"/>
  <c r="E256" i="147"/>
  <c r="E91" i="147"/>
  <c r="E198" i="147"/>
  <c r="E251" i="147"/>
  <c r="E38" i="147"/>
  <c r="B103" i="148"/>
  <c r="B61" i="148"/>
  <c r="B131" i="152"/>
  <c r="H131" i="152" s="1"/>
  <c r="B58" i="152"/>
  <c r="A70" i="149"/>
  <c r="E140" i="147"/>
  <c r="R32" i="143"/>
  <c r="R37" i="143"/>
  <c r="E248" i="143"/>
  <c r="E102" i="143"/>
  <c r="E104" i="143"/>
  <c r="E175" i="143"/>
  <c r="E245" i="143"/>
  <c r="R34" i="143"/>
  <c r="E247" i="143"/>
  <c r="E34" i="143"/>
  <c r="E37" i="143"/>
  <c r="E105" i="143"/>
  <c r="E318" i="143"/>
  <c r="E178" i="143"/>
  <c r="E173" i="143"/>
  <c r="E107" i="143"/>
  <c r="E317" i="143"/>
  <c r="I242" i="143"/>
  <c r="E315" i="143"/>
  <c r="E33" i="143"/>
  <c r="E171" i="143"/>
  <c r="A54" i="149"/>
  <c r="E112" i="149"/>
  <c r="E195" i="147"/>
  <c r="E249" i="147"/>
  <c r="E138" i="147"/>
  <c r="P32" i="147"/>
  <c r="A66" i="149"/>
  <c r="E87" i="147"/>
  <c r="E196" i="147"/>
  <c r="E88" i="147"/>
  <c r="E33" i="147"/>
  <c r="E32" i="147"/>
  <c r="E139" i="147"/>
  <c r="E35" i="147"/>
  <c r="E191" i="147"/>
  <c r="E192" i="147"/>
  <c r="E36" i="147"/>
  <c r="E86" i="147"/>
  <c r="P36" i="147"/>
  <c r="B127" i="152"/>
  <c r="H127" i="152" s="1"/>
  <c r="E143" i="147"/>
  <c r="E89" i="147"/>
  <c r="M13" i="152"/>
  <c r="B50" i="152" s="1"/>
  <c r="R42" i="143"/>
  <c r="E181" i="143"/>
  <c r="E185" i="143"/>
  <c r="B9" i="143"/>
  <c r="B220" i="143"/>
  <c r="I220" i="143" s="1"/>
  <c r="B149" i="143"/>
  <c r="H161" i="148"/>
  <c r="E83" i="143"/>
  <c r="E294" i="143"/>
  <c r="E9" i="143"/>
  <c r="E80" i="143"/>
  <c r="E150" i="143"/>
  <c r="E127" i="147"/>
  <c r="E125" i="147"/>
  <c r="A61" i="149"/>
  <c r="E10" i="143"/>
  <c r="E298" i="143"/>
  <c r="E87" i="143"/>
  <c r="E187" i="147"/>
  <c r="P27" i="147"/>
  <c r="P26" i="147"/>
  <c r="E189" i="147"/>
  <c r="E185" i="147"/>
  <c r="E137" i="147"/>
  <c r="E78" i="147"/>
  <c r="E241" i="147"/>
  <c r="E29" i="147"/>
  <c r="P29" i="147"/>
  <c r="A56" i="149"/>
  <c r="E79" i="147"/>
  <c r="E26" i="147"/>
  <c r="E132" i="147"/>
  <c r="P30" i="147"/>
  <c r="E28" i="147"/>
  <c r="E25" i="147"/>
  <c r="E244" i="147"/>
  <c r="E81" i="147"/>
  <c r="M10" i="152"/>
  <c r="B121" i="152" s="1"/>
  <c r="H121" i="152" s="1"/>
  <c r="D46" i="145"/>
  <c r="E34" i="153"/>
  <c r="E47" i="153"/>
  <c r="E8" i="153"/>
  <c r="A82" i="149"/>
  <c r="E148" i="143"/>
  <c r="E84" i="143"/>
  <c r="E239" i="147"/>
  <c r="E82" i="147"/>
  <c r="E121" i="147"/>
  <c r="R29" i="143"/>
  <c r="E307" i="143"/>
  <c r="R27" i="143"/>
  <c r="E169" i="143"/>
  <c r="E96" i="143"/>
  <c r="E29" i="143"/>
  <c r="E304" i="143"/>
  <c r="D62" i="145"/>
  <c r="P15" i="147"/>
  <c r="B229" i="147" s="1"/>
  <c r="E79" i="143"/>
  <c r="D8" i="145"/>
  <c r="E7" i="143"/>
  <c r="E222" i="143"/>
  <c r="E290" i="143"/>
  <c r="E8" i="143"/>
  <c r="E295" i="143"/>
  <c r="E291" i="143"/>
  <c r="E221" i="143"/>
  <c r="E13" i="143"/>
  <c r="E223" i="143"/>
  <c r="E293" i="143"/>
  <c r="E292" i="143"/>
  <c r="E220" i="143"/>
  <c r="E11" i="143"/>
  <c r="E219" i="143"/>
  <c r="B152" i="143"/>
  <c r="R13" i="143"/>
  <c r="R10" i="143"/>
  <c r="B221" i="143" s="1"/>
  <c r="I221" i="143" s="1"/>
  <c r="E82" i="143"/>
  <c r="E77" i="143"/>
  <c r="E153" i="143"/>
  <c r="E151" i="143"/>
  <c r="E16" i="143"/>
  <c r="E30" i="147"/>
  <c r="E136" i="147"/>
  <c r="B219" i="143"/>
  <c r="I219" i="143" s="1"/>
  <c r="E229" i="147"/>
  <c r="E288" i="143"/>
  <c r="B178" i="152"/>
  <c r="B103" i="152"/>
  <c r="B65" i="152"/>
  <c r="E173" i="147"/>
  <c r="E7" i="153"/>
  <c r="E46" i="153"/>
  <c r="E78" i="143"/>
  <c r="E152" i="143"/>
  <c r="A34" i="149"/>
  <c r="E80" i="147"/>
  <c r="E190" i="147"/>
  <c r="E225" i="143"/>
  <c r="E71" i="147"/>
  <c r="E227" i="147"/>
  <c r="E18" i="147"/>
  <c r="E231" i="147"/>
  <c r="P16" i="147"/>
  <c r="E67" i="147"/>
  <c r="P14" i="147"/>
  <c r="E230" i="147"/>
  <c r="E100" i="153"/>
  <c r="E74" i="153"/>
  <c r="N15" i="153"/>
  <c r="E15" i="147"/>
  <c r="E101" i="153"/>
  <c r="E114" i="153"/>
  <c r="E75" i="153"/>
  <c r="E289" i="143"/>
  <c r="E70" i="147"/>
  <c r="E154" i="143"/>
  <c r="A51" i="149"/>
  <c r="E19" i="143"/>
  <c r="E7" i="152"/>
  <c r="E240" i="147"/>
  <c r="E243" i="147"/>
  <c r="M9" i="152"/>
  <c r="B157" i="152" s="1"/>
  <c r="N8" i="153"/>
  <c r="B21" i="153" s="1"/>
  <c r="E14" i="143"/>
  <c r="E218" i="143"/>
  <c r="B8" i="152"/>
  <c r="F8" i="152" s="1"/>
  <c r="B119" i="152"/>
  <c r="H119" i="152" s="1"/>
  <c r="B34" i="149"/>
  <c r="E265" i="143"/>
  <c r="E334" i="143"/>
  <c r="E262" i="143"/>
  <c r="E258" i="143"/>
  <c r="R54" i="143"/>
  <c r="R48" i="143"/>
  <c r="R51" i="143"/>
  <c r="R49" i="143"/>
  <c r="E330" i="143"/>
  <c r="E329" i="143"/>
  <c r="E332" i="143"/>
  <c r="E261" i="143"/>
  <c r="A74" i="149"/>
  <c r="E124" i="143"/>
  <c r="E187" i="143"/>
  <c r="E189" i="143"/>
  <c r="E335" i="143"/>
  <c r="E119" i="143"/>
  <c r="E54" i="143"/>
  <c r="E263" i="143"/>
  <c r="E331" i="143"/>
  <c r="E192" i="143"/>
  <c r="E51" i="143"/>
  <c r="E49" i="143"/>
  <c r="E193" i="143"/>
  <c r="E122" i="143"/>
  <c r="E118" i="143"/>
  <c r="E194" i="143"/>
  <c r="R53" i="143"/>
  <c r="R50" i="143"/>
  <c r="E191" i="143"/>
  <c r="E52" i="143"/>
  <c r="E117" i="143"/>
  <c r="E121" i="143"/>
  <c r="E53" i="143"/>
  <c r="E328" i="143"/>
  <c r="E188" i="143"/>
  <c r="E48" i="143"/>
  <c r="E259" i="143"/>
  <c r="E120" i="143"/>
  <c r="E129" i="147"/>
  <c r="P23" i="147"/>
  <c r="E23" i="147"/>
  <c r="E20" i="147"/>
  <c r="E236" i="147"/>
  <c r="E184" i="147"/>
  <c r="P24" i="147"/>
  <c r="E234" i="147"/>
  <c r="E181" i="147"/>
  <c r="E128" i="147"/>
  <c r="P20" i="147"/>
  <c r="E74" i="147"/>
  <c r="E235" i="147"/>
  <c r="E182" i="147"/>
  <c r="E131" i="147"/>
  <c r="E72" i="147"/>
  <c r="E22" i="147"/>
  <c r="E238" i="147"/>
  <c r="E126" i="147"/>
  <c r="P22" i="147"/>
  <c r="E77" i="147"/>
  <c r="P21" i="147"/>
  <c r="A46" i="149"/>
  <c r="E237" i="147"/>
  <c r="E24" i="147"/>
  <c r="E73" i="147"/>
  <c r="E76" i="147"/>
  <c r="E19" i="147"/>
  <c r="E130" i="147"/>
  <c r="E75" i="147"/>
  <c r="F10" i="146"/>
  <c r="E50" i="143"/>
  <c r="A72" i="149"/>
  <c r="E183" i="147"/>
  <c r="E264" i="143"/>
  <c r="B24" i="149"/>
  <c r="E47" i="143"/>
  <c r="E260" i="143"/>
  <c r="E86" i="143"/>
  <c r="R17" i="143"/>
  <c r="E22" i="143"/>
  <c r="E296" i="143"/>
  <c r="R22" i="143"/>
  <c r="E90" i="143"/>
  <c r="E89" i="143"/>
  <c r="E233" i="143"/>
  <c r="R18" i="143"/>
  <c r="B158" i="143" s="1"/>
  <c r="E161" i="143"/>
  <c r="E157" i="143"/>
  <c r="E17" i="143"/>
  <c r="B297" i="143"/>
  <c r="E159" i="143"/>
  <c r="E302" i="143"/>
  <c r="R19" i="143"/>
  <c r="E231" i="143"/>
  <c r="E92" i="143"/>
  <c r="E156" i="143"/>
  <c r="E162" i="143"/>
  <c r="A71" i="149"/>
  <c r="E21" i="143"/>
  <c r="E227" i="143"/>
  <c r="E91" i="143"/>
  <c r="E232" i="143"/>
  <c r="E158" i="143"/>
  <c r="E226" i="143"/>
  <c r="B290" i="143"/>
  <c r="B79" i="143"/>
  <c r="E230" i="143"/>
  <c r="D9" i="145"/>
  <c r="E301" i="143"/>
  <c r="E160" i="143"/>
  <c r="E229" i="143"/>
  <c r="N31" i="153"/>
  <c r="B172" i="152"/>
  <c r="N23" i="153"/>
  <c r="E16" i="147"/>
  <c r="E228" i="147"/>
  <c r="E66" i="147"/>
  <c r="E178" i="147"/>
  <c r="P17" i="147"/>
  <c r="E174" i="147"/>
  <c r="E177" i="147"/>
  <c r="E123" i="147"/>
  <c r="E17" i="147"/>
  <c r="P18" i="147"/>
  <c r="E232" i="147"/>
  <c r="E176" i="147"/>
  <c r="E122" i="147"/>
  <c r="E13" i="147"/>
  <c r="E68" i="147"/>
  <c r="E175" i="147"/>
  <c r="E120" i="147"/>
  <c r="N24" i="153"/>
  <c r="E60" i="153"/>
  <c r="E208" i="153"/>
  <c r="N32" i="153"/>
  <c r="E180" i="143"/>
  <c r="E251" i="143"/>
  <c r="E323" i="143"/>
  <c r="R43" i="143"/>
  <c r="E253" i="143"/>
  <c r="E250" i="143"/>
  <c r="E325" i="143"/>
  <c r="E320" i="143"/>
  <c r="E252" i="143"/>
  <c r="R41" i="143"/>
  <c r="E322" i="143"/>
  <c r="E327" i="143"/>
  <c r="A64" i="149"/>
  <c r="R40" i="143"/>
  <c r="R45" i="143"/>
  <c r="E256" i="143"/>
  <c r="E111" i="143"/>
  <c r="E113" i="143"/>
  <c r="E182" i="143"/>
  <c r="E326" i="143"/>
  <c r="E43" i="143"/>
  <c r="E46" i="143"/>
  <c r="E45" i="143"/>
  <c r="E324" i="143"/>
  <c r="E110" i="143"/>
  <c r="E115" i="143"/>
  <c r="E116" i="143"/>
  <c r="E254" i="143"/>
  <c r="E42" i="143"/>
  <c r="E112" i="143"/>
  <c r="E114" i="143"/>
  <c r="E40" i="143"/>
  <c r="E255" i="143"/>
  <c r="E44" i="143"/>
  <c r="E39" i="143"/>
  <c r="E257" i="143"/>
  <c r="E321" i="143"/>
  <c r="E179" i="143"/>
  <c r="E183" i="143"/>
  <c r="R46" i="143"/>
  <c r="E41" i="143"/>
  <c r="A52" i="149"/>
  <c r="E15" i="143"/>
  <c r="E228" i="143"/>
  <c r="E20" i="143"/>
  <c r="E18" i="143"/>
  <c r="E299" i="143"/>
  <c r="R21" i="143"/>
  <c r="E303" i="143"/>
  <c r="E297" i="143"/>
  <c r="E311" i="143"/>
  <c r="R24" i="143"/>
  <c r="E240" i="143"/>
  <c r="E8" i="152"/>
  <c r="E10" i="152"/>
  <c r="E9" i="152"/>
  <c r="M7" i="152"/>
  <c r="P38" i="147"/>
  <c r="A76" i="149"/>
  <c r="B74" i="149"/>
  <c r="B160" i="149"/>
  <c r="M11" i="152"/>
  <c r="E11" i="152"/>
  <c r="E233" i="147"/>
  <c r="E180" i="147"/>
  <c r="E21" i="147"/>
  <c r="B140" i="149"/>
  <c r="B44" i="149"/>
  <c r="B54" i="149"/>
  <c r="B130" i="149"/>
  <c r="C154" i="153"/>
  <c r="C260" i="153"/>
  <c r="C60" i="153"/>
  <c r="C141" i="153"/>
  <c r="C221" i="153"/>
  <c r="C127" i="153"/>
  <c r="C193" i="153"/>
  <c r="C114" i="153"/>
  <c r="C74" i="153"/>
  <c r="C47" i="153"/>
  <c r="C126" i="153"/>
  <c r="C8" i="153"/>
  <c r="C87" i="153"/>
  <c r="C123" i="152"/>
  <c r="C160" i="152"/>
  <c r="C52" i="152"/>
  <c r="C26" i="152"/>
  <c r="C86" i="152"/>
  <c r="C131" i="152"/>
  <c r="C168" i="152"/>
  <c r="C29" i="152"/>
  <c r="C118" i="152"/>
  <c r="C45" i="152"/>
  <c r="C47" i="152"/>
  <c r="C103" i="152"/>
  <c r="C44" i="152"/>
  <c r="C174" i="152"/>
  <c r="C82" i="152"/>
  <c r="C63" i="152"/>
  <c r="C137" i="152"/>
  <c r="C163" i="152"/>
  <c r="C15" i="152"/>
  <c r="C112" i="148"/>
  <c r="C32" i="148"/>
  <c r="C31" i="148"/>
  <c r="C70" i="148"/>
  <c r="C116" i="148"/>
  <c r="C172" i="148"/>
  <c r="C165" i="148"/>
  <c r="C202" i="148"/>
  <c r="C123" i="148"/>
  <c r="C77" i="148"/>
  <c r="C78" i="148"/>
  <c r="C36" i="148"/>
  <c r="C29" i="148"/>
  <c r="C21" i="148"/>
  <c r="C206" i="148"/>
  <c r="C197" i="148"/>
  <c r="C115" i="148"/>
  <c r="C127" i="148"/>
  <c r="C25" i="148"/>
  <c r="C75" i="148"/>
  <c r="C212" i="148"/>
  <c r="C167" i="148"/>
  <c r="C205" i="148"/>
  <c r="C115" i="147"/>
  <c r="C222" i="147"/>
  <c r="C87" i="147"/>
  <c r="C141" i="147"/>
  <c r="C34" i="147"/>
  <c r="C248" i="147"/>
  <c r="C227" i="147"/>
  <c r="C120" i="147"/>
  <c r="C13" i="147"/>
  <c r="C173" i="147"/>
  <c r="C72" i="147"/>
  <c r="C179" i="147"/>
  <c r="C126" i="147"/>
  <c r="C233" i="147"/>
  <c r="C180" i="147"/>
  <c r="C73" i="147"/>
  <c r="C20" i="147"/>
  <c r="C127" i="147"/>
  <c r="C168" i="147"/>
  <c r="C24" i="147"/>
  <c r="C77" i="147"/>
  <c r="C238" i="147"/>
  <c r="C184" i="147"/>
  <c r="C30" i="147"/>
  <c r="C137" i="147"/>
  <c r="C61" i="147"/>
  <c r="C185" i="147"/>
  <c r="C68" i="147"/>
  <c r="C22" i="147"/>
  <c r="C192" i="147"/>
  <c r="C15" i="147"/>
  <c r="C122" i="147"/>
  <c r="C139" i="147"/>
  <c r="C236" i="147"/>
  <c r="C246" i="147"/>
  <c r="C7" i="147"/>
  <c r="C84" i="147"/>
  <c r="C67" i="147"/>
  <c r="C128" i="147"/>
  <c r="C121" i="147"/>
  <c r="C78" i="147"/>
  <c r="C223" i="147"/>
  <c r="C8" i="146"/>
  <c r="C38" i="146"/>
  <c r="C49" i="146"/>
  <c r="C21" i="146"/>
  <c r="C35" i="146"/>
  <c r="C294" i="143"/>
  <c r="C83" i="143"/>
  <c r="C153" i="143"/>
  <c r="C224" i="143"/>
  <c r="C13" i="143"/>
  <c r="C308" i="143"/>
  <c r="C97" i="143"/>
  <c r="C238" i="143"/>
  <c r="C27" i="143"/>
  <c r="C167" i="143"/>
  <c r="C192" i="143"/>
  <c r="C52" i="143"/>
  <c r="C263" i="143"/>
  <c r="C333" i="143"/>
  <c r="C122" i="143"/>
  <c r="C239" i="143"/>
  <c r="C309" i="143"/>
  <c r="C168" i="143"/>
  <c r="C98" i="143"/>
  <c r="C46" i="143"/>
  <c r="C186" i="143"/>
  <c r="C257" i="143"/>
  <c r="C327" i="143"/>
  <c r="C116" i="143"/>
  <c r="C262" i="143"/>
  <c r="C121" i="143"/>
  <c r="C332" i="143"/>
  <c r="C191" i="143"/>
  <c r="C51" i="143"/>
  <c r="C22" i="143"/>
  <c r="C162" i="143"/>
  <c r="C92" i="143"/>
  <c r="C233" i="143"/>
  <c r="C317" i="143"/>
  <c r="C247" i="143"/>
  <c r="C176" i="143"/>
  <c r="C106" i="143"/>
  <c r="C292" i="143"/>
  <c r="C151" i="143"/>
  <c r="C222" i="143"/>
  <c r="C81" i="143"/>
  <c r="C11" i="143"/>
  <c r="C315" i="143"/>
  <c r="C174" i="143"/>
  <c r="C245" i="143"/>
  <c r="C251" i="143"/>
  <c r="C321" i="143"/>
  <c r="C15" i="143"/>
  <c r="C296" i="143"/>
  <c r="C85" i="143"/>
  <c r="C232" i="143"/>
  <c r="C161" i="143"/>
  <c r="C21" i="143"/>
  <c r="C175" i="143"/>
  <c r="C35" i="143"/>
  <c r="C246" i="143"/>
  <c r="C322" i="143"/>
  <c r="C252" i="143"/>
  <c r="C181" i="143"/>
  <c r="C41" i="143"/>
  <c r="C117" i="143"/>
  <c r="C187" i="143"/>
  <c r="C258" i="143"/>
  <c r="C47" i="143"/>
  <c r="C328" i="143"/>
  <c r="C16" i="143"/>
  <c r="C156" i="143"/>
  <c r="C293" i="143"/>
  <c r="C12" i="143"/>
  <c r="C152" i="143"/>
  <c r="C307" i="143"/>
  <c r="C166" i="143"/>
  <c r="D128" i="149" l="1"/>
  <c r="D124" i="149"/>
  <c r="D196" i="149" s="1"/>
  <c r="D123" i="149"/>
  <c r="D195" i="149" s="1"/>
  <c r="D117" i="149"/>
  <c r="D197" i="149"/>
  <c r="D116" i="149"/>
  <c r="D126" i="149"/>
  <c r="D129" i="149"/>
  <c r="D119" i="149"/>
  <c r="D118" i="149"/>
  <c r="D127" i="149"/>
  <c r="D122" i="149"/>
  <c r="D194" i="149" s="1"/>
  <c r="D121" i="149"/>
  <c r="D193" i="149" s="1"/>
  <c r="M11" i="143"/>
  <c r="R184" i="149"/>
  <c r="J46" i="148" s="1"/>
  <c r="R187" i="149"/>
  <c r="R188" i="149"/>
  <c r="B8" i="146"/>
  <c r="F8" i="146" s="1"/>
  <c r="R189" i="149"/>
  <c r="R186" i="149"/>
  <c r="R185" i="149"/>
  <c r="R182" i="149"/>
  <c r="K14" i="146" s="1"/>
  <c r="R183" i="149"/>
  <c r="H194" i="147"/>
  <c r="E113" i="149"/>
  <c r="I113" i="149"/>
  <c r="H118" i="149"/>
  <c r="N114" i="149"/>
  <c r="I121" i="149"/>
  <c r="I193" i="149" s="1"/>
  <c r="L114" i="149"/>
  <c r="E115" i="149"/>
  <c r="B7" i="146"/>
  <c r="F7" i="146" s="1"/>
  <c r="H167" i="148"/>
  <c r="R113" i="149"/>
  <c r="E161" i="149"/>
  <c r="B48" i="146"/>
  <c r="H48" i="146" s="1"/>
  <c r="H112" i="149"/>
  <c r="K133" i="149"/>
  <c r="F143" i="149"/>
  <c r="P112" i="149"/>
  <c r="J113" i="149"/>
  <c r="L119" i="149"/>
  <c r="Q122" i="149"/>
  <c r="I133" i="149"/>
  <c r="F162" i="149"/>
  <c r="B34" i="146"/>
  <c r="B62" i="146"/>
  <c r="M112" i="149"/>
  <c r="P113" i="149"/>
  <c r="G114" i="149"/>
  <c r="F113" i="149"/>
  <c r="G157" i="149"/>
  <c r="E172" i="149"/>
  <c r="K155" i="149"/>
  <c r="N152" i="149"/>
  <c r="I152" i="149"/>
  <c r="R157" i="149"/>
  <c r="I157" i="149"/>
  <c r="H153" i="149"/>
  <c r="N187" i="149"/>
  <c r="M176" i="149"/>
  <c r="H181" i="149"/>
  <c r="N172" i="149"/>
  <c r="G173" i="149"/>
  <c r="G172" i="149"/>
  <c r="Q177" i="149"/>
  <c r="Q179" i="149"/>
  <c r="I179" i="149"/>
  <c r="P118" i="149"/>
  <c r="L128" i="149"/>
  <c r="R121" i="149"/>
  <c r="R193" i="149" s="1"/>
  <c r="Q125" i="149"/>
  <c r="F145" i="149"/>
  <c r="J143" i="149"/>
  <c r="K132" i="149"/>
  <c r="J133" i="149"/>
  <c r="I167" i="149"/>
  <c r="N169" i="149"/>
  <c r="O153" i="149"/>
  <c r="L153" i="149"/>
  <c r="E153" i="149"/>
  <c r="F154" i="149"/>
  <c r="D158" i="149"/>
  <c r="P153" i="149"/>
  <c r="L184" i="149"/>
  <c r="P189" i="149"/>
  <c r="K189" i="149"/>
  <c r="L172" i="149"/>
  <c r="M173" i="149"/>
  <c r="E183" i="149"/>
  <c r="D172" i="149"/>
  <c r="D185" i="149"/>
  <c r="E175" i="149"/>
  <c r="K117" i="149"/>
  <c r="D189" i="149"/>
  <c r="G188" i="149"/>
  <c r="O175" i="149"/>
  <c r="G116" i="149"/>
  <c r="P145" i="149"/>
  <c r="R143" i="149"/>
  <c r="O133" i="149"/>
  <c r="D134" i="149"/>
  <c r="E162" i="149"/>
  <c r="I163" i="149"/>
  <c r="R151" i="149"/>
  <c r="R158" i="149"/>
  <c r="G189" i="149"/>
  <c r="D163" i="149"/>
  <c r="H158" i="149"/>
  <c r="Q152" i="149"/>
  <c r="E119" i="149"/>
  <c r="Q182" i="149"/>
  <c r="I178" i="149"/>
  <c r="L126" i="149"/>
  <c r="K127" i="149"/>
  <c r="H144" i="149"/>
  <c r="O134" i="149"/>
  <c r="G169" i="149"/>
  <c r="M152" i="149"/>
  <c r="E159" i="149"/>
  <c r="N155" i="149"/>
  <c r="L157" i="149"/>
  <c r="Q172" i="149"/>
  <c r="O176" i="149"/>
  <c r="O178" i="149"/>
  <c r="H177" i="149"/>
  <c r="Q176" i="149"/>
  <c r="Q116" i="149"/>
  <c r="J186" i="149"/>
  <c r="R125" i="149"/>
  <c r="Q145" i="149"/>
  <c r="F148" i="149"/>
  <c r="P131" i="149"/>
  <c r="P166" i="149"/>
  <c r="M154" i="149"/>
  <c r="K158" i="149"/>
  <c r="Q159" i="149"/>
  <c r="K159" i="149"/>
  <c r="E151" i="149"/>
  <c r="E154" i="149"/>
  <c r="E158" i="149"/>
  <c r="J171" i="149"/>
  <c r="P184" i="149"/>
  <c r="N128" i="149"/>
  <c r="H186" i="149"/>
  <c r="Q117" i="149"/>
  <c r="K177" i="149"/>
  <c r="J176" i="149"/>
  <c r="H187" i="149"/>
  <c r="O188" i="149"/>
  <c r="R116" i="149"/>
  <c r="D174" i="149"/>
  <c r="E181" i="149"/>
  <c r="O122" i="149"/>
  <c r="I129" i="149"/>
  <c r="M143" i="149"/>
  <c r="P149" i="149"/>
  <c r="R131" i="149"/>
  <c r="D132" i="149"/>
  <c r="M165" i="149"/>
  <c r="H166" i="149"/>
  <c r="I159" i="149"/>
  <c r="N156" i="149"/>
  <c r="K175" i="149"/>
  <c r="R174" i="149"/>
  <c r="Q143" i="149"/>
  <c r="G167" i="149"/>
  <c r="R153" i="149"/>
  <c r="I154" i="149"/>
  <c r="Q188" i="149"/>
  <c r="F171" i="149"/>
  <c r="J184" i="149"/>
  <c r="L181" i="149"/>
  <c r="K147" i="149"/>
  <c r="I164" i="149"/>
  <c r="G158" i="149"/>
  <c r="N158" i="149"/>
  <c r="K153" i="149"/>
  <c r="Q174" i="149"/>
  <c r="L177" i="149"/>
  <c r="I182" i="149"/>
  <c r="P182" i="149"/>
  <c r="F176" i="149"/>
  <c r="M129" i="149"/>
  <c r="F122" i="149"/>
  <c r="H135" i="149"/>
  <c r="G166" i="149"/>
  <c r="R152" i="149"/>
  <c r="I151" i="149"/>
  <c r="F155" i="149"/>
  <c r="L151" i="149"/>
  <c r="P151" i="149"/>
  <c r="O157" i="149"/>
  <c r="M158" i="149"/>
  <c r="H178" i="149"/>
  <c r="G115" i="149"/>
  <c r="N189" i="149"/>
  <c r="J124" i="149"/>
  <c r="H183" i="149"/>
  <c r="E184" i="149"/>
  <c r="H172" i="149"/>
  <c r="F186" i="149"/>
  <c r="M189" i="149"/>
  <c r="K186" i="149"/>
  <c r="E145" i="149"/>
  <c r="J141" i="149"/>
  <c r="P136" i="149"/>
  <c r="N132" i="149"/>
  <c r="L161" i="149"/>
  <c r="P156" i="149"/>
  <c r="I188" i="149"/>
  <c r="F156" i="149"/>
  <c r="R154" i="149"/>
  <c r="P188" i="149"/>
  <c r="J177" i="149"/>
  <c r="E177" i="149"/>
  <c r="I173" i="149"/>
  <c r="N185" i="149"/>
  <c r="I126" i="149"/>
  <c r="H131" i="149"/>
  <c r="J175" i="149"/>
  <c r="E171" i="149"/>
  <c r="G187" i="149"/>
  <c r="M172" i="149"/>
  <c r="G121" i="149"/>
  <c r="G193" i="149" s="1"/>
  <c r="F188" i="149"/>
  <c r="E185" i="149"/>
  <c r="J178" i="149"/>
  <c r="L159" i="149"/>
  <c r="J156" i="149"/>
  <c r="M157" i="149"/>
  <c r="J151" i="149"/>
  <c r="R166" i="149"/>
  <c r="D169" i="149"/>
  <c r="H133" i="149"/>
  <c r="F137" i="149"/>
  <c r="P144" i="149"/>
  <c r="J146" i="149"/>
  <c r="L127" i="149"/>
  <c r="H176" i="149"/>
  <c r="Q183" i="149"/>
  <c r="L189" i="149"/>
  <c r="D173" i="149"/>
  <c r="J183" i="149"/>
  <c r="H126" i="149"/>
  <c r="O177" i="149"/>
  <c r="O172" i="149"/>
  <c r="D181" i="149"/>
  <c r="F182" i="149"/>
  <c r="P187" i="149"/>
  <c r="H116" i="149"/>
  <c r="Q154" i="149"/>
  <c r="F153" i="149"/>
  <c r="O154" i="149"/>
  <c r="F152" i="149"/>
  <c r="M163" i="149"/>
  <c r="D168" i="149"/>
  <c r="R133" i="149"/>
  <c r="O131" i="149"/>
  <c r="N142" i="149"/>
  <c r="L144" i="149"/>
  <c r="J117" i="149"/>
  <c r="L122" i="149"/>
  <c r="N175" i="149"/>
  <c r="H122" i="149"/>
  <c r="D175" i="149"/>
  <c r="F187" i="149"/>
  <c r="Q123" i="149"/>
  <c r="M182" i="149"/>
  <c r="R173" i="149"/>
  <c r="L178" i="149"/>
  <c r="F177" i="149"/>
  <c r="R115" i="149"/>
  <c r="N184" i="149"/>
  <c r="N154" i="149"/>
  <c r="J152" i="149"/>
  <c r="H154" i="149"/>
  <c r="D155" i="149"/>
  <c r="Q161" i="149"/>
  <c r="L163" i="149"/>
  <c r="M134" i="149"/>
  <c r="R134" i="149"/>
  <c r="G146" i="149"/>
  <c r="L146" i="149"/>
  <c r="K126" i="149"/>
  <c r="H121" i="149"/>
  <c r="H193" i="149" s="1"/>
  <c r="F117" i="149"/>
  <c r="L183" i="149"/>
  <c r="L117" i="149"/>
  <c r="P175" i="149"/>
  <c r="N116" i="149"/>
  <c r="J164" i="149"/>
  <c r="G164" i="149"/>
  <c r="L162" i="149"/>
  <c r="O167" i="149"/>
  <c r="N163" i="149"/>
  <c r="Q168" i="149"/>
  <c r="P165" i="149"/>
  <c r="O162" i="149"/>
  <c r="K138" i="149"/>
  <c r="N137" i="149"/>
  <c r="D137" i="149"/>
  <c r="H136" i="149"/>
  <c r="K135" i="149"/>
  <c r="F131" i="149"/>
  <c r="P134" i="149"/>
  <c r="P137" i="149"/>
  <c r="J134" i="149"/>
  <c r="F147" i="149"/>
  <c r="P146" i="149"/>
  <c r="K145" i="149"/>
  <c r="I143" i="149"/>
  <c r="F141" i="149"/>
  <c r="E147" i="149"/>
  <c r="D141" i="149"/>
  <c r="R145" i="149"/>
  <c r="J129" i="149"/>
  <c r="R176" i="149"/>
  <c r="F127" i="149"/>
  <c r="H119" i="149"/>
  <c r="P116" i="149"/>
  <c r="F123" i="149"/>
  <c r="Q121" i="149"/>
  <c r="Q193" i="149" s="1"/>
  <c r="P124" i="149"/>
  <c r="G123" i="149"/>
  <c r="G171" i="149"/>
  <c r="P183" i="149"/>
  <c r="L188" i="149"/>
  <c r="Q181" i="149"/>
  <c r="O115" i="149"/>
  <c r="H171" i="149"/>
  <c r="O185" i="149"/>
  <c r="H179" i="149"/>
  <c r="E118" i="149"/>
  <c r="M186" i="149"/>
  <c r="F173" i="149"/>
  <c r="K119" i="149"/>
  <c r="D179" i="149"/>
  <c r="F159" i="149"/>
  <c r="O158" i="149"/>
  <c r="P158" i="149"/>
  <c r="H151" i="149"/>
  <c r="J153" i="149"/>
  <c r="Q163" i="149"/>
  <c r="Q162" i="149"/>
  <c r="P135" i="149"/>
  <c r="J132" i="149"/>
  <c r="M146" i="149"/>
  <c r="K149" i="149"/>
  <c r="Q128" i="149"/>
  <c r="J123" i="149"/>
  <c r="F189" i="149"/>
  <c r="L179" i="149"/>
  <c r="I184" i="149"/>
  <c r="Q156" i="149"/>
  <c r="L187" i="149"/>
  <c r="J157" i="149"/>
  <c r="P159" i="149"/>
  <c r="E156" i="149"/>
  <c r="I156" i="149"/>
  <c r="K152" i="149"/>
  <c r="I158" i="149"/>
  <c r="H189" i="149"/>
  <c r="F175" i="149"/>
  <c r="P177" i="149"/>
  <c r="M188" i="149"/>
  <c r="R119" i="149"/>
  <c r="E178" i="149"/>
  <c r="O181" i="149"/>
  <c r="N117" i="149"/>
  <c r="N178" i="149"/>
  <c r="M127" i="149"/>
  <c r="O182" i="149"/>
  <c r="K178" i="149"/>
  <c r="O121" i="149"/>
  <c r="O193" i="149" s="1"/>
  <c r="J119" i="149"/>
  <c r="M119" i="149"/>
  <c r="M115" i="149"/>
  <c r="K142" i="149"/>
  <c r="L142" i="149"/>
  <c r="E138" i="149"/>
  <c r="O132" i="149"/>
  <c r="H163" i="149"/>
  <c r="P168" i="149"/>
  <c r="E167" i="149"/>
  <c r="P162" i="149"/>
  <c r="H167" i="149"/>
  <c r="J162" i="149"/>
  <c r="R165" i="149"/>
  <c r="J169" i="149"/>
  <c r="E163" i="149"/>
  <c r="I165" i="149"/>
  <c r="N167" i="149"/>
  <c r="I161" i="149"/>
  <c r="F164" i="149"/>
  <c r="J166" i="149"/>
  <c r="Q165" i="149"/>
  <c r="F169" i="149"/>
  <c r="K167" i="149"/>
  <c r="O164" i="149"/>
  <c r="H164" i="149"/>
  <c r="R137" i="149"/>
  <c r="N133" i="149"/>
  <c r="E137" i="149"/>
  <c r="G132" i="149"/>
  <c r="J136" i="149"/>
  <c r="L131" i="149"/>
  <c r="N135" i="149"/>
  <c r="R139" i="149"/>
  <c r="Q134" i="149"/>
  <c r="K137" i="149"/>
  <c r="J139" i="149"/>
  <c r="P139" i="149"/>
  <c r="L133" i="149"/>
  <c r="D138" i="149"/>
  <c r="M136" i="149"/>
  <c r="L136" i="149"/>
  <c r="E134" i="149"/>
  <c r="E149" i="149"/>
  <c r="E146" i="149"/>
  <c r="P141" i="149"/>
  <c r="M145" i="149"/>
  <c r="Q149" i="149"/>
  <c r="F144" i="149"/>
  <c r="L147" i="149"/>
  <c r="D142" i="149"/>
  <c r="I145" i="149"/>
  <c r="M148" i="149"/>
  <c r="D143" i="149"/>
  <c r="O145" i="149"/>
  <c r="M144" i="149"/>
  <c r="I146" i="149"/>
  <c r="Q144" i="149"/>
  <c r="E143" i="149"/>
  <c r="L149" i="149"/>
  <c r="K128" i="149"/>
  <c r="L123" i="149"/>
  <c r="L124" i="149"/>
  <c r="P178" i="149"/>
  <c r="H125" i="149"/>
  <c r="G182" i="149"/>
  <c r="O113" i="149"/>
  <c r="J126" i="149"/>
  <c r="L121" i="149"/>
  <c r="L193" i="149" s="1"/>
  <c r="F125" i="149"/>
  <c r="P181" i="149"/>
  <c r="M125" i="149"/>
  <c r="N129" i="149"/>
  <c r="H124" i="149"/>
  <c r="J118" i="149"/>
  <c r="L113" i="149"/>
  <c r="M122" i="149"/>
  <c r="J122" i="149"/>
  <c r="Q129" i="149"/>
  <c r="N125" i="149"/>
  <c r="G124" i="149"/>
  <c r="P123" i="149"/>
  <c r="M123" i="149"/>
  <c r="I117" i="149"/>
  <c r="O119" i="149"/>
  <c r="H174" i="149"/>
  <c r="H188" i="149"/>
  <c r="O184" i="149"/>
  <c r="F119" i="149"/>
  <c r="O118" i="149"/>
  <c r="I123" i="149"/>
  <c r="L166" i="149"/>
  <c r="H162" i="149"/>
  <c r="N166" i="149"/>
  <c r="P161" i="149"/>
  <c r="H165" i="149"/>
  <c r="M168" i="149"/>
  <c r="G162" i="149"/>
  <c r="L164" i="149"/>
  <c r="Q166" i="149"/>
  <c r="P169" i="149"/>
  <c r="J163" i="149"/>
  <c r="N165" i="149"/>
  <c r="D164" i="149"/>
  <c r="E165" i="149"/>
  <c r="F165" i="149"/>
  <c r="N162" i="149"/>
  <c r="D162" i="149"/>
  <c r="J137" i="149"/>
  <c r="F133" i="149"/>
  <c r="K136" i="149"/>
  <c r="M131" i="149"/>
  <c r="O135" i="149"/>
  <c r="D131" i="149"/>
  <c r="E135" i="149"/>
  <c r="H139" i="149"/>
  <c r="H134" i="149"/>
  <c r="G136" i="149"/>
  <c r="M138" i="149"/>
  <c r="R135" i="149"/>
  <c r="I132" i="149"/>
  <c r="O136" i="149"/>
  <c r="J135" i="149"/>
  <c r="N131" i="149"/>
  <c r="L148" i="149"/>
  <c r="L145" i="149"/>
  <c r="H141" i="149"/>
  <c r="R144" i="149"/>
  <c r="F149" i="149"/>
  <c r="K143" i="149"/>
  <c r="Q146" i="149"/>
  <c r="G141" i="149"/>
  <c r="N144" i="149"/>
  <c r="Q147" i="149"/>
  <c r="H142" i="149"/>
  <c r="G149" i="149"/>
  <c r="Q148" i="149"/>
  <c r="O141" i="149"/>
  <c r="L143" i="149"/>
  <c r="N141" i="149"/>
  <c r="I147" i="149"/>
  <c r="K129" i="149"/>
  <c r="P127" i="149"/>
  <c r="R122" i="149"/>
  <c r="K8" i="146" s="1"/>
  <c r="N122" i="149"/>
  <c r="J172" i="149"/>
  <c r="N124" i="149"/>
  <c r="G128" i="149"/>
  <c r="P125" i="149"/>
  <c r="K187" i="149"/>
  <c r="H123" i="149"/>
  <c r="L174" i="149"/>
  <c r="M128" i="149"/>
  <c r="N123" i="149"/>
  <c r="P117" i="149"/>
  <c r="R112" i="149"/>
  <c r="G119" i="149"/>
  <c r="R118" i="149"/>
  <c r="Q126" i="149"/>
  <c r="P119" i="149"/>
  <c r="P121" i="149"/>
  <c r="P193" i="149" s="1"/>
  <c r="J121" i="149"/>
  <c r="J193" i="149" s="1"/>
  <c r="F121" i="149"/>
  <c r="F193" i="149" s="1"/>
  <c r="K112" i="149"/>
  <c r="E176" i="149"/>
  <c r="I177" i="149"/>
  <c r="D166" i="149"/>
  <c r="O161" i="149"/>
  <c r="E166" i="149"/>
  <c r="F161" i="149"/>
  <c r="M164" i="149"/>
  <c r="P167" i="149"/>
  <c r="K161" i="149"/>
  <c r="O163" i="149"/>
  <c r="F166" i="149"/>
  <c r="R168" i="149"/>
  <c r="M162" i="149"/>
  <c r="Q164" i="149"/>
  <c r="R161" i="149"/>
  <c r="Q169" i="149"/>
  <c r="F163" i="149"/>
  <c r="O168" i="149"/>
  <c r="O139" i="149"/>
  <c r="Q136" i="149"/>
  <c r="M132" i="149"/>
  <c r="Q135" i="149"/>
  <c r="E131" i="149"/>
  <c r="F135" i="149"/>
  <c r="K139" i="149"/>
  <c r="K134" i="149"/>
  <c r="L138" i="149"/>
  <c r="M133" i="149"/>
  <c r="D135" i="149"/>
  <c r="I137" i="149"/>
  <c r="H132" i="149"/>
  <c r="G131" i="149"/>
  <c r="L135" i="149"/>
  <c r="F134" i="149"/>
  <c r="Q132" i="149"/>
  <c r="J149" i="149"/>
  <c r="D145" i="149"/>
  <c r="I149" i="149"/>
  <c r="I144" i="149"/>
  <c r="I148" i="149"/>
  <c r="O142" i="149"/>
  <c r="F146" i="149"/>
  <c r="O149" i="149"/>
  <c r="D144" i="149"/>
  <c r="G147" i="149"/>
  <c r="M141" i="149"/>
  <c r="H147" i="149"/>
  <c r="D147" i="149"/>
  <c r="O148" i="149"/>
  <c r="E148" i="149"/>
  <c r="N149" i="149"/>
  <c r="N145" i="149"/>
  <c r="R128" i="149"/>
  <c r="G127" i="149"/>
  <c r="I122" i="149"/>
  <c r="Q119" i="149"/>
  <c r="H129" i="149"/>
  <c r="E124" i="149"/>
  <c r="O125" i="149"/>
  <c r="H184" i="149"/>
  <c r="G125" i="149"/>
  <c r="Q184" i="149"/>
  <c r="K121" i="149"/>
  <c r="K193" i="149" s="1"/>
  <c r="P129" i="149"/>
  <c r="I124" i="149"/>
  <c r="R127" i="149"/>
  <c r="E123" i="149"/>
  <c r="G117" i="149"/>
  <c r="I112" i="149"/>
  <c r="O116" i="149"/>
  <c r="L116" i="149"/>
  <c r="L198" i="149" s="1"/>
  <c r="K124" i="149"/>
  <c r="R114" i="149"/>
  <c r="I118" i="149"/>
  <c r="R117" i="149"/>
  <c r="O117" i="149"/>
  <c r="M171" i="149"/>
  <c r="P171" i="149"/>
  <c r="D171" i="149"/>
  <c r="K188" i="149"/>
  <c r="L186" i="149"/>
  <c r="J189" i="149"/>
  <c r="O169" i="149"/>
  <c r="K165" i="149"/>
  <c r="G161" i="149"/>
  <c r="J165" i="149"/>
  <c r="K169" i="149"/>
  <c r="R163" i="149"/>
  <c r="D167" i="149"/>
  <c r="I169" i="149"/>
  <c r="R162" i="149"/>
  <c r="G165" i="149"/>
  <c r="G168" i="149"/>
  <c r="N161" i="149"/>
  <c r="E164" i="149"/>
  <c r="R169" i="149"/>
  <c r="L167" i="149"/>
  <c r="D161" i="149"/>
  <c r="M166" i="149"/>
  <c r="G139" i="149"/>
  <c r="I136" i="149"/>
  <c r="E132" i="149"/>
  <c r="G135" i="149"/>
  <c r="L139" i="149"/>
  <c r="L134" i="149"/>
  <c r="P138" i="149"/>
  <c r="Q133" i="149"/>
  <c r="Q137" i="149"/>
  <c r="D133" i="149"/>
  <c r="P133" i="149"/>
  <c r="F136" i="149"/>
  <c r="Q139" i="149"/>
  <c r="I138" i="149"/>
  <c r="I134" i="149"/>
  <c r="R132" i="149"/>
  <c r="M135" i="149"/>
  <c r="P148" i="149"/>
  <c r="N148" i="149"/>
  <c r="O143" i="149"/>
  <c r="M147" i="149"/>
  <c r="E142" i="149"/>
  <c r="J145" i="149"/>
  <c r="R148" i="149"/>
  <c r="H143" i="149"/>
  <c r="K146" i="149"/>
  <c r="H149" i="149"/>
  <c r="H145" i="149"/>
  <c r="G145" i="149"/>
  <c r="N146" i="149"/>
  <c r="G143" i="149"/>
  <c r="O147" i="149"/>
  <c r="G144" i="149"/>
  <c r="J128" i="149"/>
  <c r="M126" i="149"/>
  <c r="N121" i="149"/>
  <c r="N193" i="149" s="1"/>
  <c r="I128" i="149"/>
  <c r="K123" i="149"/>
  <c r="R123" i="149"/>
  <c r="K176" i="149"/>
  <c r="M124" i="149"/>
  <c r="R178" i="149"/>
  <c r="N118" i="149"/>
  <c r="O128" i="149"/>
  <c r="O123" i="149"/>
  <c r="I127" i="149"/>
  <c r="K122" i="149"/>
  <c r="M116" i="149"/>
  <c r="H114" i="149"/>
  <c r="E114" i="149"/>
  <c r="Q127" i="149"/>
  <c r="Q115" i="149"/>
  <c r="L115" i="149"/>
  <c r="H115" i="149"/>
  <c r="J125" i="149"/>
  <c r="G176" i="149"/>
  <c r="Q173" i="149"/>
  <c r="M183" i="149"/>
  <c r="I187" i="149"/>
  <c r="J116" i="149"/>
  <c r="M187" i="149"/>
  <c r="O173" i="149"/>
  <c r="K182" i="149"/>
  <c r="K125" i="149"/>
  <c r="M175" i="149"/>
  <c r="E173" i="149"/>
  <c r="R156" i="149"/>
  <c r="N153" i="149"/>
  <c r="N157" i="149"/>
  <c r="K154" i="149"/>
  <c r="E155" i="149"/>
  <c r="D152" i="149"/>
  <c r="J158" i="149"/>
  <c r="L155" i="149"/>
  <c r="G153" i="149"/>
  <c r="M159" i="149"/>
  <c r="H157" i="149"/>
  <c r="Q153" i="149"/>
  <c r="J159" i="149"/>
  <c r="H155" i="149"/>
  <c r="F151" i="149"/>
  <c r="J155" i="149"/>
  <c r="N159" i="149"/>
  <c r="E182" i="149"/>
  <c r="I175" i="149"/>
  <c r="O183" i="149"/>
  <c r="Q186" i="149"/>
  <c r="I189" i="149"/>
  <c r="Q175" i="149"/>
  <c r="D187" i="149"/>
  <c r="M114" i="149"/>
  <c r="M181" i="149"/>
  <c r="J185" i="149"/>
  <c r="I176" i="149"/>
  <c r="D178" i="149"/>
  <c r="J115" i="149"/>
  <c r="E187" i="149"/>
  <c r="J112" i="149"/>
  <c r="H185" i="149"/>
  <c r="F178" i="149"/>
  <c r="E174" i="149"/>
  <c r="I185" i="149"/>
  <c r="R181" i="149"/>
  <c r="H182" i="149"/>
  <c r="E179" i="149"/>
  <c r="F174" i="149"/>
  <c r="Q171" i="149"/>
  <c r="I183" i="149"/>
  <c r="E117" i="149"/>
  <c r="G186" i="149"/>
  <c r="D183" i="149"/>
  <c r="K179" i="149"/>
  <c r="L175" i="149"/>
  <c r="P185" i="149"/>
  <c r="I119" i="149"/>
  <c r="Q114" i="149"/>
  <c r="K181" i="149"/>
  <c r="M177" i="149"/>
  <c r="E128" i="149"/>
  <c r="P128" i="149"/>
  <c r="N113" i="149"/>
  <c r="H127" i="149"/>
  <c r="F114" i="149"/>
  <c r="Q124" i="149"/>
  <c r="G126" i="149"/>
  <c r="R126" i="149"/>
  <c r="E122" i="149"/>
  <c r="E194" i="149" s="1"/>
  <c r="O127" i="149"/>
  <c r="E121" i="149"/>
  <c r="E193" i="149" s="1"/>
  <c r="R129" i="149"/>
  <c r="R147" i="149"/>
  <c r="J142" i="149"/>
  <c r="P147" i="149"/>
  <c r="Q141" i="149"/>
  <c r="E144" i="149"/>
  <c r="H146" i="149"/>
  <c r="J147" i="149"/>
  <c r="N147" i="149"/>
  <c r="I135" i="149"/>
  <c r="F139" i="149"/>
  <c r="D136" i="149"/>
  <c r="N134" i="149"/>
  <c r="E136" i="149"/>
  <c r="R136" i="149"/>
  <c r="M137" i="149"/>
  <c r="H138" i="149"/>
  <c r="E139" i="149"/>
  <c r="F167" i="149"/>
  <c r="R167" i="149"/>
  <c r="M169" i="149"/>
  <c r="K164" i="149"/>
  <c r="L168" i="149"/>
  <c r="G163" i="149"/>
  <c r="P164" i="149"/>
  <c r="R164" i="149"/>
  <c r="S111" i="149"/>
  <c r="E100" i="145" s="1"/>
  <c r="H159" i="149"/>
  <c r="O155" i="149"/>
  <c r="E152" i="149"/>
  <c r="M156" i="149"/>
  <c r="P155" i="149"/>
  <c r="P152" i="149"/>
  <c r="G159" i="149"/>
  <c r="H156" i="149"/>
  <c r="D154" i="149"/>
  <c r="O151" i="149"/>
  <c r="F158" i="149"/>
  <c r="L154" i="149"/>
  <c r="D151" i="149"/>
  <c r="Q155" i="149"/>
  <c r="N151" i="149"/>
  <c r="R155" i="149"/>
  <c r="O129" i="149"/>
  <c r="D177" i="149"/>
  <c r="R171" i="149"/>
  <c r="E188" i="149"/>
  <c r="H175" i="149"/>
  <c r="G185" i="149"/>
  <c r="R172" i="149"/>
  <c r="P172" i="149"/>
  <c r="K118" i="149"/>
  <c r="G112" i="149"/>
  <c r="I181" i="149"/>
  <c r="K173" i="149"/>
  <c r="J173" i="149"/>
  <c r="F181" i="149"/>
  <c r="D186" i="149"/>
  <c r="F183" i="149"/>
  <c r="Q113" i="149"/>
  <c r="Q195" i="149" s="1"/>
  <c r="I174" i="149"/>
  <c r="E127" i="149"/>
  <c r="M117" i="149"/>
  <c r="M199" i="149" s="1"/>
  <c r="J188" i="149"/>
  <c r="F118" i="149"/>
  <c r="R175" i="149"/>
  <c r="E116" i="149"/>
  <c r="M178" i="149"/>
  <c r="G181" i="149"/>
  <c r="F112" i="149"/>
  <c r="F194" i="149" s="1"/>
  <c r="L185" i="149"/>
  <c r="Q187" i="149"/>
  <c r="L176" i="149"/>
  <c r="P179" i="149"/>
  <c r="F128" i="149"/>
  <c r="J179" i="149"/>
  <c r="L182" i="149"/>
  <c r="M179" i="149"/>
  <c r="I186" i="149"/>
  <c r="N174" i="149"/>
  <c r="N173" i="149"/>
  <c r="R177" i="149"/>
  <c r="F116" i="149"/>
  <c r="O114" i="149"/>
  <c r="L125" i="149"/>
  <c r="P126" i="149"/>
  <c r="E129" i="149"/>
  <c r="N127" i="149"/>
  <c r="J187" i="149"/>
  <c r="F124" i="149"/>
  <c r="L129" i="149"/>
  <c r="P142" i="149"/>
  <c r="R149" i="149"/>
  <c r="P143" i="149"/>
  <c r="K148" i="149"/>
  <c r="M142" i="149"/>
  <c r="O144" i="149"/>
  <c r="R146" i="149"/>
  <c r="D148" i="149"/>
  <c r="G148" i="149"/>
  <c r="G133" i="149"/>
  <c r="Q131" i="149"/>
  <c r="G137" i="149"/>
  <c r="J131" i="149"/>
  <c r="N136" i="149"/>
  <c r="L137" i="149"/>
  <c r="G138" i="149"/>
  <c r="R138" i="149"/>
  <c r="N139" i="149"/>
  <c r="I166" i="149"/>
  <c r="L169" i="149"/>
  <c r="H168" i="149"/>
  <c r="D165" i="149"/>
  <c r="J168" i="149"/>
  <c r="P163" i="149"/>
  <c r="O166" i="149"/>
  <c r="Q167" i="149"/>
  <c r="M167" i="149"/>
  <c r="D153" i="149"/>
  <c r="P157" i="149"/>
  <c r="G154" i="149"/>
  <c r="L158" i="149"/>
  <c r="O156" i="149"/>
  <c r="M153" i="149"/>
  <c r="R159" i="149"/>
  <c r="E157" i="149"/>
  <c r="P154" i="149"/>
  <c r="L152" i="149"/>
  <c r="Q158" i="149"/>
  <c r="G155" i="149"/>
  <c r="M151" i="149"/>
  <c r="L156" i="149"/>
  <c r="G152" i="149"/>
  <c r="K156" i="149"/>
  <c r="P115" i="149"/>
  <c r="G184" i="149"/>
  <c r="O174" i="149"/>
  <c r="P176" i="149"/>
  <c r="G129" i="149"/>
  <c r="F115" i="149"/>
  <c r="K185" i="149"/>
  <c r="N115" i="149"/>
  <c r="F179" i="149"/>
  <c r="M113" i="149"/>
  <c r="M195" i="149" s="1"/>
  <c r="K116" i="149"/>
  <c r="M185" i="149"/>
  <c r="O179" i="149"/>
  <c r="N177" i="149"/>
  <c r="O186" i="149"/>
  <c r="O189" i="149"/>
  <c r="H113" i="149"/>
  <c r="H195" i="149" s="1"/>
  <c r="P173" i="149"/>
  <c r="G179" i="149"/>
  <c r="P122" i="149"/>
  <c r="N112" i="149"/>
  <c r="N188" i="149"/>
  <c r="G113" i="149"/>
  <c r="H173" i="149"/>
  <c r="N181" i="149"/>
  <c r="G178" i="149"/>
  <c r="K184" i="149"/>
  <c r="I114" i="149"/>
  <c r="M184" i="149"/>
  <c r="K183" i="149"/>
  <c r="L173" i="149"/>
  <c r="F172" i="149"/>
  <c r="Q118" i="149"/>
  <c r="Q200" i="149" s="1"/>
  <c r="G174" i="149"/>
  <c r="N186" i="149"/>
  <c r="I116" i="149"/>
  <c r="D184" i="149"/>
  <c r="I171" i="149"/>
  <c r="Q112" i="149"/>
  <c r="K113" i="149"/>
  <c r="L118" i="149"/>
  <c r="L200" i="149" s="1"/>
  <c r="I115" i="149"/>
  <c r="F126" i="149"/>
  <c r="J127" i="149"/>
  <c r="K172" i="149"/>
  <c r="H128" i="149"/>
  <c r="M121" i="149"/>
  <c r="M193" i="149" s="1"/>
  <c r="L112" i="149"/>
  <c r="O124" i="149"/>
  <c r="L141" i="149"/>
  <c r="J148" i="149"/>
  <c r="F142" i="149"/>
  <c r="N143" i="149"/>
  <c r="D146" i="149"/>
  <c r="H148" i="149"/>
  <c r="I141" i="149"/>
  <c r="I142" i="149"/>
  <c r="M149" i="149"/>
  <c r="D139" i="149"/>
  <c r="E133" i="149"/>
  <c r="J138" i="149"/>
  <c r="L132" i="149"/>
  <c r="H137" i="149"/>
  <c r="F138" i="149"/>
  <c r="Q138" i="149"/>
  <c r="M139" i="149"/>
  <c r="N138" i="149"/>
  <c r="I168" i="149"/>
  <c r="H161" i="149"/>
  <c r="M161" i="149"/>
  <c r="O165" i="149"/>
  <c r="H169" i="149"/>
  <c r="N164" i="149"/>
  <c r="J167" i="149"/>
  <c r="K168" i="149"/>
  <c r="F168" i="149"/>
  <c r="D159" i="149"/>
  <c r="I155" i="149"/>
  <c r="Q151" i="149"/>
  <c r="G156" i="149"/>
  <c r="G151" i="149"/>
  <c r="K157" i="149"/>
  <c r="J154" i="149"/>
  <c r="K151" i="149"/>
  <c r="Q157" i="149"/>
  <c r="M155" i="149"/>
  <c r="I153" i="149"/>
  <c r="O159" i="149"/>
  <c r="D156" i="149"/>
  <c r="H152" i="149"/>
  <c r="F157" i="149"/>
  <c r="O152" i="149"/>
  <c r="D157" i="149"/>
  <c r="N119" i="149"/>
  <c r="E189" i="149"/>
  <c r="O171" i="149"/>
  <c r="I172" i="149"/>
  <c r="R124" i="149"/>
  <c r="D182" i="149"/>
  <c r="N182" i="149"/>
  <c r="K171" i="149"/>
  <c r="D176" i="149"/>
  <c r="J181" i="149"/>
  <c r="D188" i="149"/>
  <c r="Q189" i="149"/>
  <c r="N176" i="149"/>
  <c r="F184" i="149"/>
  <c r="Q185" i="149"/>
  <c r="K114" i="149"/>
  <c r="G118" i="149"/>
  <c r="G200" i="149" s="1"/>
  <c r="L171" i="149"/>
  <c r="K174" i="149"/>
  <c r="N179" i="149"/>
  <c r="E186" i="149"/>
  <c r="F185" i="149"/>
  <c r="M174" i="149"/>
  <c r="Q178" i="149"/>
  <c r="N171" i="149"/>
  <c r="P186" i="149"/>
  <c r="H117" i="149"/>
  <c r="J182" i="149"/>
  <c r="M118" i="149"/>
  <c r="N183" i="149"/>
  <c r="O187" i="149"/>
  <c r="R179" i="149"/>
  <c r="K115" i="149"/>
  <c r="O112" i="149"/>
  <c r="O194" i="149" s="1"/>
  <c r="J174" i="149"/>
  <c r="G175" i="149"/>
  <c r="G177" i="149"/>
  <c r="P114" i="149"/>
  <c r="P196" i="149" s="1"/>
  <c r="E126" i="149"/>
  <c r="N126" i="149"/>
  <c r="G183" i="149"/>
  <c r="E125" i="149"/>
  <c r="O126" i="149"/>
  <c r="P174" i="149"/>
  <c r="F129" i="149"/>
  <c r="G122" i="149"/>
  <c r="J114" i="149"/>
  <c r="J196" i="149" s="1"/>
  <c r="I125" i="149"/>
  <c r="R142" i="149"/>
  <c r="G142" i="149"/>
  <c r="E141" i="149"/>
  <c r="J144" i="149"/>
  <c r="O146" i="149"/>
  <c r="D149" i="149"/>
  <c r="R141" i="149"/>
  <c r="Q142" i="149"/>
  <c r="O137" i="149"/>
  <c r="I139" i="149"/>
  <c r="I131" i="149"/>
  <c r="O138" i="149"/>
  <c r="K131" i="149"/>
  <c r="F132" i="149"/>
  <c r="P132" i="149"/>
  <c r="G134" i="149"/>
  <c r="I162" i="149"/>
  <c r="K163" i="149"/>
  <c r="K162" i="149"/>
  <c r="K166" i="149"/>
  <c r="J161" i="149"/>
  <c r="L165" i="149"/>
  <c r="E168" i="149"/>
  <c r="E169" i="149"/>
  <c r="N168" i="149"/>
  <c r="M9" i="143"/>
  <c r="H202" i="147"/>
  <c r="I131" i="152"/>
  <c r="I236" i="143"/>
  <c r="C44" i="145"/>
  <c r="C52" i="145" s="1"/>
  <c r="C60" i="145" s="1"/>
  <c r="C68" i="145" s="1"/>
  <c r="C76" i="145" s="1"/>
  <c r="C84" i="145" s="1"/>
  <c r="C43" i="145"/>
  <c r="C51" i="145" s="1"/>
  <c r="C59" i="145" s="1"/>
  <c r="C67" i="145" s="1"/>
  <c r="C75" i="145" s="1"/>
  <c r="C83" i="145" s="1"/>
  <c r="C9" i="145"/>
  <c r="C8" i="145"/>
  <c r="B96" i="152"/>
  <c r="B100" i="148"/>
  <c r="B120" i="152"/>
  <c r="H120" i="152" s="1"/>
  <c r="B83" i="152"/>
  <c r="B224" i="147"/>
  <c r="B9" i="152"/>
  <c r="F9" i="152" s="1"/>
  <c r="B46" i="152"/>
  <c r="B292" i="143"/>
  <c r="B75" i="153"/>
  <c r="B105" i="148"/>
  <c r="B60" i="148"/>
  <c r="B14" i="148"/>
  <c r="B195" i="148"/>
  <c r="B150" i="148"/>
  <c r="H150" i="148" s="1"/>
  <c r="B148" i="148"/>
  <c r="H148" i="148" s="1"/>
  <c r="B59" i="152"/>
  <c r="B84" i="152"/>
  <c r="I255" i="143"/>
  <c r="B170" i="152"/>
  <c r="B65" i="147"/>
  <c r="B119" i="147"/>
  <c r="B58" i="148"/>
  <c r="H193" i="147"/>
  <c r="B81" i="143"/>
  <c r="B107" i="148"/>
  <c r="B12" i="148"/>
  <c r="B151" i="143"/>
  <c r="B66" i="152"/>
  <c r="B222" i="143"/>
  <c r="I222" i="143" s="1"/>
  <c r="B101" i="153"/>
  <c r="B16" i="148"/>
  <c r="B172" i="147"/>
  <c r="H172" i="147" s="1"/>
  <c r="B9" i="148"/>
  <c r="H188" i="147"/>
  <c r="B168" i="152"/>
  <c r="B140" i="152"/>
  <c r="H140" i="152" s="1"/>
  <c r="B106" i="148"/>
  <c r="B127" i="153"/>
  <c r="B7" i="148"/>
  <c r="B177" i="152"/>
  <c r="B152" i="148"/>
  <c r="H152" i="148" s="1"/>
  <c r="B114" i="153"/>
  <c r="H114" i="153" s="1"/>
  <c r="B145" i="148"/>
  <c r="H145" i="148" s="1"/>
  <c r="B116" i="147"/>
  <c r="I234" i="143"/>
  <c r="B98" i="148"/>
  <c r="B114" i="147"/>
  <c r="B63" i="147"/>
  <c r="B86" i="152"/>
  <c r="B10" i="147"/>
  <c r="H156" i="148"/>
  <c r="B170" i="147"/>
  <c r="H170" i="147" s="1"/>
  <c r="B53" i="148"/>
  <c r="I244" i="143"/>
  <c r="I247" i="143"/>
  <c r="B15" i="148"/>
  <c r="H163" i="148"/>
  <c r="B221" i="147"/>
  <c r="B21" i="146"/>
  <c r="B146" i="148"/>
  <c r="H146" i="148" s="1"/>
  <c r="B84" i="143"/>
  <c r="B295" i="143"/>
  <c r="B225" i="147"/>
  <c r="B118" i="147"/>
  <c r="B46" i="153"/>
  <c r="H46" i="153" s="1"/>
  <c r="B35" i="146"/>
  <c r="B33" i="153"/>
  <c r="B64" i="147"/>
  <c r="B7" i="153"/>
  <c r="F7" i="153" s="1"/>
  <c r="B49" i="146"/>
  <c r="H49" i="146" s="1"/>
  <c r="B20" i="153"/>
  <c r="B14" i="143"/>
  <c r="B11" i="147"/>
  <c r="B63" i="146"/>
  <c r="B10" i="152"/>
  <c r="F10" i="152" s="1"/>
  <c r="B87" i="152"/>
  <c r="B225" i="143"/>
  <c r="I225" i="143" s="1"/>
  <c r="I249" i="143"/>
  <c r="B8" i="147"/>
  <c r="B222" i="147"/>
  <c r="B168" i="147"/>
  <c r="H168" i="147" s="1"/>
  <c r="B61" i="147"/>
  <c r="B115" i="147"/>
  <c r="F9" i="146"/>
  <c r="B10" i="148"/>
  <c r="H50" i="146"/>
  <c r="B101" i="148"/>
  <c r="H186" i="147"/>
  <c r="H189" i="147"/>
  <c r="B188" i="148"/>
  <c r="B167" i="147"/>
  <c r="H167" i="147" s="1"/>
  <c r="B226" i="147"/>
  <c r="B193" i="148"/>
  <c r="B13" i="152"/>
  <c r="I245" i="143"/>
  <c r="B53" i="152"/>
  <c r="B97" i="152"/>
  <c r="B60" i="147"/>
  <c r="B126" i="152"/>
  <c r="H126" i="152" s="1"/>
  <c r="B191" i="148"/>
  <c r="B56" i="148"/>
  <c r="B89" i="152"/>
  <c r="B9" i="147"/>
  <c r="B169" i="147"/>
  <c r="H169" i="147" s="1"/>
  <c r="B161" i="152"/>
  <c r="B164" i="152"/>
  <c r="I253" i="143"/>
  <c r="B223" i="147"/>
  <c r="B124" i="152"/>
  <c r="H124" i="152" s="1"/>
  <c r="B139" i="152"/>
  <c r="H139" i="152" s="1"/>
  <c r="B90" i="152"/>
  <c r="B158" i="152"/>
  <c r="B130" i="152"/>
  <c r="H130" i="152" s="1"/>
  <c r="B167" i="152"/>
  <c r="B102" i="152"/>
  <c r="B47" i="152"/>
  <c r="B82" i="143"/>
  <c r="B93" i="152"/>
  <c r="B197" i="148"/>
  <c r="I239" i="143"/>
  <c r="B52" i="152"/>
  <c r="H200" i="147"/>
  <c r="H195" i="147"/>
  <c r="H201" i="147"/>
  <c r="B141" i="152"/>
  <c r="H141" i="152" s="1"/>
  <c r="B34" i="153"/>
  <c r="B60" i="152"/>
  <c r="B134" i="152"/>
  <c r="H134" i="152" s="1"/>
  <c r="B55" i="148"/>
  <c r="I246" i="143"/>
  <c r="B192" i="148"/>
  <c r="B102" i="148"/>
  <c r="B147" i="148"/>
  <c r="H147" i="148" s="1"/>
  <c r="B67" i="152"/>
  <c r="B169" i="152"/>
  <c r="B57" i="148"/>
  <c r="H196" i="147"/>
  <c r="I237" i="143"/>
  <c r="B132" i="152"/>
  <c r="H132" i="152" s="1"/>
  <c r="B55" i="152"/>
  <c r="B166" i="152"/>
  <c r="B125" i="152"/>
  <c r="H125" i="152" s="1"/>
  <c r="B51" i="152"/>
  <c r="B92" i="152"/>
  <c r="B57" i="152"/>
  <c r="B162" i="152"/>
  <c r="B14" i="152"/>
  <c r="B10" i="143"/>
  <c r="M10" i="143" s="1"/>
  <c r="B196" i="148"/>
  <c r="B151" i="148"/>
  <c r="H151" i="148" s="1"/>
  <c r="I248" i="143"/>
  <c r="I243" i="143"/>
  <c r="B94" i="152"/>
  <c r="B229" i="143"/>
  <c r="I229" i="143" s="1"/>
  <c r="B88" i="152"/>
  <c r="H168" i="148"/>
  <c r="B68" i="147"/>
  <c r="B165" i="152"/>
  <c r="B150" i="143"/>
  <c r="B95" i="152"/>
  <c r="B129" i="152"/>
  <c r="H129" i="152" s="1"/>
  <c r="I241" i="143"/>
  <c r="B54" i="152"/>
  <c r="B91" i="152"/>
  <c r="B291" i="143"/>
  <c r="H192" i="147"/>
  <c r="B80" i="143"/>
  <c r="H162" i="148"/>
  <c r="B128" i="152"/>
  <c r="H128" i="152" s="1"/>
  <c r="F12" i="146"/>
  <c r="H53" i="146"/>
  <c r="B160" i="152"/>
  <c r="B123" i="152"/>
  <c r="H123" i="152" s="1"/>
  <c r="B12" i="152"/>
  <c r="B83" i="143"/>
  <c r="B13" i="143"/>
  <c r="I240" i="143"/>
  <c r="B123" i="147"/>
  <c r="B69" i="147"/>
  <c r="B16" i="147"/>
  <c r="B153" i="143"/>
  <c r="B78" i="143"/>
  <c r="B8" i="143"/>
  <c r="B289" i="143"/>
  <c r="B230" i="147"/>
  <c r="B293" i="143"/>
  <c r="B224" i="143"/>
  <c r="I224" i="143" s="1"/>
  <c r="B8" i="153"/>
  <c r="F8" i="153" s="1"/>
  <c r="B60" i="153"/>
  <c r="B47" i="153"/>
  <c r="H47" i="153" s="1"/>
  <c r="B121" i="147"/>
  <c r="B67" i="147"/>
  <c r="B14" i="147"/>
  <c r="B228" i="147"/>
  <c r="B174" i="147"/>
  <c r="H174" i="147" s="1"/>
  <c r="B288" i="143"/>
  <c r="B77" i="143"/>
  <c r="B147" i="143"/>
  <c r="B7" i="143"/>
  <c r="B218" i="143"/>
  <c r="I218" i="143" s="1"/>
  <c r="B12" i="143"/>
  <c r="M12" i="143" s="1"/>
  <c r="B294" i="143"/>
  <c r="B176" i="147"/>
  <c r="H176" i="147" s="1"/>
  <c r="H51" i="146"/>
  <c r="H166" i="148"/>
  <c r="B176" i="152"/>
  <c r="B223" i="143"/>
  <c r="I223" i="143" s="1"/>
  <c r="B104" i="152"/>
  <c r="I238" i="143"/>
  <c r="H187" i="147"/>
  <c r="H157" i="148"/>
  <c r="H190" i="147"/>
  <c r="B113" i="153"/>
  <c r="H113" i="153" s="1"/>
  <c r="B100" i="153"/>
  <c r="B126" i="153"/>
  <c r="B87" i="153"/>
  <c r="B74" i="153"/>
  <c r="F74" i="153" s="1"/>
  <c r="B148" i="143"/>
  <c r="B15" i="147"/>
  <c r="B122" i="147"/>
  <c r="B175" i="147"/>
  <c r="H175" i="147" s="1"/>
  <c r="B98" i="152"/>
  <c r="I258" i="143"/>
  <c r="B299" i="143"/>
  <c r="H165" i="148"/>
  <c r="B88" i="143"/>
  <c r="B138" i="152"/>
  <c r="H138" i="152" s="1"/>
  <c r="B64" i="152"/>
  <c r="B101" i="152"/>
  <c r="B175" i="152"/>
  <c r="B17" i="147"/>
  <c r="B231" i="147"/>
  <c r="B70" i="147"/>
  <c r="B124" i="147"/>
  <c r="B177" i="147"/>
  <c r="H177" i="147" s="1"/>
  <c r="H155" i="148"/>
  <c r="H182" i="147"/>
  <c r="B120" i="147"/>
  <c r="B13" i="147"/>
  <c r="B173" i="147"/>
  <c r="H173" i="147" s="1"/>
  <c r="B66" i="147"/>
  <c r="B227" i="147"/>
  <c r="B18" i="143"/>
  <c r="H180" i="147"/>
  <c r="B86" i="143"/>
  <c r="B156" i="143"/>
  <c r="B16" i="143"/>
  <c r="B227" i="143"/>
  <c r="I227" i="143" s="1"/>
  <c r="H183" i="147"/>
  <c r="H153" i="148"/>
  <c r="B228" i="143"/>
  <c r="I228" i="143" s="1"/>
  <c r="B157" i="143"/>
  <c r="B298" i="143"/>
  <c r="B87" i="143"/>
  <c r="B17" i="143"/>
  <c r="I260" i="143"/>
  <c r="I263" i="143"/>
  <c r="I265" i="143"/>
  <c r="B71" i="147"/>
  <c r="B178" i="147"/>
  <c r="H178" i="147" s="1"/>
  <c r="B18" i="147"/>
  <c r="B125" i="147"/>
  <c r="B232" i="147"/>
  <c r="I264" i="143"/>
  <c r="B141" i="153"/>
  <c r="F141" i="153" s="1"/>
  <c r="B193" i="153"/>
  <c r="B167" i="153"/>
  <c r="B154" i="153"/>
  <c r="B180" i="153"/>
  <c r="H180" i="153" s="1"/>
  <c r="B233" i="153"/>
  <c r="B259" i="153"/>
  <c r="B246" i="153"/>
  <c r="H246" i="153" s="1"/>
  <c r="B207" i="153"/>
  <c r="F207" i="153" s="1"/>
  <c r="B220" i="153"/>
  <c r="B90" i="143"/>
  <c r="B231" i="143"/>
  <c r="I231" i="143" s="1"/>
  <c r="B301" i="143"/>
  <c r="B160" i="143"/>
  <c r="B20" i="143"/>
  <c r="B226" i="143"/>
  <c r="I226" i="143" s="1"/>
  <c r="B15" i="143"/>
  <c r="B296" i="143"/>
  <c r="B85" i="143"/>
  <c r="B155" i="143"/>
  <c r="B233" i="143"/>
  <c r="I233" i="143" s="1"/>
  <c r="B92" i="143"/>
  <c r="B162" i="143"/>
  <c r="B22" i="143"/>
  <c r="B303" i="143"/>
  <c r="H181" i="147"/>
  <c r="I262" i="143"/>
  <c r="B142" i="153"/>
  <c r="B194" i="153"/>
  <c r="B181" i="153"/>
  <c r="H181" i="153" s="1"/>
  <c r="B168" i="153"/>
  <c r="B155" i="153"/>
  <c r="I261" i="143"/>
  <c r="B61" i="152"/>
  <c r="B135" i="152"/>
  <c r="H135" i="152" s="1"/>
  <c r="H52" i="146"/>
  <c r="F11" i="146"/>
  <c r="B300" i="143"/>
  <c r="B19" i="143"/>
  <c r="B230" i="143"/>
  <c r="I230" i="143" s="1"/>
  <c r="B159" i="143"/>
  <c r="B89" i="143"/>
  <c r="H172" i="148"/>
  <c r="H184" i="147"/>
  <c r="I259" i="143"/>
  <c r="I256" i="143"/>
  <c r="H160" i="148"/>
  <c r="B302" i="143"/>
  <c r="B232" i="143"/>
  <c r="I232" i="143" s="1"/>
  <c r="B21" i="143"/>
  <c r="B161" i="143"/>
  <c r="B91" i="143"/>
  <c r="I251" i="143"/>
  <c r="B7" i="152"/>
  <c r="F7" i="152" s="1"/>
  <c r="B118" i="152"/>
  <c r="H118" i="152" s="1"/>
  <c r="B155" i="152"/>
  <c r="B44" i="152"/>
  <c r="B81" i="152"/>
  <c r="H171" i="148"/>
  <c r="H179" i="147"/>
  <c r="B136" i="152"/>
  <c r="H136" i="152" s="1"/>
  <c r="B99" i="152"/>
  <c r="B62" i="152"/>
  <c r="B173" i="152"/>
  <c r="H158" i="148"/>
  <c r="B159" i="152"/>
  <c r="B11" i="152"/>
  <c r="B122" i="152"/>
  <c r="H122" i="152" s="1"/>
  <c r="B85" i="152"/>
  <c r="B48" i="152"/>
  <c r="H198" i="147"/>
  <c r="H170" i="148"/>
  <c r="I252" i="143"/>
  <c r="B208" i="153"/>
  <c r="B247" i="153"/>
  <c r="H247" i="153" s="1"/>
  <c r="B260" i="153"/>
  <c r="B234" i="153"/>
  <c r="B221" i="153"/>
  <c r="I235" i="143"/>
  <c r="B137" i="152"/>
  <c r="H137" i="152" s="1"/>
  <c r="B174" i="152"/>
  <c r="B100" i="152"/>
  <c r="B63" i="152"/>
  <c r="I257" i="143"/>
  <c r="I250" i="143"/>
  <c r="I254" i="143"/>
  <c r="N195" i="149" l="1"/>
  <c r="H196" i="149"/>
  <c r="D200" i="149"/>
  <c r="D198" i="149"/>
  <c r="N194" i="149"/>
  <c r="Q197" i="149"/>
  <c r="N200" i="149"/>
  <c r="M201" i="149"/>
  <c r="D201" i="149"/>
  <c r="D199" i="149"/>
  <c r="K200" i="149"/>
  <c r="P197" i="149"/>
  <c r="R197" i="149"/>
  <c r="I196" i="149"/>
  <c r="H197" i="149"/>
  <c r="H199" i="149"/>
  <c r="N201" i="149"/>
  <c r="M200" i="149"/>
  <c r="K197" i="149"/>
  <c r="Q201" i="149"/>
  <c r="Q194" i="149"/>
  <c r="J198" i="149"/>
  <c r="I198" i="149"/>
  <c r="I201" i="149"/>
  <c r="K196" i="149"/>
  <c r="F200" i="149"/>
  <c r="I194" i="149"/>
  <c r="K198" i="149"/>
  <c r="J194" i="149"/>
  <c r="E196" i="149"/>
  <c r="G195" i="149"/>
  <c r="F197" i="149"/>
  <c r="L195" i="149"/>
  <c r="H198" i="149"/>
  <c r="J201" i="149"/>
  <c r="I197" i="149"/>
  <c r="O199" i="149"/>
  <c r="G199" i="149"/>
  <c r="P201" i="149"/>
  <c r="L194" i="149"/>
  <c r="N197" i="149"/>
  <c r="O196" i="149"/>
  <c r="E199" i="149"/>
  <c r="L197" i="149"/>
  <c r="P199" i="149"/>
  <c r="L199" i="149"/>
  <c r="K195" i="149"/>
  <c r="G194" i="149"/>
  <c r="R196" i="149"/>
  <c r="G201" i="149"/>
  <c r="O201" i="149"/>
  <c r="H201" i="149"/>
  <c r="Q198" i="149"/>
  <c r="M194" i="149"/>
  <c r="P194" i="149"/>
  <c r="I195" i="149"/>
  <c r="K194" i="149"/>
  <c r="R194" i="149"/>
  <c r="I199" i="149"/>
  <c r="F199" i="149"/>
  <c r="R198" i="149"/>
  <c r="E201" i="149"/>
  <c r="E195" i="149"/>
  <c r="F198" i="149"/>
  <c r="E198" i="149"/>
  <c r="Q196" i="149"/>
  <c r="J200" i="149"/>
  <c r="O195" i="149"/>
  <c r="M197" i="149"/>
  <c r="N199" i="149"/>
  <c r="E200" i="149"/>
  <c r="J199" i="149"/>
  <c r="K199" i="149"/>
  <c r="F196" i="149"/>
  <c r="M196" i="149"/>
  <c r="O198" i="149"/>
  <c r="O200" i="149"/>
  <c r="P200" i="149"/>
  <c r="H194" i="149"/>
  <c r="E197" i="149"/>
  <c r="F201" i="149"/>
  <c r="G197" i="149"/>
  <c r="L196" i="149"/>
  <c r="R201" i="149"/>
  <c r="N198" i="149"/>
  <c r="F195" i="149"/>
  <c r="J197" i="149"/>
  <c r="M198" i="149"/>
  <c r="R199" i="149"/>
  <c r="O197" i="149"/>
  <c r="Q199" i="149"/>
  <c r="G198" i="149"/>
  <c r="G196" i="149"/>
  <c r="L201" i="149"/>
  <c r="R195" i="149"/>
  <c r="N196" i="149"/>
  <c r="I200" i="149"/>
  <c r="R200" i="149"/>
  <c r="K201" i="149"/>
  <c r="P198" i="149"/>
  <c r="P195" i="149"/>
  <c r="J195" i="149"/>
  <c r="H200" i="149"/>
  <c r="E101" i="145"/>
  <c r="F14" i="143" s="1"/>
  <c r="M50" i="143"/>
  <c r="M57" i="143"/>
  <c r="M34" i="143"/>
  <c r="E99" i="145"/>
  <c r="E98" i="145"/>
  <c r="F11" i="143" s="1"/>
  <c r="F222" i="143" s="1"/>
  <c r="K45" i="147"/>
  <c r="M65" i="143"/>
  <c r="E97" i="145"/>
  <c r="F10" i="143" s="1"/>
  <c r="F221" i="143" s="1"/>
  <c r="M18" i="143"/>
  <c r="M58" i="143"/>
  <c r="K27" i="147"/>
  <c r="E95" i="145"/>
  <c r="F8" i="143" s="1"/>
  <c r="M26" i="143"/>
  <c r="M66" i="143"/>
  <c r="E96" i="145"/>
  <c r="M42" i="143"/>
  <c r="K39" i="147"/>
  <c r="K51" i="147"/>
  <c r="F13" i="143"/>
  <c r="M61" i="143"/>
  <c r="M44" i="143"/>
  <c r="M36" i="143"/>
  <c r="M28" i="143"/>
  <c r="M62" i="143"/>
  <c r="M60" i="143"/>
  <c r="M70" i="143"/>
  <c r="M69" i="143"/>
  <c r="M68" i="143"/>
  <c r="J7" i="148"/>
  <c r="K48" i="147"/>
  <c r="K32" i="147"/>
  <c r="K35" i="147"/>
  <c r="K46" i="147"/>
  <c r="K52" i="147"/>
  <c r="K47" i="147"/>
  <c r="K44" i="147"/>
  <c r="K54" i="147"/>
  <c r="K50" i="147"/>
  <c r="K42" i="147"/>
  <c r="K53" i="147"/>
  <c r="M20" i="143"/>
  <c r="E94" i="145"/>
  <c r="K9" i="147"/>
  <c r="K33" i="147"/>
  <c r="K21" i="147"/>
  <c r="K15" i="147"/>
  <c r="U111" i="149"/>
  <c r="V111" i="149" s="1"/>
  <c r="M56" i="143"/>
  <c r="M53" i="143"/>
  <c r="M52" i="143"/>
  <c r="J28" i="148"/>
  <c r="J18" i="148"/>
  <c r="J38" i="148"/>
  <c r="J13" i="148"/>
  <c r="J43" i="148"/>
  <c r="J23" i="148"/>
  <c r="J8" i="148"/>
  <c r="J33" i="148"/>
  <c r="F49" i="146"/>
  <c r="F55" i="146"/>
  <c r="M55" i="143"/>
  <c r="M63" i="143"/>
  <c r="K49" i="147"/>
  <c r="K43" i="147"/>
  <c r="M64" i="143"/>
  <c r="I35" i="152"/>
  <c r="M27" i="143"/>
  <c r="M43" i="143"/>
  <c r="M35" i="143"/>
  <c r="M19" i="143"/>
  <c r="M67" i="143"/>
  <c r="M59" i="143"/>
  <c r="M51" i="143"/>
  <c r="K7" i="147"/>
  <c r="K12" i="147"/>
  <c r="J41" i="148"/>
  <c r="J45" i="148"/>
  <c r="J37" i="148"/>
  <c r="J10" i="148"/>
  <c r="J35" i="148"/>
  <c r="J24" i="148"/>
  <c r="J36" i="148"/>
  <c r="J44" i="148"/>
  <c r="J17" i="148"/>
  <c r="J12" i="148"/>
  <c r="J31" i="148"/>
  <c r="J14" i="148"/>
  <c r="J27" i="148"/>
  <c r="J29" i="148"/>
  <c r="J42" i="148"/>
  <c r="J30" i="148"/>
  <c r="J20" i="148"/>
  <c r="J11" i="148"/>
  <c r="J39" i="148"/>
  <c r="J21" i="148"/>
  <c r="J34" i="148"/>
  <c r="J9" i="148"/>
  <c r="J40" i="148"/>
  <c r="J26" i="148"/>
  <c r="J25" i="148"/>
  <c r="J16" i="148"/>
  <c r="J32" i="148"/>
  <c r="J15" i="148"/>
  <c r="J19" i="148"/>
  <c r="K13" i="146"/>
  <c r="I31" i="152"/>
  <c r="K10" i="146"/>
  <c r="F51" i="146" s="1"/>
  <c r="K34" i="147"/>
  <c r="K11" i="147"/>
  <c r="K13" i="147"/>
  <c r="K38" i="147"/>
  <c r="K10" i="147"/>
  <c r="K36" i="147"/>
  <c r="K8" i="147"/>
  <c r="K11" i="146"/>
  <c r="F52" i="146" s="1"/>
  <c r="K7" i="146"/>
  <c r="F48" i="146" s="1"/>
  <c r="I208" i="153"/>
  <c r="I27" i="152"/>
  <c r="K40" i="147"/>
  <c r="I23" i="152"/>
  <c r="I7" i="152"/>
  <c r="F44" i="152" s="1"/>
  <c r="F208" i="153"/>
  <c r="K9" i="146"/>
  <c r="F50" i="146" s="1"/>
  <c r="K12" i="146"/>
  <c r="F53" i="146" s="1"/>
  <c r="I15" i="152"/>
  <c r="K37" i="147"/>
  <c r="I11" i="152"/>
  <c r="I8" i="153"/>
  <c r="I7" i="153"/>
  <c r="F20" i="153" s="1"/>
  <c r="K41" i="147"/>
  <c r="I19" i="152"/>
  <c r="F142" i="153"/>
  <c r="I142" i="153"/>
  <c r="I207" i="153"/>
  <c r="I75" i="153"/>
  <c r="F75" i="153"/>
  <c r="I74" i="153"/>
  <c r="I141" i="153"/>
  <c r="K17" i="147"/>
  <c r="K30" i="147"/>
  <c r="K24" i="147"/>
  <c r="K20" i="147"/>
  <c r="K14" i="147"/>
  <c r="K16" i="147"/>
  <c r="K31" i="147"/>
  <c r="K29" i="147"/>
  <c r="K22" i="147"/>
  <c r="K26" i="147"/>
  <c r="K28" i="147"/>
  <c r="K18" i="147"/>
  <c r="K19" i="147"/>
  <c r="K23" i="147"/>
  <c r="K25" i="147"/>
  <c r="M30" i="143"/>
  <c r="M45" i="143"/>
  <c r="M54" i="143"/>
  <c r="M46" i="143"/>
  <c r="M24" i="143"/>
  <c r="M15" i="143"/>
  <c r="M23" i="143"/>
  <c r="M21" i="143"/>
  <c r="M22" i="143"/>
  <c r="M47" i="143"/>
  <c r="M8" i="143"/>
  <c r="M13" i="143"/>
  <c r="M25" i="143"/>
  <c r="M16" i="143"/>
  <c r="M38" i="143"/>
  <c r="M48" i="143"/>
  <c r="M49" i="143"/>
  <c r="M37" i="143"/>
  <c r="M32" i="143"/>
  <c r="M41" i="143"/>
  <c r="M40" i="143"/>
  <c r="M7" i="143"/>
  <c r="M14" i="143"/>
  <c r="M31" i="143"/>
  <c r="M39" i="143"/>
  <c r="M17" i="143"/>
  <c r="M29" i="143"/>
  <c r="S189" i="149"/>
  <c r="S178" i="149"/>
  <c r="S175" i="149"/>
  <c r="S174" i="149"/>
  <c r="U174" i="149" s="1"/>
  <c r="S172" i="149"/>
  <c r="S188" i="149"/>
  <c r="S179" i="149"/>
  <c r="S171" i="149"/>
  <c r="U171" i="149" s="1"/>
  <c r="V171" i="149" s="1"/>
  <c r="S184" i="149"/>
  <c r="U184" i="149" s="1"/>
  <c r="S187" i="149"/>
  <c r="S182" i="149"/>
  <c r="S183" i="149"/>
  <c r="U183" i="149" s="1"/>
  <c r="S173" i="149"/>
  <c r="U173" i="149" s="1"/>
  <c r="S177" i="149"/>
  <c r="S185" i="149"/>
  <c r="S186" i="149"/>
  <c r="S176" i="149"/>
  <c r="S181" i="149"/>
  <c r="U181" i="149" s="1"/>
  <c r="V181" i="149" s="1"/>
  <c r="I132" i="152"/>
  <c r="F47" i="145"/>
  <c r="C25" i="145"/>
  <c r="C39" i="145" s="1"/>
  <c r="C47" i="145" s="1"/>
  <c r="C55" i="145" s="1"/>
  <c r="C63" i="145" s="1"/>
  <c r="C71" i="145" s="1"/>
  <c r="C79" i="145" s="1"/>
  <c r="C17" i="145"/>
  <c r="C45" i="145"/>
  <c r="C53" i="145" s="1"/>
  <c r="C61" i="145" s="1"/>
  <c r="C69" i="145" s="1"/>
  <c r="C77" i="145" s="1"/>
  <c r="C85" i="145" s="1"/>
  <c r="C40" i="145"/>
  <c r="C48" i="145" s="1"/>
  <c r="C56" i="145" s="1"/>
  <c r="C64" i="145" s="1"/>
  <c r="C72" i="145" s="1"/>
  <c r="C80" i="145" s="1"/>
  <c r="C41" i="145"/>
  <c r="C49" i="145" s="1"/>
  <c r="C57" i="145" s="1"/>
  <c r="C65" i="145" s="1"/>
  <c r="C73" i="145" s="1"/>
  <c r="C81" i="145" s="1"/>
  <c r="K33" i="149"/>
  <c r="K53" i="149"/>
  <c r="L33" i="149"/>
  <c r="L53" i="149"/>
  <c r="L43" i="149"/>
  <c r="Q33" i="149"/>
  <c r="H43" i="149"/>
  <c r="F53" i="149"/>
  <c r="F43" i="149"/>
  <c r="G43" i="149"/>
  <c r="L63" i="149"/>
  <c r="H33" i="149"/>
  <c r="L83" i="149"/>
  <c r="G53" i="149"/>
  <c r="G33" i="149"/>
  <c r="K43" i="149"/>
  <c r="L73" i="149"/>
  <c r="H73" i="149"/>
  <c r="H53" i="149"/>
  <c r="Q53" i="149"/>
  <c r="K73" i="149"/>
  <c r="H63" i="149"/>
  <c r="Q43" i="149"/>
  <c r="F63" i="149"/>
  <c r="Q83" i="149"/>
  <c r="K83" i="149"/>
  <c r="F73" i="149"/>
  <c r="G63" i="149"/>
  <c r="F33" i="149"/>
  <c r="F83" i="149"/>
  <c r="G83" i="149"/>
  <c r="H83" i="149"/>
  <c r="G73" i="149"/>
  <c r="Q63" i="149"/>
  <c r="Q73" i="149"/>
  <c r="E205" i="145" l="1"/>
  <c r="F51" i="147" s="1"/>
  <c r="F211" i="147" s="1"/>
  <c r="E152" i="145"/>
  <c r="F65" i="143" s="1"/>
  <c r="F276" i="143" s="1"/>
  <c r="E153" i="145"/>
  <c r="E145" i="145"/>
  <c r="F58" i="143" s="1"/>
  <c r="F269" i="143" s="1"/>
  <c r="E199" i="145"/>
  <c r="F45" i="147" s="1"/>
  <c r="F205" i="147" s="1"/>
  <c r="E144" i="145"/>
  <c r="F57" i="143" s="1"/>
  <c r="F268" i="143" s="1"/>
  <c r="F224" i="143"/>
  <c r="F225" i="143"/>
  <c r="F219" i="143"/>
  <c r="E154" i="145"/>
  <c r="F67" i="143" s="1"/>
  <c r="F278" i="143" s="1"/>
  <c r="E142" i="145"/>
  <c r="E150" i="145"/>
  <c r="E143" i="145"/>
  <c r="F56" i="143" s="1"/>
  <c r="F267" i="143" s="1"/>
  <c r="E156" i="145"/>
  <c r="F69" i="143" s="1"/>
  <c r="F280" i="143" s="1"/>
  <c r="E151" i="145"/>
  <c r="F64" i="143" s="1"/>
  <c r="F275" i="143" s="1"/>
  <c r="E155" i="145"/>
  <c r="F68" i="143" s="1"/>
  <c r="F279" i="143" s="1"/>
  <c r="E157" i="145"/>
  <c r="F70" i="143" s="1"/>
  <c r="F281" i="143" s="1"/>
  <c r="E149" i="145"/>
  <c r="F62" i="143" s="1"/>
  <c r="F273" i="143" s="1"/>
  <c r="E148" i="145"/>
  <c r="F61" i="143" s="1"/>
  <c r="F272" i="143" s="1"/>
  <c r="E146" i="145"/>
  <c r="F59" i="143" s="1"/>
  <c r="F270" i="143" s="1"/>
  <c r="E147" i="145"/>
  <c r="F60" i="143" s="1"/>
  <c r="F271" i="143" s="1"/>
  <c r="E198" i="145"/>
  <c r="F44" i="147" s="1"/>
  <c r="F204" i="147" s="1"/>
  <c r="E202" i="145"/>
  <c r="E207" i="145"/>
  <c r="E197" i="145"/>
  <c r="E204" i="145"/>
  <c r="F50" i="147" s="1"/>
  <c r="F210" i="147" s="1"/>
  <c r="E201" i="145"/>
  <c r="E200" i="145"/>
  <c r="F46" i="147" s="1"/>
  <c r="F206" i="147" s="1"/>
  <c r="E208" i="145"/>
  <c r="E206" i="145"/>
  <c r="F52" i="147" s="1"/>
  <c r="F212" i="147" s="1"/>
  <c r="E203" i="145"/>
  <c r="I14" i="146"/>
  <c r="K11" i="143"/>
  <c r="F7" i="143"/>
  <c r="F218" i="143" s="1"/>
  <c r="F101" i="145"/>
  <c r="F38" i="148"/>
  <c r="F84" i="148" s="1"/>
  <c r="F43" i="148"/>
  <c r="F89" i="148" s="1"/>
  <c r="I55" i="146"/>
  <c r="J14" i="146"/>
  <c r="L14" i="146" s="1"/>
  <c r="F54" i="146"/>
  <c r="F9" i="143"/>
  <c r="F220" i="143" s="1"/>
  <c r="F12" i="143"/>
  <c r="F223" i="143" s="1"/>
  <c r="F48" i="145"/>
  <c r="F12" i="152"/>
  <c r="F13" i="152"/>
  <c r="F14" i="152"/>
  <c r="F11" i="152"/>
  <c r="F154" i="153"/>
  <c r="L202" i="149"/>
  <c r="L203" i="149" s="1"/>
  <c r="N202" i="149"/>
  <c r="N203" i="149" s="1"/>
  <c r="M202" i="149"/>
  <c r="M203" i="149" s="1"/>
  <c r="H202" i="149"/>
  <c r="H203" i="149" s="1"/>
  <c r="O202" i="149"/>
  <c r="O203" i="149" s="1"/>
  <c r="E202" i="149"/>
  <c r="E203" i="149" s="1"/>
  <c r="P202" i="149"/>
  <c r="P203" i="149" s="1"/>
  <c r="G202" i="149"/>
  <c r="G203" i="149" s="1"/>
  <c r="R202" i="149"/>
  <c r="R203" i="149" s="1"/>
  <c r="Q202" i="149"/>
  <c r="Q203" i="149" s="1"/>
  <c r="D202" i="149"/>
  <c r="D203" i="149" s="1"/>
  <c r="J202" i="149"/>
  <c r="J203" i="149" s="1"/>
  <c r="F202" i="149"/>
  <c r="F203" i="149" s="1"/>
  <c r="I202" i="149"/>
  <c r="I203" i="149" s="1"/>
  <c r="F39" i="148"/>
  <c r="F85" i="148" s="1"/>
  <c r="F44" i="148"/>
  <c r="F90" i="148" s="1"/>
  <c r="F46" i="152"/>
  <c r="F45" i="152"/>
  <c r="F47" i="152"/>
  <c r="F220" i="153"/>
  <c r="F66" i="143"/>
  <c r="F277" i="143" s="1"/>
  <c r="I133" i="152"/>
  <c r="C42" i="145"/>
  <c r="C50" i="145" s="1"/>
  <c r="C58" i="145" s="1"/>
  <c r="C66" i="145" s="1"/>
  <c r="C74" i="145" s="1"/>
  <c r="C82" i="145" s="1"/>
  <c r="I54" i="146" l="1"/>
  <c r="F42" i="148"/>
  <c r="F88" i="148" s="1"/>
  <c r="F37" i="148"/>
  <c r="F83" i="148" s="1"/>
  <c r="F49" i="147"/>
  <c r="F209" i="147" s="1"/>
  <c r="F43" i="147"/>
  <c r="F203" i="147" s="1"/>
  <c r="F63" i="143"/>
  <c r="F274" i="143" s="1"/>
  <c r="F157" i="145"/>
  <c r="F55" i="143"/>
  <c r="F266" i="143" s="1"/>
  <c r="F149" i="145"/>
  <c r="J13" i="146"/>
  <c r="L13" i="146" s="1"/>
  <c r="I13" i="146"/>
  <c r="F48" i="152"/>
  <c r="F49" i="152" s="1"/>
  <c r="F49" i="145"/>
  <c r="F15" i="152"/>
  <c r="F16" i="152"/>
  <c r="F17" i="152"/>
  <c r="F18" i="152"/>
  <c r="H7" i="152"/>
  <c r="I204" i="147"/>
  <c r="I206" i="147"/>
  <c r="I210" i="147"/>
  <c r="I212" i="147"/>
  <c r="I205" i="147"/>
  <c r="I211" i="147"/>
  <c r="J281" i="143"/>
  <c r="K62" i="143"/>
  <c r="J280" i="143"/>
  <c r="J272" i="143"/>
  <c r="J278" i="143"/>
  <c r="J277" i="143"/>
  <c r="J268" i="143"/>
  <c r="J279" i="143"/>
  <c r="J270" i="143"/>
  <c r="J269" i="143"/>
  <c r="J275" i="143"/>
  <c r="J267" i="143"/>
  <c r="J271" i="143"/>
  <c r="I134" i="152"/>
  <c r="I203" i="147" l="1"/>
  <c r="I209" i="147"/>
  <c r="J266" i="143"/>
  <c r="J274" i="143"/>
  <c r="F51" i="152"/>
  <c r="F50" i="152"/>
  <c r="F52" i="152"/>
  <c r="F50" i="145"/>
  <c r="F21" i="152"/>
  <c r="F19" i="152"/>
  <c r="F20" i="152"/>
  <c r="F22" i="152"/>
  <c r="J45" i="147"/>
  <c r="L45" i="147" s="1"/>
  <c r="I51" i="147"/>
  <c r="I44" i="147"/>
  <c r="J46" i="147"/>
  <c r="L46" i="147" s="1"/>
  <c r="I46" i="147"/>
  <c r="J44" i="147"/>
  <c r="L44" i="147" s="1"/>
  <c r="J51" i="147"/>
  <c r="L51" i="147" s="1"/>
  <c r="I45" i="147"/>
  <c r="J52" i="147"/>
  <c r="L52" i="147" s="1"/>
  <c r="I52" i="147"/>
  <c r="J49" i="147"/>
  <c r="I50" i="147"/>
  <c r="J50" i="147"/>
  <c r="L50" i="147" s="1"/>
  <c r="L67" i="143"/>
  <c r="N67" i="143" s="1"/>
  <c r="L61" i="143"/>
  <c r="N61" i="143" s="1"/>
  <c r="K68" i="143"/>
  <c r="K69" i="143"/>
  <c r="L63" i="143"/>
  <c r="K59" i="143"/>
  <c r="L58" i="143"/>
  <c r="N58" i="143" s="1"/>
  <c r="K56" i="143"/>
  <c r="K58" i="143"/>
  <c r="L69" i="143"/>
  <c r="N69" i="143" s="1"/>
  <c r="L66" i="143"/>
  <c r="N66" i="143" s="1"/>
  <c r="L56" i="143"/>
  <c r="N56" i="143" s="1"/>
  <c r="K70" i="143"/>
  <c r="K60" i="143"/>
  <c r="L60" i="143"/>
  <c r="N60" i="143" s="1"/>
  <c r="L68" i="143"/>
  <c r="N68" i="143" s="1"/>
  <c r="K66" i="143"/>
  <c r="K57" i="143"/>
  <c r="L62" i="143"/>
  <c r="N62" i="143" s="1"/>
  <c r="J273" i="143"/>
  <c r="L65" i="143"/>
  <c r="N65" i="143" s="1"/>
  <c r="J276" i="143"/>
  <c r="L57" i="143"/>
  <c r="N57" i="143" s="1"/>
  <c r="K67" i="143"/>
  <c r="L64" i="143"/>
  <c r="N64" i="143" s="1"/>
  <c r="L59" i="143"/>
  <c r="N59" i="143" s="1"/>
  <c r="K65" i="143"/>
  <c r="K61" i="143"/>
  <c r="L70" i="143"/>
  <c r="N70" i="143" s="1"/>
  <c r="K64" i="143"/>
  <c r="I135" i="152"/>
  <c r="I49" i="147" l="1"/>
  <c r="J43" i="147"/>
  <c r="L43" i="147" s="1"/>
  <c r="I43" i="147"/>
  <c r="L49" i="147"/>
  <c r="K63" i="143"/>
  <c r="O63" i="143" s="1"/>
  <c r="L55" i="143"/>
  <c r="N55" i="143" s="1"/>
  <c r="K55" i="143"/>
  <c r="O55" i="143" s="1"/>
  <c r="H11" i="152"/>
  <c r="J11" i="152" s="1"/>
  <c r="N63" i="143"/>
  <c r="F56" i="152"/>
  <c r="F51" i="145"/>
  <c r="F25" i="152"/>
  <c r="F24" i="152"/>
  <c r="F26" i="152"/>
  <c r="F23" i="152"/>
  <c r="F54" i="152"/>
  <c r="F55" i="152"/>
  <c r="F53" i="152"/>
  <c r="S114" i="149"/>
  <c r="I136" i="152"/>
  <c r="F8" i="148" l="1"/>
  <c r="F54" i="148" s="1"/>
  <c r="U114" i="149"/>
  <c r="H15" i="152"/>
  <c r="J15" i="152" s="1"/>
  <c r="F28" i="152"/>
  <c r="F27" i="152"/>
  <c r="F29" i="152"/>
  <c r="F30" i="152"/>
  <c r="F52" i="145"/>
  <c r="F59" i="152"/>
  <c r="F57" i="152"/>
  <c r="F58" i="152"/>
  <c r="F60" i="152"/>
  <c r="F10" i="148"/>
  <c r="F56" i="148" s="1"/>
  <c r="S113" i="149"/>
  <c r="E163" i="145" s="1"/>
  <c r="S115" i="149"/>
  <c r="S122" i="149"/>
  <c r="S118" i="149"/>
  <c r="S116" i="149"/>
  <c r="S121" i="149"/>
  <c r="E108" i="145" s="1"/>
  <c r="S117" i="149"/>
  <c r="S123" i="149"/>
  <c r="E169" i="145" s="1"/>
  <c r="S112" i="149"/>
  <c r="S119" i="149"/>
  <c r="I137" i="152"/>
  <c r="E104" i="145" l="1"/>
  <c r="F17" i="143" s="1"/>
  <c r="F228" i="143" s="1"/>
  <c r="E105" i="145"/>
  <c r="F18" i="143" s="1"/>
  <c r="F229" i="143" s="1"/>
  <c r="U113" i="149"/>
  <c r="E161" i="145"/>
  <c r="E162" i="145"/>
  <c r="E164" i="145"/>
  <c r="U123" i="149"/>
  <c r="E172" i="145"/>
  <c r="E171" i="145"/>
  <c r="E168" i="145"/>
  <c r="F14" i="147" s="1"/>
  <c r="F174" i="147" s="1"/>
  <c r="E170" i="145"/>
  <c r="F16" i="147" s="1"/>
  <c r="F176" i="147" s="1"/>
  <c r="E167" i="145"/>
  <c r="U121" i="149"/>
  <c r="V121" i="149" s="1"/>
  <c r="E109" i="145"/>
  <c r="F22" i="143" s="1"/>
  <c r="F233" i="143" s="1"/>
  <c r="F21" i="143"/>
  <c r="F232" i="143" s="1"/>
  <c r="E107" i="145"/>
  <c r="F20" i="143" s="1"/>
  <c r="F231" i="143" s="1"/>
  <c r="E102" i="145"/>
  <c r="E106" i="145"/>
  <c r="F19" i="143" s="1"/>
  <c r="F230" i="143" s="1"/>
  <c r="E103" i="145"/>
  <c r="F16" i="143" s="1"/>
  <c r="F227" i="143" s="1"/>
  <c r="F7" i="148"/>
  <c r="J110" i="145"/>
  <c r="F11" i="148" s="1"/>
  <c r="F57" i="148" s="1"/>
  <c r="F9" i="148"/>
  <c r="F55" i="148" s="1"/>
  <c r="H19" i="152"/>
  <c r="J19" i="152" s="1"/>
  <c r="F53" i="145"/>
  <c r="F33" i="152"/>
  <c r="F34" i="152"/>
  <c r="F32" i="152"/>
  <c r="F31" i="152"/>
  <c r="F64" i="152"/>
  <c r="F63" i="152"/>
  <c r="F62" i="152"/>
  <c r="F61" i="152"/>
  <c r="F15" i="147"/>
  <c r="F175" i="147" s="1"/>
  <c r="E165" i="145"/>
  <c r="I138" i="152"/>
  <c r="K110" i="145" l="1"/>
  <c r="E166" i="145"/>
  <c r="F166" i="145" s="1"/>
  <c r="J115" i="145"/>
  <c r="F109" i="145"/>
  <c r="F13" i="147"/>
  <c r="F173" i="147" s="1"/>
  <c r="F15" i="143"/>
  <c r="F226" i="143" s="1"/>
  <c r="F7" i="147"/>
  <c r="F167" i="147" s="1"/>
  <c r="F8" i="147"/>
  <c r="F168" i="147" s="1"/>
  <c r="F9" i="147"/>
  <c r="F169" i="147" s="1"/>
  <c r="F11" i="147"/>
  <c r="F171" i="147" s="1"/>
  <c r="F10" i="147"/>
  <c r="F170" i="147" s="1"/>
  <c r="H23" i="152"/>
  <c r="J23" i="152" s="1"/>
  <c r="F66" i="152"/>
  <c r="F67" i="152"/>
  <c r="F65" i="152"/>
  <c r="F68" i="152"/>
  <c r="F36" i="152"/>
  <c r="F37" i="152"/>
  <c r="F38" i="152"/>
  <c r="F35" i="152"/>
  <c r="J16" i="147"/>
  <c r="L16" i="147" s="1"/>
  <c r="I15" i="147"/>
  <c r="I139" i="152"/>
  <c r="I173" i="147" l="1"/>
  <c r="F12" i="147"/>
  <c r="F172" i="147" s="1"/>
  <c r="J120" i="145"/>
  <c r="F17" i="147"/>
  <c r="F177" i="147" s="1"/>
  <c r="H27" i="152"/>
  <c r="J27" i="152" s="1"/>
  <c r="F69" i="152"/>
  <c r="F70" i="152"/>
  <c r="F71" i="152"/>
  <c r="F72" i="152"/>
  <c r="I16" i="147"/>
  <c r="I175" i="147"/>
  <c r="I176" i="147"/>
  <c r="J15" i="147"/>
  <c r="L15" i="147" s="1"/>
  <c r="I140" i="152"/>
  <c r="I13" i="147" l="1"/>
  <c r="J13" i="147"/>
  <c r="L13" i="147" s="1"/>
  <c r="F18" i="147"/>
  <c r="F178" i="147" s="1"/>
  <c r="F172" i="145"/>
  <c r="J125" i="145"/>
  <c r="H31" i="152"/>
  <c r="J31" i="152" s="1"/>
  <c r="F74" i="152"/>
  <c r="F75" i="152"/>
  <c r="F73" i="152"/>
  <c r="J130" i="145" l="1"/>
  <c r="H35" i="152"/>
  <c r="J35" i="152" s="1"/>
  <c r="I141" i="152"/>
  <c r="J135" i="145" l="1"/>
  <c r="I142" i="152"/>
  <c r="J140" i="145" l="1"/>
  <c r="F41" i="148" s="1"/>
  <c r="F87" i="148" s="1"/>
  <c r="F40" i="148"/>
  <c r="F86" i="148" s="1"/>
  <c r="I143" i="152"/>
  <c r="K140" i="145" l="1"/>
  <c r="F48" i="147"/>
  <c r="F208" i="147" s="1"/>
  <c r="F47" i="147"/>
  <c r="F207" i="147" s="1"/>
  <c r="J145" i="145"/>
  <c r="F46" i="148" s="1"/>
  <c r="F92" i="148" s="1"/>
  <c r="F45" i="148"/>
  <c r="F91" i="148" s="1"/>
  <c r="I144" i="152"/>
  <c r="K145" i="145" l="1"/>
  <c r="F202" i="145"/>
  <c r="I207" i="147"/>
  <c r="F54" i="147"/>
  <c r="F214" i="147" s="1"/>
  <c r="F53" i="147"/>
  <c r="F213" i="147" s="1"/>
  <c r="I208" i="147"/>
  <c r="I145" i="152"/>
  <c r="Q190" i="149"/>
  <c r="N190" i="149"/>
  <c r="P190" i="149"/>
  <c r="R190" i="149"/>
  <c r="G190" i="149"/>
  <c r="M190" i="149"/>
  <c r="E190" i="149"/>
  <c r="I190" i="149"/>
  <c r="J190" i="149"/>
  <c r="H190" i="149"/>
  <c r="L190" i="149"/>
  <c r="F190" i="149"/>
  <c r="O190" i="149"/>
  <c r="F21" i="153"/>
  <c r="H8" i="153" s="1"/>
  <c r="J8" i="153" s="1"/>
  <c r="F155" i="153"/>
  <c r="H142" i="153" s="1"/>
  <c r="J142" i="153" s="1"/>
  <c r="I11" i="148"/>
  <c r="K11" i="148" s="1"/>
  <c r="F88" i="153"/>
  <c r="H75" i="153" s="1"/>
  <c r="H7" i="153"/>
  <c r="H141" i="153"/>
  <c r="J7" i="146"/>
  <c r="I10" i="148"/>
  <c r="K10" i="148" s="1"/>
  <c r="S5" i="149"/>
  <c r="F221" i="153"/>
  <c r="H208" i="153" s="1"/>
  <c r="J208" i="153" s="1"/>
  <c r="H207" i="153"/>
  <c r="F87" i="153"/>
  <c r="H74" i="153" s="1"/>
  <c r="F208" i="145" l="1"/>
  <c r="J48" i="147"/>
  <c r="L48" i="147" s="1"/>
  <c r="I213" i="147"/>
  <c r="I214" i="147"/>
  <c r="I47" i="147"/>
  <c r="J47" i="147"/>
  <c r="I48" i="147"/>
  <c r="I9" i="148"/>
  <c r="K9" i="148" s="1"/>
  <c r="I146" i="152"/>
  <c r="I18" i="147"/>
  <c r="J18" i="147"/>
  <c r="L18" i="147" s="1"/>
  <c r="I9" i="147"/>
  <c r="J9" i="147"/>
  <c r="L9" i="147" s="1"/>
  <c r="I12" i="147"/>
  <c r="J12" i="147"/>
  <c r="L12" i="147" s="1"/>
  <c r="I11" i="147"/>
  <c r="J11" i="147"/>
  <c r="L11" i="147" s="1"/>
  <c r="I17" i="147"/>
  <c r="J17" i="147"/>
  <c r="L17" i="147" s="1"/>
  <c r="I10" i="147"/>
  <c r="J10" i="147"/>
  <c r="L10" i="147" s="1"/>
  <c r="J229" i="143"/>
  <c r="L16" i="143"/>
  <c r="L22" i="143"/>
  <c r="K10" i="143"/>
  <c r="L14" i="143"/>
  <c r="D190" i="149"/>
  <c r="S148" i="149"/>
  <c r="S164" i="149"/>
  <c r="S131" i="149"/>
  <c r="S143" i="149"/>
  <c r="E181" i="145" s="1"/>
  <c r="S138" i="149"/>
  <c r="S128" i="149"/>
  <c r="S151" i="149"/>
  <c r="S127" i="149"/>
  <c r="S158" i="149"/>
  <c r="S124" i="149"/>
  <c r="S165" i="149"/>
  <c r="S126" i="149"/>
  <c r="S157" i="149"/>
  <c r="S129" i="149"/>
  <c r="S154" i="149"/>
  <c r="U154" i="149" s="1"/>
  <c r="S159" i="149"/>
  <c r="S146" i="149"/>
  <c r="S169" i="149"/>
  <c r="S162" i="149"/>
  <c r="S134" i="149"/>
  <c r="U134" i="149" s="1"/>
  <c r="S153" i="149"/>
  <c r="E187" i="145" s="1"/>
  <c r="S168" i="149"/>
  <c r="S135" i="149"/>
  <c r="S161" i="149"/>
  <c r="S156" i="149"/>
  <c r="S149" i="149"/>
  <c r="S142" i="149"/>
  <c r="S125" i="149"/>
  <c r="S136" i="149"/>
  <c r="S133" i="149"/>
  <c r="E175" i="145" s="1"/>
  <c r="S137" i="149"/>
  <c r="S163" i="149"/>
  <c r="E193" i="145" s="1"/>
  <c r="S132" i="149"/>
  <c r="S147" i="149"/>
  <c r="S167" i="149"/>
  <c r="I171" i="147"/>
  <c r="S139" i="149"/>
  <c r="I49" i="146"/>
  <c r="I8" i="146"/>
  <c r="F25" i="145" s="1"/>
  <c r="J8" i="146"/>
  <c r="L8" i="146" s="1"/>
  <c r="I52" i="146"/>
  <c r="J11" i="146"/>
  <c r="L11" i="146" s="1"/>
  <c r="I11" i="146"/>
  <c r="I50" i="146"/>
  <c r="J9" i="146"/>
  <c r="L9" i="146" s="1"/>
  <c r="I9" i="146"/>
  <c r="J75" i="153"/>
  <c r="F53" i="148"/>
  <c r="I172" i="147"/>
  <c r="J7" i="153"/>
  <c r="I178" i="147"/>
  <c r="I48" i="146"/>
  <c r="L7" i="146"/>
  <c r="I7" i="146"/>
  <c r="F24" i="145" s="1"/>
  <c r="I53" i="146"/>
  <c r="J12" i="146"/>
  <c r="L12" i="146" s="1"/>
  <c r="I12" i="146"/>
  <c r="I51" i="146"/>
  <c r="I10" i="146"/>
  <c r="J10" i="146"/>
  <c r="L10" i="146" s="1"/>
  <c r="I169" i="147"/>
  <c r="I177" i="147"/>
  <c r="J207" i="153"/>
  <c r="J7" i="152"/>
  <c r="J141" i="153"/>
  <c r="I167" i="147"/>
  <c r="J7" i="147"/>
  <c r="I7" i="147"/>
  <c r="S166" i="149"/>
  <c r="S145" i="149"/>
  <c r="S152" i="149"/>
  <c r="S155" i="149"/>
  <c r="J74" i="153"/>
  <c r="I170" i="147"/>
  <c r="E113" i="145" l="1"/>
  <c r="E112" i="145"/>
  <c r="E136" i="145"/>
  <c r="E137" i="145"/>
  <c r="F50" i="143" s="1"/>
  <c r="F261" i="143" s="1"/>
  <c r="E128" i="145"/>
  <c r="E129" i="145"/>
  <c r="F42" i="143" s="1"/>
  <c r="F253" i="143" s="1"/>
  <c r="U131" i="149"/>
  <c r="V131" i="149" s="1"/>
  <c r="E114" i="145"/>
  <c r="F27" i="143" s="1"/>
  <c r="F238" i="143" s="1"/>
  <c r="E110" i="145"/>
  <c r="E115" i="145"/>
  <c r="F28" i="143" s="1"/>
  <c r="F239" i="143" s="1"/>
  <c r="E116" i="145"/>
  <c r="F29" i="143" s="1"/>
  <c r="F240" i="143" s="1"/>
  <c r="E111" i="145"/>
  <c r="F24" i="143" s="1"/>
  <c r="F235" i="143" s="1"/>
  <c r="E117" i="145"/>
  <c r="F30" i="143" s="1"/>
  <c r="F241" i="143" s="1"/>
  <c r="U161" i="149"/>
  <c r="V161" i="149" s="1"/>
  <c r="E141" i="145"/>
  <c r="F54" i="143" s="1"/>
  <c r="F265" i="143" s="1"/>
  <c r="E138" i="145"/>
  <c r="F51" i="143" s="1"/>
  <c r="F262" i="143" s="1"/>
  <c r="E135" i="145"/>
  <c r="F48" i="143" s="1"/>
  <c r="F259" i="143" s="1"/>
  <c r="E134" i="145"/>
  <c r="E140" i="145"/>
  <c r="F53" i="143" s="1"/>
  <c r="F264" i="143" s="1"/>
  <c r="E139" i="145"/>
  <c r="F52" i="143" s="1"/>
  <c r="F263" i="143" s="1"/>
  <c r="U151" i="149"/>
  <c r="V151" i="149" s="1"/>
  <c r="E133" i="145"/>
  <c r="F46" i="143" s="1"/>
  <c r="F257" i="143" s="1"/>
  <c r="E132" i="145"/>
  <c r="F45" i="143" s="1"/>
  <c r="F256" i="143" s="1"/>
  <c r="E127" i="145"/>
  <c r="F40" i="143" s="1"/>
  <c r="F251" i="143" s="1"/>
  <c r="E131" i="145"/>
  <c r="F44" i="143" s="1"/>
  <c r="F255" i="143" s="1"/>
  <c r="E130" i="145"/>
  <c r="F43" i="143" s="1"/>
  <c r="F254" i="143" s="1"/>
  <c r="E126" i="145"/>
  <c r="U163" i="149"/>
  <c r="E192" i="145"/>
  <c r="F38" i="147" s="1"/>
  <c r="F198" i="147" s="1"/>
  <c r="E191" i="145"/>
  <c r="E195" i="145"/>
  <c r="F41" i="147" s="1"/>
  <c r="F201" i="147" s="1"/>
  <c r="E194" i="145"/>
  <c r="F40" i="147" s="1"/>
  <c r="F200" i="147" s="1"/>
  <c r="E196" i="145"/>
  <c r="F42" i="147" s="1"/>
  <c r="F202" i="147" s="1"/>
  <c r="U133" i="149"/>
  <c r="E177" i="145"/>
  <c r="F23" i="147" s="1"/>
  <c r="F183" i="147" s="1"/>
  <c r="E178" i="145"/>
  <c r="F24" i="147" s="1"/>
  <c r="F184" i="147" s="1"/>
  <c r="E176" i="145"/>
  <c r="F22" i="147" s="1"/>
  <c r="F182" i="147" s="1"/>
  <c r="E174" i="145"/>
  <c r="F20" i="147" s="1"/>
  <c r="F180" i="147" s="1"/>
  <c r="E173" i="145"/>
  <c r="U153" i="149"/>
  <c r="E186" i="145"/>
  <c r="F32" i="147" s="1"/>
  <c r="F192" i="147" s="1"/>
  <c r="E188" i="145"/>
  <c r="F34" i="147" s="1"/>
  <c r="F194" i="147" s="1"/>
  <c r="E189" i="145"/>
  <c r="F35" i="147" s="1"/>
  <c r="F195" i="147" s="1"/>
  <c r="E185" i="145"/>
  <c r="E190" i="145"/>
  <c r="F36" i="147" s="1"/>
  <c r="F196" i="147" s="1"/>
  <c r="U143" i="149"/>
  <c r="E183" i="145"/>
  <c r="F29" i="147" s="1"/>
  <c r="F189" i="147" s="1"/>
  <c r="E182" i="145"/>
  <c r="F28" i="147" s="1"/>
  <c r="F188" i="147" s="1"/>
  <c r="E180" i="145"/>
  <c r="F26" i="147" s="1"/>
  <c r="F186" i="147" s="1"/>
  <c r="E184" i="145"/>
  <c r="F30" i="147" s="1"/>
  <c r="F190" i="147" s="1"/>
  <c r="E179" i="145"/>
  <c r="M43" i="147"/>
  <c r="L47" i="147"/>
  <c r="L7" i="147"/>
  <c r="F13" i="148"/>
  <c r="F59" i="148" s="1"/>
  <c r="U124" i="149"/>
  <c r="F33" i="148"/>
  <c r="F79" i="148" s="1"/>
  <c r="U164" i="149"/>
  <c r="F23" i="148"/>
  <c r="F69" i="148" s="1"/>
  <c r="J54" i="147"/>
  <c r="L54" i="147" s="1"/>
  <c r="I54" i="147"/>
  <c r="F49" i="143"/>
  <c r="F260" i="143" s="1"/>
  <c r="J53" i="147"/>
  <c r="I53" i="147"/>
  <c r="F28" i="148"/>
  <c r="F74" i="148" s="1"/>
  <c r="F18" i="148"/>
  <c r="F64" i="148" s="1"/>
  <c r="I7" i="148"/>
  <c r="I8" i="148"/>
  <c r="K8" i="148" s="1"/>
  <c r="S195" i="149"/>
  <c r="S194" i="149"/>
  <c r="S199" i="149"/>
  <c r="S201" i="149"/>
  <c r="S200" i="149"/>
  <c r="S197" i="149"/>
  <c r="S198" i="149"/>
  <c r="F31" i="148"/>
  <c r="F77" i="148" s="1"/>
  <c r="F30" i="148"/>
  <c r="F76" i="148" s="1"/>
  <c r="F29" i="148"/>
  <c r="F75" i="148" s="1"/>
  <c r="F24" i="148"/>
  <c r="F70" i="148" s="1"/>
  <c r="F22" i="148"/>
  <c r="F26" i="148"/>
  <c r="F19" i="148"/>
  <c r="F21" i="148"/>
  <c r="F17" i="148"/>
  <c r="F63" i="148" s="1"/>
  <c r="F14" i="148"/>
  <c r="F16" i="148"/>
  <c r="F12" i="148"/>
  <c r="F58" i="148" s="1"/>
  <c r="F34" i="148"/>
  <c r="F80" i="148" s="1"/>
  <c r="F36" i="148"/>
  <c r="F82" i="148" s="1"/>
  <c r="F35" i="148"/>
  <c r="F81" i="148" s="1"/>
  <c r="K14" i="143"/>
  <c r="I147" i="152"/>
  <c r="F27" i="147"/>
  <c r="F187" i="147" s="1"/>
  <c r="F39" i="147"/>
  <c r="F199" i="147" s="1"/>
  <c r="F21" i="147"/>
  <c r="F181" i="147" s="1"/>
  <c r="F33" i="147"/>
  <c r="F193" i="147" s="1"/>
  <c r="I8" i="147"/>
  <c r="F16" i="145" s="1"/>
  <c r="J8" i="147"/>
  <c r="L8" i="147" s="1"/>
  <c r="I14" i="147"/>
  <c r="J14" i="147"/>
  <c r="F25" i="143"/>
  <c r="F236" i="143" s="1"/>
  <c r="F26" i="143"/>
  <c r="F237" i="143" s="1"/>
  <c r="F41" i="143"/>
  <c r="F252" i="143" s="1"/>
  <c r="K18" i="143"/>
  <c r="L18" i="143"/>
  <c r="N18" i="143" s="1"/>
  <c r="K22" i="143"/>
  <c r="J225" i="143"/>
  <c r="K16" i="143"/>
  <c r="J227" i="143"/>
  <c r="L10" i="143"/>
  <c r="J221" i="143"/>
  <c r="J233" i="143"/>
  <c r="J223" i="143"/>
  <c r="K12" i="143"/>
  <c r="L12" i="143"/>
  <c r="J230" i="143"/>
  <c r="L19" i="143"/>
  <c r="K19" i="143"/>
  <c r="I174" i="147"/>
  <c r="I168" i="147"/>
  <c r="J224" i="143"/>
  <c r="K13" i="143"/>
  <c r="L13" i="143"/>
  <c r="J226" i="143"/>
  <c r="K15" i="143"/>
  <c r="L15" i="143"/>
  <c r="J231" i="143"/>
  <c r="L20" i="143"/>
  <c r="K20" i="143"/>
  <c r="N22" i="143"/>
  <c r="J218" i="143"/>
  <c r="K7" i="143"/>
  <c r="L7" i="143"/>
  <c r="J222" i="143"/>
  <c r="L11" i="143"/>
  <c r="N16" i="143"/>
  <c r="J219" i="143"/>
  <c r="L8" i="143"/>
  <c r="K8" i="143"/>
  <c r="J232" i="143"/>
  <c r="K21" i="143"/>
  <c r="L21" i="143"/>
  <c r="N14" i="143"/>
  <c r="M49" i="147" l="1"/>
  <c r="F17" i="145"/>
  <c r="M13" i="147"/>
  <c r="M7" i="147"/>
  <c r="L53" i="147"/>
  <c r="L14" i="147"/>
  <c r="K7" i="148"/>
  <c r="L9" i="148"/>
  <c r="F32" i="148"/>
  <c r="F78" i="148" s="1"/>
  <c r="K135" i="145"/>
  <c r="F25" i="148"/>
  <c r="F71" i="148" s="1"/>
  <c r="I25" i="148" s="1"/>
  <c r="K25" i="148" s="1"/>
  <c r="K125" i="145"/>
  <c r="F15" i="148"/>
  <c r="F61" i="148" s="1"/>
  <c r="I15" i="148" s="1"/>
  <c r="K15" i="148" s="1"/>
  <c r="K115" i="145"/>
  <c r="F27" i="148"/>
  <c r="F73" i="148" s="1"/>
  <c r="K130" i="145"/>
  <c r="F20" i="148"/>
  <c r="F66" i="148" s="1"/>
  <c r="K120" i="145"/>
  <c r="F65" i="148"/>
  <c r="I19" i="148" s="1"/>
  <c r="K19" i="148" s="1"/>
  <c r="F72" i="148"/>
  <c r="I26" i="148" s="1"/>
  <c r="K26" i="148" s="1"/>
  <c r="F62" i="148"/>
  <c r="I16" i="148" s="1"/>
  <c r="K16" i="148" s="1"/>
  <c r="F37" i="147"/>
  <c r="F197" i="147" s="1"/>
  <c r="F196" i="145"/>
  <c r="F60" i="148"/>
  <c r="I14" i="148" s="1"/>
  <c r="K14" i="148" s="1"/>
  <c r="F23" i="143"/>
  <c r="F234" i="143" s="1"/>
  <c r="F117" i="145"/>
  <c r="F19" i="147"/>
  <c r="F179" i="147" s="1"/>
  <c r="F178" i="145"/>
  <c r="F25" i="147"/>
  <c r="F185" i="147" s="1"/>
  <c r="F184" i="145"/>
  <c r="F39" i="143"/>
  <c r="F250" i="143" s="1"/>
  <c r="F133" i="145"/>
  <c r="F47" i="143"/>
  <c r="F258" i="143" s="1"/>
  <c r="F141" i="145"/>
  <c r="F31" i="147"/>
  <c r="F191" i="147" s="1"/>
  <c r="F190" i="145"/>
  <c r="F67" i="148"/>
  <c r="I21" i="148" s="1"/>
  <c r="K21" i="148" s="1"/>
  <c r="I17" i="148"/>
  <c r="I18" i="148"/>
  <c r="K18" i="148" s="1"/>
  <c r="I12" i="148"/>
  <c r="I13" i="148"/>
  <c r="K13" i="148" s="1"/>
  <c r="L26" i="143"/>
  <c r="N26" i="143" s="1"/>
  <c r="J251" i="143"/>
  <c r="K48" i="143"/>
  <c r="J235" i="143"/>
  <c r="J253" i="143"/>
  <c r="L46" i="143"/>
  <c r="N46" i="143" s="1"/>
  <c r="J265" i="143"/>
  <c r="L49" i="143"/>
  <c r="N49" i="143" s="1"/>
  <c r="J256" i="143"/>
  <c r="J240" i="143"/>
  <c r="J264" i="143"/>
  <c r="I192" i="147"/>
  <c r="K50" i="143"/>
  <c r="J239" i="143"/>
  <c r="K52" i="143"/>
  <c r="J20" i="147"/>
  <c r="L20" i="147" s="1"/>
  <c r="J252" i="143"/>
  <c r="K43" i="143"/>
  <c r="J238" i="143"/>
  <c r="J262" i="143"/>
  <c r="J26" i="147"/>
  <c r="L26" i="147" s="1"/>
  <c r="J255" i="143"/>
  <c r="I24" i="148"/>
  <c r="K24" i="148" s="1"/>
  <c r="I31" i="148"/>
  <c r="K31" i="148" s="1"/>
  <c r="I41" i="148"/>
  <c r="K41" i="148" s="1"/>
  <c r="I30" i="148"/>
  <c r="K30" i="148" s="1"/>
  <c r="I40" i="148"/>
  <c r="K40" i="148" s="1"/>
  <c r="I29" i="148"/>
  <c r="K29" i="148" s="1"/>
  <c r="I39" i="148"/>
  <c r="K39" i="148" s="1"/>
  <c r="I34" i="148"/>
  <c r="K34" i="148" s="1"/>
  <c r="I44" i="148"/>
  <c r="K44" i="148" s="1"/>
  <c r="I36" i="148"/>
  <c r="K36" i="148" s="1"/>
  <c r="I46" i="148"/>
  <c r="K46" i="148" s="1"/>
  <c r="I35" i="148"/>
  <c r="K35" i="148" s="1"/>
  <c r="I45" i="148"/>
  <c r="K45" i="148" s="1"/>
  <c r="I149" i="152"/>
  <c r="I148" i="152"/>
  <c r="I198" i="147"/>
  <c r="I187" i="147"/>
  <c r="I201" i="147"/>
  <c r="I190" i="147"/>
  <c r="I195" i="147"/>
  <c r="I194" i="147"/>
  <c r="I199" i="147"/>
  <c r="I189" i="147"/>
  <c r="I184" i="147"/>
  <c r="I202" i="147"/>
  <c r="I188" i="147"/>
  <c r="I182" i="147"/>
  <c r="I183" i="147"/>
  <c r="I196" i="147"/>
  <c r="I193" i="147"/>
  <c r="I181" i="147"/>
  <c r="I200" i="147"/>
  <c r="L30" i="143"/>
  <c r="N30" i="143" s="1"/>
  <c r="N10" i="143"/>
  <c r="N20" i="143"/>
  <c r="N8" i="143"/>
  <c r="N13" i="143"/>
  <c r="N19" i="143"/>
  <c r="N12" i="143"/>
  <c r="J228" i="143"/>
  <c r="L17" i="143"/>
  <c r="P9" i="145" s="1"/>
  <c r="K17" i="143"/>
  <c r="I9" i="145" s="1"/>
  <c r="N21" i="143"/>
  <c r="N7" i="143"/>
  <c r="J236" i="143"/>
  <c r="L25" i="143"/>
  <c r="K25" i="143"/>
  <c r="J220" i="143"/>
  <c r="L9" i="143"/>
  <c r="K9" i="143"/>
  <c r="I8" i="145" s="1"/>
  <c r="N15" i="143"/>
  <c r="N11" i="143"/>
  <c r="F8" i="145" l="1"/>
  <c r="N8" i="145"/>
  <c r="O8" i="145" s="1"/>
  <c r="J24" i="145"/>
  <c r="K24" i="145" s="1"/>
  <c r="L8" i="145"/>
  <c r="M8" i="145" s="1"/>
  <c r="I197" i="147"/>
  <c r="I185" i="147"/>
  <c r="J19" i="147"/>
  <c r="I191" i="147"/>
  <c r="K12" i="148"/>
  <c r="L14" i="148"/>
  <c r="K17" i="148"/>
  <c r="L39" i="143"/>
  <c r="N39" i="143" s="1"/>
  <c r="L47" i="143"/>
  <c r="N47" i="143" s="1"/>
  <c r="L23" i="143"/>
  <c r="I20" i="148"/>
  <c r="K20" i="148" s="1"/>
  <c r="J32" i="147"/>
  <c r="L32" i="147" s="1"/>
  <c r="I42" i="148"/>
  <c r="I43" i="148"/>
  <c r="K43" i="148" s="1"/>
  <c r="I27" i="148"/>
  <c r="I28" i="148"/>
  <c r="K28" i="148" s="1"/>
  <c r="I32" i="148"/>
  <c r="I33" i="148"/>
  <c r="K33" i="148" s="1"/>
  <c r="I37" i="148"/>
  <c r="I38" i="148"/>
  <c r="K38" i="148" s="1"/>
  <c r="O15" i="143"/>
  <c r="O7" i="143"/>
  <c r="P8" i="145"/>
  <c r="K26" i="143"/>
  <c r="K29" i="143"/>
  <c r="K42" i="143"/>
  <c r="L40" i="143"/>
  <c r="N40" i="143" s="1"/>
  <c r="L42" i="143"/>
  <c r="N42" i="143" s="1"/>
  <c r="K40" i="143"/>
  <c r="J23" i="145"/>
  <c r="K23" i="145" s="1"/>
  <c r="K53" i="143"/>
  <c r="L41" i="143"/>
  <c r="N41" i="143" s="1"/>
  <c r="K41" i="143"/>
  <c r="L53" i="143"/>
  <c r="N53" i="143" s="1"/>
  <c r="L9" i="145"/>
  <c r="L48" i="143"/>
  <c r="N48" i="143" s="1"/>
  <c r="L29" i="143"/>
  <c r="N29" i="143" s="1"/>
  <c r="I20" i="147"/>
  <c r="K28" i="143"/>
  <c r="L28" i="143"/>
  <c r="N28" i="143" s="1"/>
  <c r="L51" i="143"/>
  <c r="N51" i="143" s="1"/>
  <c r="K24" i="143"/>
  <c r="J261" i="143"/>
  <c r="K51" i="143"/>
  <c r="L24" i="143"/>
  <c r="N24" i="143" s="1"/>
  <c r="K27" i="143"/>
  <c r="L50" i="143"/>
  <c r="N50" i="143" s="1"/>
  <c r="L27" i="143"/>
  <c r="N27" i="143" s="1"/>
  <c r="K45" i="143"/>
  <c r="K54" i="143"/>
  <c r="J237" i="143"/>
  <c r="I32" i="147"/>
  <c r="L54" i="143"/>
  <c r="N54" i="143" s="1"/>
  <c r="L45" i="143"/>
  <c r="N45" i="143" s="1"/>
  <c r="I186" i="147"/>
  <c r="J260" i="143"/>
  <c r="J259" i="143"/>
  <c r="I26" i="147"/>
  <c r="J263" i="143"/>
  <c r="K49" i="143"/>
  <c r="L43" i="143"/>
  <c r="N43" i="143" s="1"/>
  <c r="L52" i="143"/>
  <c r="N52" i="143" s="1"/>
  <c r="J254" i="143"/>
  <c r="K46" i="143"/>
  <c r="I180" i="147"/>
  <c r="J257" i="143"/>
  <c r="K44" i="143"/>
  <c r="L44" i="143"/>
  <c r="N44" i="143" s="1"/>
  <c r="I29" i="147"/>
  <c r="I28" i="147"/>
  <c r="I24" i="147"/>
  <c r="J36" i="147"/>
  <c r="L36" i="147" s="1"/>
  <c r="I38" i="147"/>
  <c r="I35" i="147"/>
  <c r="I27" i="147"/>
  <c r="I41" i="147"/>
  <c r="J33" i="147"/>
  <c r="L33" i="147" s="1"/>
  <c r="J28" i="147"/>
  <c r="L28" i="147" s="1"/>
  <c r="J21" i="147"/>
  <c r="L21" i="147" s="1"/>
  <c r="J23" i="147"/>
  <c r="L23" i="147" s="1"/>
  <c r="I21" i="147"/>
  <c r="I23" i="147"/>
  <c r="J38" i="147"/>
  <c r="L38" i="147" s="1"/>
  <c r="J39" i="147"/>
  <c r="L39" i="147" s="1"/>
  <c r="I40" i="147"/>
  <c r="J22" i="147"/>
  <c r="L22" i="147" s="1"/>
  <c r="J34" i="147"/>
  <c r="L34" i="147" s="1"/>
  <c r="J40" i="147"/>
  <c r="L40" i="147" s="1"/>
  <c r="I22" i="147"/>
  <c r="J24" i="147"/>
  <c r="L24" i="147" s="1"/>
  <c r="I34" i="147"/>
  <c r="J41" i="147"/>
  <c r="L41" i="147" s="1"/>
  <c r="I36" i="147"/>
  <c r="I39" i="147"/>
  <c r="J35" i="147"/>
  <c r="L35" i="147" s="1"/>
  <c r="I42" i="147"/>
  <c r="J30" i="147"/>
  <c r="L30" i="147" s="1"/>
  <c r="I33" i="147"/>
  <c r="J42" i="147"/>
  <c r="L42" i="147" s="1"/>
  <c r="J29" i="147"/>
  <c r="L29" i="147" s="1"/>
  <c r="I30" i="147"/>
  <c r="J27" i="147"/>
  <c r="L27" i="147" s="1"/>
  <c r="K30" i="143"/>
  <c r="J241" i="143"/>
  <c r="N9" i="143"/>
  <c r="N17" i="143"/>
  <c r="N25" i="143"/>
  <c r="F9" i="145" l="1"/>
  <c r="N9" i="145"/>
  <c r="O9" i="145" s="1"/>
  <c r="J31" i="147"/>
  <c r="L31" i="147" s="1"/>
  <c r="I31" i="147"/>
  <c r="I25" i="147"/>
  <c r="J25" i="147"/>
  <c r="L25" i="147" s="1"/>
  <c r="I37" i="147"/>
  <c r="J37" i="147"/>
  <c r="L37" i="147" s="1"/>
  <c r="I179" i="147"/>
  <c r="I19" i="147"/>
  <c r="L19" i="147"/>
  <c r="L19" i="148"/>
  <c r="K32" i="148"/>
  <c r="L34" i="148"/>
  <c r="K27" i="148"/>
  <c r="L29" i="148"/>
  <c r="K42" i="148"/>
  <c r="L44" i="148"/>
  <c r="K37" i="148"/>
  <c r="L39" i="148"/>
  <c r="K47" i="143"/>
  <c r="O47" i="143" s="1"/>
  <c r="K39" i="143"/>
  <c r="O39" i="143" s="1"/>
  <c r="J250" i="143"/>
  <c r="J258" i="143"/>
  <c r="K23" i="143"/>
  <c r="O23" i="143" s="1"/>
  <c r="J234" i="143"/>
  <c r="N23" i="143"/>
  <c r="M9" i="145"/>
  <c r="M19" i="147" l="1"/>
  <c r="M37" i="147"/>
  <c r="M25" i="147"/>
  <c r="M31" i="147"/>
  <c r="K144" i="149" l="1"/>
  <c r="K141" i="149"/>
  <c r="K63" i="149"/>
  <c r="K202" i="149" l="1"/>
  <c r="K203" i="149" s="1"/>
  <c r="J22" i="148"/>
  <c r="F68" i="148" s="1"/>
  <c r="I22" i="148" s="1"/>
  <c r="M33" i="143"/>
  <c r="S144" i="149"/>
  <c r="K190" i="149"/>
  <c r="S141" i="149"/>
  <c r="E120" i="145" s="1"/>
  <c r="F33" i="143" s="1"/>
  <c r="E124" i="145" l="1"/>
  <c r="F37" i="143" s="1"/>
  <c r="F248" i="143" s="1"/>
  <c r="E121" i="145"/>
  <c r="F34" i="143" s="1"/>
  <c r="F244" i="143"/>
  <c r="J244" i="143" s="1"/>
  <c r="E119" i="145"/>
  <c r="F32" i="143" s="1"/>
  <c r="F243" i="143" s="1"/>
  <c r="E123" i="145"/>
  <c r="F36" i="143" s="1"/>
  <c r="F247" i="143" s="1"/>
  <c r="E118" i="145"/>
  <c r="E122" i="145"/>
  <c r="F35" i="143" s="1"/>
  <c r="F246" i="143" s="1"/>
  <c r="E125" i="145"/>
  <c r="F38" i="143" s="1"/>
  <c r="F249" i="143" s="1"/>
  <c r="I23" i="148"/>
  <c r="K23" i="148" s="1"/>
  <c r="S190" i="149"/>
  <c r="S193" i="149"/>
  <c r="U141" i="149"/>
  <c r="V141" i="149" s="1"/>
  <c r="S196" i="149"/>
  <c r="U144" i="149"/>
  <c r="K22" i="148"/>
  <c r="K33" i="143" l="1"/>
  <c r="L33" i="143"/>
  <c r="N33" i="143" s="1"/>
  <c r="F245" i="143"/>
  <c r="J245" i="143" s="1"/>
  <c r="J246" i="143"/>
  <c r="F125" i="145"/>
  <c r="F31" i="143"/>
  <c r="F242" i="143" s="1"/>
  <c r="J247" i="143"/>
  <c r="J243" i="143"/>
  <c r="J249" i="143"/>
  <c r="J248" i="143"/>
  <c r="L24" i="148"/>
  <c r="S202" i="149"/>
  <c r="S203" i="149" s="1"/>
  <c r="K34" i="143" l="1"/>
  <c r="L34" i="143"/>
  <c r="N34" i="143" s="1"/>
  <c r="K35" i="143"/>
  <c r="L38" i="143"/>
  <c r="N38" i="143" s="1"/>
  <c r="L36" i="143"/>
  <c r="N36" i="143" s="1"/>
  <c r="K38" i="143"/>
  <c r="L35" i="143"/>
  <c r="N35" i="143" s="1"/>
  <c r="L37" i="143"/>
  <c r="N37" i="143" s="1"/>
  <c r="K32" i="143"/>
  <c r="L32" i="143"/>
  <c r="N32" i="143" s="1"/>
  <c r="K36" i="143"/>
  <c r="J242" i="143"/>
  <c r="K37" i="143"/>
  <c r="L31" i="143" l="1"/>
  <c r="K31" i="143"/>
  <c r="O16" i="145" l="1"/>
  <c r="O31" i="143"/>
  <c r="N31" i="143"/>
  <c r="M16" i="1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X7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7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7" authorId="0" shapeId="0" xr:uid="{00000000-0006-0000-03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8" authorId="0" shapeId="0" xr:uid="{00000000-0006-0000-03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Rocco De Miglio</author>
  </authors>
  <commentList>
    <comment ref="D7" authorId="0" shapeId="0" xr:uid="{00000000-0006-0000-0B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S7" authorId="0" shapeId="0" xr:uid="{00000000-0006-0000-0B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7" authorId="1" shapeId="0" xr:uid="{00000000-0006-0000-0B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7" authorId="0" shapeId="0" xr:uid="{00000000-0006-0000-0B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8" authorId="0" shapeId="0" xr:uid="{00000000-0006-0000-0B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D27" authorId="0" shapeId="0" xr:uid="{00000000-0006-0000-0B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D35" authorId="0" shapeId="0" xr:uid="{F9AEDAF2-77EF-411F-AF91-F7B98AA41A25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K35" authorId="2" shapeId="0" xr:uid="{7A7F6087-5F3D-4C53-A029-6AB2186A1E9D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partially countend in the chain (upstream)</t>
        </r>
      </text>
    </comment>
    <comment ref="D46" authorId="0" shapeId="0" xr:uid="{3BC3336C-A006-4ECE-867D-8423E006C79B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V5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5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5" authorId="0" shapeId="0" xr:uid="{00000000-0006-0000-05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6" authorId="0" shapeId="0" xr:uid="{00000000-0006-0000-05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74" authorId="0" shapeId="0" xr:uid="{00000000-0006-0000-05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44" authorId="0" shapeId="0" xr:uid="{00000000-0006-0000-05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15" authorId="0" shapeId="0" xr:uid="{00000000-0006-0000-05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85" authorId="0" shapeId="0" xr:uid="{00000000-0006-0000-05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T5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5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5" authorId="0" shapeId="0" xr:uid="{00000000-0006-0000-07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6" authorId="0" shapeId="0" xr:uid="{00000000-0006-0000-07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57" authorId="0" shapeId="0" xr:uid="{00000000-0006-0000-07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11" authorId="0" shapeId="0" xr:uid="{00000000-0006-0000-07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4" authorId="0" shapeId="0" xr:uid="{00000000-0006-0000-07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18" authorId="0" shapeId="0" xr:uid="{00000000-0006-0000-07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V4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4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4" authorId="0" shapeId="0" xr:uid="{00000000-0006-0000-06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5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17" authorId="0" shapeId="0" xr:uid="{00000000-0006-0000-06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1" authorId="0" shapeId="0" xr:uid="{00000000-0006-0000-06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45" authorId="0" shapeId="0" xr:uid="{00000000-0006-0000-06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9" authorId="0" shapeId="0" xr:uid="{00000000-0006-0000-06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8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T5" authorId="0" shapeId="0" xr:uid="{00000000-0006-0000-08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5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5" authorId="0" shapeId="0" xr:uid="{00000000-0006-0000-08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6" authorId="0" shapeId="0" xr:uid="{00000000-0006-0000-08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50" authorId="0" shapeId="0" xr:uid="{00000000-0006-0000-08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95" authorId="0" shapeId="0" xr:uid="{00000000-0006-0000-08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40" authorId="0" shapeId="0" xr:uid="{00000000-0006-0000-08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85" authorId="0" shapeId="0" xr:uid="{00000000-0006-0000-08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9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Q5" authorId="0" shapeId="0" xr:uid="{00000000-0006-0000-09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5" authorId="1" shapeId="0" xr:uid="{00000000-0006-0000-09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5" authorId="0" shapeId="0" xr:uid="{00000000-0006-0000-09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6" authorId="0" shapeId="0" xr:uid="{00000000-0006-0000-09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41" authorId="0" shapeId="0" xr:uid="{00000000-0006-0000-09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78" authorId="0" shapeId="0" xr:uid="{00000000-0006-0000-09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15" authorId="0" shapeId="0" xr:uid="{00000000-0006-0000-09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52" authorId="0" shapeId="0" xr:uid="{00000000-0006-0000-09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A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R5" authorId="0" shapeId="0" xr:uid="{00000000-0006-0000-0A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5" authorId="1" shapeId="0" xr:uid="{00000000-0006-0000-0A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5" authorId="0" shapeId="0" xr:uid="{00000000-0006-0000-0A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6" authorId="0" shapeId="0" xr:uid="{00000000-0006-0000-0A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17" authorId="0" shapeId="0" xr:uid="{00000000-0006-0000-0A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0" authorId="0" shapeId="0" xr:uid="{00000000-0006-0000-0A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43" authorId="0" shapeId="0" xr:uid="{00000000-0006-0000-0A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6" authorId="0" shapeId="0" xr:uid="{00000000-0006-0000-0A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71" authorId="0" shapeId="0" xr:uid="{00000000-0006-0000-0A00-00000A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4" authorId="0" shapeId="0" xr:uid="{00000000-0006-0000-0A00-00000B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97" authorId="0" shapeId="0" xr:uid="{00000000-0006-0000-0A00-00000C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10" authorId="0" shapeId="0" xr:uid="{00000000-0006-0000-0A00-00000D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23" authorId="0" shapeId="0" xr:uid="{00000000-0006-0000-0A00-00000E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38" authorId="0" shapeId="0" xr:uid="{00000000-0006-0000-0A00-00000F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51" authorId="0" shapeId="0" xr:uid="{00000000-0006-0000-0A00-000010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4" authorId="0" shapeId="0" xr:uid="{00000000-0006-0000-0A00-00001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77" authorId="0" shapeId="0" xr:uid="{00000000-0006-0000-0A00-000012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90" authorId="0" shapeId="0" xr:uid="{00000000-0006-0000-0A00-000013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04" authorId="0" shapeId="0" xr:uid="{00000000-0006-0000-0A00-000014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17" authorId="0" shapeId="0" xr:uid="{00000000-0006-0000-0A00-000015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30" authorId="0" shapeId="0" xr:uid="{00000000-0006-0000-0A00-00001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43" authorId="0" shapeId="0" xr:uid="{00000000-0006-0000-0A00-00001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56" authorId="0" shapeId="0" xr:uid="{00000000-0006-0000-0A00-00001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</author>
  </authors>
  <commentList>
    <comment ref="J5" authorId="0" shapeId="0" xr:uid="{1158A9E3-521D-4876-988A-266B9D840E57}">
      <text>
        <r>
          <rPr>
            <b/>
            <sz val="9"/>
            <color indexed="81"/>
            <rFont val="Tahoma"/>
            <family val="2"/>
          </rPr>
          <t>George:</t>
        </r>
        <r>
          <rPr>
            <sz val="9"/>
            <color indexed="81"/>
            <rFont val="Tahoma"/>
            <family val="2"/>
          </rPr>
          <t xml:space="preserve">
112
</t>
        </r>
      </text>
    </comment>
    <comment ref="K5" authorId="0" shapeId="0" xr:uid="{F66EAA8A-8F7F-4FB6-A6A4-0492A17FD5E8}">
      <text>
        <r>
          <rPr>
            <b/>
            <sz val="9"/>
            <color indexed="81"/>
            <rFont val="Tahoma"/>
            <family val="2"/>
          </rPr>
          <t>George:</t>
        </r>
        <r>
          <rPr>
            <sz val="9"/>
            <color indexed="81"/>
            <rFont val="Tahoma"/>
            <family val="2"/>
          </rPr>
          <t xml:space="preserve">
112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Rocco De Miglio</author>
  </authors>
  <commentList>
    <comment ref="B5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N5" authorId="0" shapeId="0" xr:uid="{00000000-0006-0000-02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5" authorId="1" shapeId="0" xr:uid="{00000000-0006-0000-02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5" authorId="2" shapeId="0" xr:uid="{00000000-0006-0000-02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5" authorId="2" shapeId="0" xr:uid="{00000000-0006-0000-02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5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5" authorId="0" shapeId="0" xr:uid="{00000000-0006-0000-02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D5" authorId="1" shapeId="0" xr:uid="{00000000-0006-0000-0200-00000C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E5" authorId="2" shapeId="0" xr:uid="{00000000-0006-0000-02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5" authorId="2" shapeId="0" xr:uid="{00000000-0006-0000-02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G5" authorId="2" shapeId="0" xr:uid="{00000000-0006-0000-02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7" authorId="3" shapeId="0" xr:uid="{DDE85327-A03D-4680-A9E9-A816FC667C96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to control the SUBS 
(Avoid overproduction)</t>
        </r>
      </text>
    </comment>
    <comment ref="G48" authorId="3" shapeId="0" xr:uid="{DE1E943B-7D4F-4D4E-9342-FFE8B0865664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to control the SUBS 
(Avoid overproduction)</t>
        </r>
      </text>
    </comment>
    <comment ref="G50" authorId="3" shapeId="0" xr:uid="{2E77C424-5AD1-4991-BCC1-0768D66A8C36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to control the SUBS 
(Avoid overproduction)</t>
        </r>
      </text>
    </comment>
  </commentList>
</comments>
</file>

<file path=xl/sharedStrings.xml><?xml version="1.0" encoding="utf-8"?>
<sst xmlns="http://schemas.openxmlformats.org/spreadsheetml/2006/main" count="3536" uniqueCount="1015">
  <si>
    <t>CommName</t>
  </si>
  <si>
    <t>TechName</t>
  </si>
  <si>
    <t>TechDesc</t>
  </si>
  <si>
    <t>FIXOM</t>
  </si>
  <si>
    <t>CommDesc</t>
  </si>
  <si>
    <t>Unit</t>
  </si>
  <si>
    <t>VAROM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</si>
  <si>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</si>
  <si>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</si>
  <si>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</si>
  <si>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</si>
  <si>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</si>
  <si>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</si>
  <si>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</si>
  <si>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</si>
  <si>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</si>
  <si>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</si>
  <si>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</si>
  <si>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</si>
  <si>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</si>
  <si>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</si>
  <si>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</si>
  <si>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</si>
  <si>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</si>
  <si>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</si>
  <si>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</si>
  <si>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</si>
  <si>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</si>
  <si>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</si>
  <si>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</si>
  <si>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</si>
  <si>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</si>
  <si>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</si>
  <si>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</si>
  <si>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</si>
  <si>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</si>
  <si>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</si>
  <si>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</si>
  <si>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Efficiency</t>
  </si>
  <si>
    <t>Processes</t>
  </si>
  <si>
    <t>Variable O&amp;M Cost</t>
  </si>
  <si>
    <t>Fixed O&amp;M Cost</t>
  </si>
  <si>
    <t>*TechDesc</t>
  </si>
  <si>
    <t>*Commodity Set Membership</t>
  </si>
  <si>
    <t>*Process Set Membership</t>
  </si>
  <si>
    <t>Sense of the Balance EQN.</t>
  </si>
  <si>
    <t>Timeslice Level</t>
  </si>
  <si>
    <t>Primary Commodity Group</t>
  </si>
  <si>
    <t>TimeSlice level of Process Activity</t>
  </si>
  <si>
    <t>*Units</t>
  </si>
  <si>
    <t>kg/GJ</t>
  </si>
  <si>
    <t>* Definition of the Commodities used in this workbook</t>
  </si>
  <si>
    <t>NRG</t>
  </si>
  <si>
    <t>Anthracite</t>
  </si>
  <si>
    <t>COABIC</t>
  </si>
  <si>
    <t>Other bituminous coal</t>
  </si>
  <si>
    <t>Coke oven coke</t>
  </si>
  <si>
    <t>Coal tar</t>
  </si>
  <si>
    <t>COABKB</t>
  </si>
  <si>
    <t>BKB (brown coal briquettes)</t>
  </si>
  <si>
    <t>Refinery gas</t>
  </si>
  <si>
    <t>OILDSL</t>
  </si>
  <si>
    <t>Diesel</t>
  </si>
  <si>
    <t>OILGSL</t>
  </si>
  <si>
    <t>Gasoline</t>
  </si>
  <si>
    <t>Aviation Gasoline</t>
  </si>
  <si>
    <t>OILLPG</t>
  </si>
  <si>
    <t>Liquified petroleum gas</t>
  </si>
  <si>
    <t>OILKER</t>
  </si>
  <si>
    <t>Kerosene</t>
  </si>
  <si>
    <t>OILNAP</t>
  </si>
  <si>
    <t>Naphtha</t>
  </si>
  <si>
    <t>Petroleum Coke</t>
  </si>
  <si>
    <t>Bitumen</t>
  </si>
  <si>
    <t>OILLUB</t>
  </si>
  <si>
    <t>Lubricants</t>
  </si>
  <si>
    <t>OILOTH</t>
  </si>
  <si>
    <t>Other petroleum products</t>
  </si>
  <si>
    <t>BIOLOG</t>
  </si>
  <si>
    <t>Wood</t>
  </si>
  <si>
    <t>BIOWMU</t>
  </si>
  <si>
    <t>Municipal waste</t>
  </si>
  <si>
    <t>BIOWID</t>
  </si>
  <si>
    <t>Industrial Waste</t>
  </si>
  <si>
    <t>BIOETH</t>
  </si>
  <si>
    <t>BIODSL</t>
  </si>
  <si>
    <t>Biodiesel</t>
  </si>
  <si>
    <t>Bioethanol</t>
  </si>
  <si>
    <t>BIOBGS</t>
  </si>
  <si>
    <t>Biogas</t>
  </si>
  <si>
    <t>BIOPLT</t>
  </si>
  <si>
    <t>Pellet</t>
  </si>
  <si>
    <t>BIOCHR</t>
  </si>
  <si>
    <t>Charcoal</t>
  </si>
  <si>
    <t>RESHYD</t>
  </si>
  <si>
    <t>Hydro Energy</t>
  </si>
  <si>
    <t>RESSOL</t>
  </si>
  <si>
    <t>Solar Energy</t>
  </si>
  <si>
    <t>RESWIN</t>
  </si>
  <si>
    <t>Wind Energy</t>
  </si>
  <si>
    <t>RESGEO</t>
  </si>
  <si>
    <t>Geothermal Energy</t>
  </si>
  <si>
    <t>RSDOILDSL</t>
  </si>
  <si>
    <t>Diesel (RSD)</t>
  </si>
  <si>
    <t>RSDOILLPG</t>
  </si>
  <si>
    <t>Liquified petroleum gas (RSD)</t>
  </si>
  <si>
    <t>RSDGASNAT</t>
  </si>
  <si>
    <t>Natural Gas (RSD)</t>
  </si>
  <si>
    <t>RSDBIOLOG</t>
  </si>
  <si>
    <t>Wood (RSD)</t>
  </si>
  <si>
    <t>RSDBIOETH</t>
  </si>
  <si>
    <t>RSDBIODSL</t>
  </si>
  <si>
    <t>Biodiesel (RSD)</t>
  </si>
  <si>
    <t>Bioethanol (RSD)</t>
  </si>
  <si>
    <t>RSDBIOBGS</t>
  </si>
  <si>
    <t>Biogas (RSD)</t>
  </si>
  <si>
    <t>RSDBIOPLT</t>
  </si>
  <si>
    <t>Pellet (RSD)</t>
  </si>
  <si>
    <t>RSDBIOCHR</t>
  </si>
  <si>
    <t>Charcoal (RSD)</t>
  </si>
  <si>
    <t>RSDRESSOL</t>
  </si>
  <si>
    <t>Solar Energy (RSD)</t>
  </si>
  <si>
    <t>RSDRESGEO</t>
  </si>
  <si>
    <t>Geothermal Energy (RSD)</t>
  </si>
  <si>
    <t>ELCHIG</t>
  </si>
  <si>
    <t>DAYNITE</t>
  </si>
  <si>
    <t>ELC</t>
  </si>
  <si>
    <t>High Voltage electricity after losses</t>
  </si>
  <si>
    <t>ELCHIGG</t>
  </si>
  <si>
    <t>High Voltage electricity before Losses</t>
  </si>
  <si>
    <t>RSDELC</t>
  </si>
  <si>
    <t>Electricity (RSD)</t>
  </si>
  <si>
    <t>ENV</t>
  </si>
  <si>
    <t>Gg</t>
  </si>
  <si>
    <t>RSDCO2</t>
  </si>
  <si>
    <t>CO2 (RSD)</t>
  </si>
  <si>
    <t>RSDCH4</t>
  </si>
  <si>
    <t>CH4 (RSD)</t>
  </si>
  <si>
    <t>RSDN2O</t>
  </si>
  <si>
    <t>N2O (RSD)</t>
  </si>
  <si>
    <t>Default Units</t>
  </si>
  <si>
    <t>Energy</t>
  </si>
  <si>
    <t>Currency Unit</t>
  </si>
  <si>
    <t>Emissions</t>
  </si>
  <si>
    <t>NCAP_TLIFE</t>
  </si>
  <si>
    <t>* Definition of the Processes used in this worksheet</t>
  </si>
  <si>
    <t>*Region</t>
  </si>
  <si>
    <t>*</t>
  </si>
  <si>
    <t>0000</t>
  </si>
  <si>
    <t>3270A</t>
  </si>
  <si>
    <t>Total all products</t>
  </si>
  <si>
    <t>Solid fuels</t>
  </si>
  <si>
    <t>Lignite / Brown Coal</t>
  </si>
  <si>
    <t>BKB</t>
  </si>
  <si>
    <t>Oil (total)</t>
  </si>
  <si>
    <t>Crude oil</t>
  </si>
  <si>
    <t>Natural Gas Liguids</t>
  </si>
  <si>
    <t>Refinery Feedstocks</t>
  </si>
  <si>
    <t>Additives / Oxygenates</t>
  </si>
  <si>
    <t>Other Hydrocarb. (w/o bio)</t>
  </si>
  <si>
    <t>LPG</t>
  </si>
  <si>
    <t>Motor Gasoline (w/o bio)</t>
  </si>
  <si>
    <t>Gasoline Type Jet Fuel</t>
  </si>
  <si>
    <t>Kerosene Type Jet Fuel</t>
  </si>
  <si>
    <t>Other Kerosene</t>
  </si>
  <si>
    <t>Gas/Diesel Oil (w/o bio)</t>
  </si>
  <si>
    <t>Fuel Oil</t>
  </si>
  <si>
    <t>White spirit and SBP</t>
  </si>
  <si>
    <t>Paraffin Waxes</t>
  </si>
  <si>
    <t>Other Products</t>
  </si>
  <si>
    <t>Gas</t>
  </si>
  <si>
    <t>Natural gas</t>
  </si>
  <si>
    <t xml:space="preserve">Coke oven gas </t>
  </si>
  <si>
    <t>Blast furnace gas</t>
  </si>
  <si>
    <t>Total Renewables</t>
  </si>
  <si>
    <t>Hydro power</t>
  </si>
  <si>
    <t>Wind power</t>
  </si>
  <si>
    <t>Solar thermal</t>
  </si>
  <si>
    <t>Solar PV</t>
  </si>
  <si>
    <t>Solid biomass</t>
  </si>
  <si>
    <t>Biogas (all)</t>
  </si>
  <si>
    <t>Municipal wastes (renew.)</t>
  </si>
  <si>
    <t>Geo-thermal</t>
  </si>
  <si>
    <t>Wastes (non ren.)</t>
  </si>
  <si>
    <t>Industrial wastes</t>
  </si>
  <si>
    <t>Municial wastes (non-ren.)</t>
  </si>
  <si>
    <t>Derived heat</t>
  </si>
  <si>
    <t>Electricity</t>
  </si>
  <si>
    <t>Available for Final Consumption</t>
  </si>
  <si>
    <t>B_101500</t>
  </si>
  <si>
    <t>Final non-energy consumption</t>
  </si>
  <si>
    <t>B_101600</t>
  </si>
  <si>
    <t>+</t>
  </si>
  <si>
    <t>Non-Energy Use in Transformation sector</t>
  </si>
  <si>
    <t>B_101603</t>
  </si>
  <si>
    <t>Non-Energy Use in Energy sector</t>
  </si>
  <si>
    <t>B_101604</t>
  </si>
  <si>
    <t>Non-Energy Use in Industry sector</t>
  </si>
  <si>
    <t>B_101605</t>
  </si>
  <si>
    <t>of which Non-Energy Use in Chemical/Petrochemical Industry</t>
  </si>
  <si>
    <t>B_101601</t>
  </si>
  <si>
    <t>Non-Energy Use in Transport sector</t>
  </si>
  <si>
    <t>B_101606</t>
  </si>
  <si>
    <t>Non-Energy Use in Other sectors</t>
  </si>
  <si>
    <t>B_101607</t>
  </si>
  <si>
    <t>Non-Energy Use in Industry, Transformation and Energy Sectors</t>
  </si>
  <si>
    <t>B_101608</t>
  </si>
  <si>
    <t>Final energy consumption</t>
  </si>
  <si>
    <t>B_101700</t>
  </si>
  <si>
    <t>Industry</t>
  </si>
  <si>
    <t>B_101800</t>
  </si>
  <si>
    <t>Iron &amp; steel industry</t>
  </si>
  <si>
    <t>B_101805</t>
  </si>
  <si>
    <t>Chemical and Petrochemical industry</t>
  </si>
  <si>
    <t>B_101815</t>
  </si>
  <si>
    <t>Non-ferrous metal industry</t>
  </si>
  <si>
    <t>B_101810</t>
  </si>
  <si>
    <t>Non-metallic Minerals (Glass, pottery &amp; building mat. Industry)</t>
  </si>
  <si>
    <t>B_101820</t>
  </si>
  <si>
    <t>Transport Equipment</t>
  </si>
  <si>
    <t>B_101846</t>
  </si>
  <si>
    <t>Machinery</t>
  </si>
  <si>
    <t>B_101847</t>
  </si>
  <si>
    <t>Mining and Quarrying</t>
  </si>
  <si>
    <t>B_101825</t>
  </si>
  <si>
    <t>Food and Tabacco</t>
  </si>
  <si>
    <t>B_101830</t>
  </si>
  <si>
    <t>Paper, Pulp and Print</t>
  </si>
  <si>
    <t>B_101840</t>
  </si>
  <si>
    <t>Wood and Wood Products</t>
  </si>
  <si>
    <t>B_101851</t>
  </si>
  <si>
    <t>Construction</t>
  </si>
  <si>
    <t>B_101852</t>
  </si>
  <si>
    <t>Textile and Leather</t>
  </si>
  <si>
    <t>B_101835</t>
  </si>
  <si>
    <t>Non-specified (Industry)</t>
  </si>
  <si>
    <t>B_101853</t>
  </si>
  <si>
    <t>Transport</t>
  </si>
  <si>
    <t>B_101900</t>
  </si>
  <si>
    <t>Rail</t>
  </si>
  <si>
    <t>B_101910</t>
  </si>
  <si>
    <t>Road</t>
  </si>
  <si>
    <t>B_101920</t>
  </si>
  <si>
    <t>International aviation</t>
  </si>
  <si>
    <t>B_101931</t>
  </si>
  <si>
    <t>Domestic aviation</t>
  </si>
  <si>
    <t>B_101932</t>
  </si>
  <si>
    <t>Domestic Navigation</t>
  </si>
  <si>
    <t>B_101940</t>
  </si>
  <si>
    <t>Pipeline transport</t>
  </si>
  <si>
    <t>B_101945</t>
  </si>
  <si>
    <t>Non-specified (Transport)</t>
  </si>
  <si>
    <t>B_101950</t>
  </si>
  <si>
    <t>Other Sectors</t>
  </si>
  <si>
    <t>B_102000</t>
  </si>
  <si>
    <t>Services</t>
  </si>
  <si>
    <t>B_102035</t>
  </si>
  <si>
    <t>Residential</t>
  </si>
  <si>
    <t>B_102010</t>
  </si>
  <si>
    <t>Agriculture / Forestry</t>
  </si>
  <si>
    <t>B_102030</t>
  </si>
  <si>
    <t>Fishing</t>
  </si>
  <si>
    <t>B_102020</t>
  </si>
  <si>
    <t>Non-specified (Other)</t>
  </si>
  <si>
    <t>B_102040</t>
  </si>
  <si>
    <t>Statistical differences</t>
  </si>
  <si>
    <t>B_102200</t>
  </si>
  <si>
    <t>Attribute</t>
  </si>
  <si>
    <t>PRC_RESID</t>
  </si>
  <si>
    <t>*Units:</t>
  </si>
  <si>
    <t>PRE</t>
  </si>
  <si>
    <t>Activity to Capacity Units</t>
  </si>
  <si>
    <t>ELE</t>
  </si>
  <si>
    <t>DEM</t>
  </si>
  <si>
    <t>Years</t>
  </si>
  <si>
    <t>Description</t>
  </si>
  <si>
    <t>ACT_BND</t>
  </si>
  <si>
    <t>COST</t>
  </si>
  <si>
    <t>PRC_CAPACT</t>
  </si>
  <si>
    <t>[0 - 1]</t>
  </si>
  <si>
    <t>ELCMLO</t>
  </si>
  <si>
    <t>Medium-Low Voltage electricity</t>
  </si>
  <si>
    <t>Units by Attribute and Sector</t>
  </si>
  <si>
    <t>Meaning</t>
  </si>
  <si>
    <t>Sector</t>
  </si>
  <si>
    <t>Units</t>
  </si>
  <si>
    <t>Equivalent</t>
  </si>
  <si>
    <t>COMEMI</t>
  </si>
  <si>
    <t>Emission Coefficient</t>
  </si>
  <si>
    <t>All</t>
  </si>
  <si>
    <t>Extraction cost/Import Cost/Export cost</t>
  </si>
  <si>
    <t>Mining</t>
  </si>
  <si>
    <t>Annual Bound</t>
  </si>
  <si>
    <t>Capacity to Activity</t>
  </si>
  <si>
    <t>BASE_YEAR</t>
  </si>
  <si>
    <t>END_YEAR</t>
  </si>
  <si>
    <t>Existing Capacity</t>
  </si>
  <si>
    <t>Energy/Unit - delivered/year</t>
  </si>
  <si>
    <t>Capacity</t>
  </si>
  <si>
    <t>GJ/kW</t>
  </si>
  <si>
    <t>Technical Lifetime</t>
  </si>
  <si>
    <t>PJ</t>
  </si>
  <si>
    <t>GW</t>
  </si>
  <si>
    <t>Generic processes</t>
  </si>
  <si>
    <t>Infrastructure for fuels Consumed in the Residential Sector</t>
  </si>
  <si>
    <t>Typologies:</t>
  </si>
  <si>
    <t>Year</t>
  </si>
  <si>
    <t>AF~FX</t>
  </si>
  <si>
    <t>AF~FX~0</t>
  </si>
  <si>
    <t>Life</t>
  </si>
  <si>
    <t>~FI_T: DEMAND</t>
  </si>
  <si>
    <t>000dwellings</t>
  </si>
  <si>
    <t>*Typology Name</t>
  </si>
  <si>
    <t xml:space="preserve">Output </t>
  </si>
  <si>
    <t>Code</t>
  </si>
  <si>
    <t>Base year</t>
  </si>
  <si>
    <t>Source</t>
  </si>
  <si>
    <t>E</t>
  </si>
  <si>
    <t>DMD</t>
  </si>
  <si>
    <t>Capacity unit</t>
  </si>
  <si>
    <t>~FI_T: INPUT</t>
  </si>
  <si>
    <t>Space Heating Demand per Dwelling</t>
  </si>
  <si>
    <t>PJ per 000dwellings</t>
  </si>
  <si>
    <t>Energy Service Demand</t>
  </si>
  <si>
    <t>Water Heating Demand per Dwelling</t>
  </si>
  <si>
    <t>Space Cooling Demand per Dwelling</t>
  </si>
  <si>
    <t>000units per 000dwellings</t>
  </si>
  <si>
    <t>Other Uses  per Dwelling</t>
  </si>
  <si>
    <t>000appliances</t>
  </si>
  <si>
    <t>MAT</t>
  </si>
  <si>
    <t>Indicators</t>
  </si>
  <si>
    <t>Space Heating</t>
  </si>
  <si>
    <t>Average Size (m2 per dwelling)</t>
  </si>
  <si>
    <t>Flow/Product</t>
  </si>
  <si>
    <t>Residential Base-year energy consumption from Energy Balance (PJ)</t>
  </si>
  <si>
    <t>Final energy consumption: Residential</t>
  </si>
  <si>
    <t>Total</t>
  </si>
  <si>
    <t>Type of Dwelling</t>
  </si>
  <si>
    <t>Space Cooling</t>
  </si>
  <si>
    <t>Water Heating</t>
  </si>
  <si>
    <t>Cooking</t>
  </si>
  <si>
    <t>Lighting</t>
  </si>
  <si>
    <t>Refrigerating</t>
  </si>
  <si>
    <t>Cloth Washing</t>
  </si>
  <si>
    <t>Dish Washing</t>
  </si>
  <si>
    <t>Other Appliances</t>
  </si>
  <si>
    <t>Dwelling Type / End Use</t>
  </si>
  <si>
    <t>Lookups</t>
  </si>
  <si>
    <t xml:space="preserve"> End Use</t>
  </si>
  <si>
    <t>Final Energy by Region, Type of Dwelling and End Use (PJ)</t>
  </si>
  <si>
    <t>~FI_T: Stock</t>
  </si>
  <si>
    <t>~FI_T: EFF</t>
  </si>
  <si>
    <t>~FI_T: PRC_CAPACT</t>
  </si>
  <si>
    <t>~FI_T: NCAP_AFA</t>
  </si>
  <si>
    <t>~FI_T: LIFE</t>
  </si>
  <si>
    <t>Residential Buildings: Space heating technologies</t>
  </si>
  <si>
    <t>*Technology Name</t>
  </si>
  <si>
    <t>Average Capaciy per Unit</t>
  </si>
  <si>
    <t>Check</t>
  </si>
  <si>
    <t>Useful Energy</t>
  </si>
  <si>
    <t>Callibration</t>
  </si>
  <si>
    <t>Final Energy Calculated</t>
  </si>
  <si>
    <t>Final Energy From En. Balance</t>
  </si>
  <si>
    <t xml:space="preserve"> (m2/dwelling)</t>
  </si>
  <si>
    <t>Residential Buildings: Space Cooling technologies</t>
  </si>
  <si>
    <t>RSDLTH</t>
  </si>
  <si>
    <t>Residential Buildings: Water heating technologies</t>
  </si>
  <si>
    <t>SH</t>
  </si>
  <si>
    <t>SC</t>
  </si>
  <si>
    <t>WH</t>
  </si>
  <si>
    <t>CK</t>
  </si>
  <si>
    <t>RF</t>
  </si>
  <si>
    <t>CW</t>
  </si>
  <si>
    <t>DW</t>
  </si>
  <si>
    <t>AP</t>
  </si>
  <si>
    <t>LI</t>
  </si>
  <si>
    <t>Residential Buildings: Cooking technologies</t>
  </si>
  <si>
    <t xml:space="preserve">Number of Units </t>
  </si>
  <si>
    <t>kW/device</t>
  </si>
  <si>
    <t>units/dwelling</t>
  </si>
  <si>
    <t>Residential Buildings: Lighting technologies</t>
  </si>
  <si>
    <t>000Appliances</t>
  </si>
  <si>
    <t>LED bulbs</t>
  </si>
  <si>
    <t>Standard light bulbs</t>
  </si>
  <si>
    <t>Fluorescent</t>
  </si>
  <si>
    <t>Halogen</t>
  </si>
  <si>
    <t>Residential Buildings: Refrigerating</t>
  </si>
  <si>
    <t>Residential Buildings: Cloth Washing</t>
  </si>
  <si>
    <t>Residential Buildings: Dish Washing</t>
  </si>
  <si>
    <t>Residential Buildings: Other Appliances</t>
  </si>
  <si>
    <t>IPCC Emission Factor Database (2006 Values)available at  https://www.ipcc-nggip.iges.or.jp/EFDB/find_ef.php</t>
  </si>
  <si>
    <t>Breakdown by Type of Dwelling</t>
  </si>
  <si>
    <t>GASNAT_HP</t>
  </si>
  <si>
    <t>High pressure natural gas</t>
  </si>
  <si>
    <t>GASNAT_MP</t>
  </si>
  <si>
    <t>Medium pressure natural gas</t>
  </si>
  <si>
    <t>GASNAT_LP</t>
  </si>
  <si>
    <t>Low pressure natural gas</t>
  </si>
  <si>
    <t>000s_Units</t>
  </si>
  <si>
    <t>SEASON</t>
  </si>
  <si>
    <t xml:space="preserve"> </t>
  </si>
  <si>
    <t>Clothes Washing</t>
  </si>
  <si>
    <t>~FI_T: STOCK</t>
  </si>
  <si>
    <t>Remaining Building Life</t>
  </si>
  <si>
    <t>Stk_Mult</t>
  </si>
  <si>
    <t>of which</t>
  </si>
  <si>
    <t>Coking coal</t>
  </si>
  <si>
    <t>Sub-bituminous coal</t>
  </si>
  <si>
    <t>Patent Fuels</t>
  </si>
  <si>
    <t>Gas coke</t>
  </si>
  <si>
    <t>Peat</t>
  </si>
  <si>
    <t>Peat products</t>
  </si>
  <si>
    <t>Oil shale &amp; oil sands</t>
  </si>
  <si>
    <t>Ethane</t>
  </si>
  <si>
    <t>Gasworks gas</t>
  </si>
  <si>
    <t>Other recovered gas</t>
  </si>
  <si>
    <t>Tide, wave and ocean</t>
  </si>
  <si>
    <t>Wood briquettes and pellets, and other vegetable waste</t>
  </si>
  <si>
    <t>Firewood</t>
  </si>
  <si>
    <t>Wood waste</t>
  </si>
  <si>
    <t>Agricultural waste</t>
  </si>
  <si>
    <t>Bio gasoline</t>
  </si>
  <si>
    <t>Bio jet kerosene</t>
  </si>
  <si>
    <t>Other liquid biofuels</t>
  </si>
  <si>
    <t>Nuclear heat</t>
  </si>
  <si>
    <t>Residential Building Stock per Typology, and per Region</t>
  </si>
  <si>
    <t>Breakdown by End Use,</t>
  </si>
  <si>
    <t xml:space="preserve">Fuel Tech -Diesel (RSD)  </t>
  </si>
  <si>
    <t xml:space="preserve">Fuel Tech -Liquified petroleum gas (RSD)  </t>
  </si>
  <si>
    <t xml:space="preserve">Fuel Tech -Wood (RSD)  </t>
  </si>
  <si>
    <t xml:space="preserve">Fuel Tech -Biogas (RSD)  </t>
  </si>
  <si>
    <t xml:space="preserve">Fuel Tech -Pellet (RSD)  </t>
  </si>
  <si>
    <t xml:space="preserve">Fuel Tech -Charcoal (RSD)  </t>
  </si>
  <si>
    <t xml:space="preserve">Fuel Tech -Solar Energy (RSD)  </t>
  </si>
  <si>
    <t xml:space="preserve">Fuel Tech -Geothermal Energy (RSD)  </t>
  </si>
  <si>
    <t xml:space="preserve">Fuel Tech -Electricity (RSD)  </t>
  </si>
  <si>
    <t>Energy Service Demands per dwelling for each residential Building type</t>
  </si>
  <si>
    <t>Space heating</t>
  </si>
  <si>
    <t>Wood Stove</t>
  </si>
  <si>
    <t>Final Energy Balance</t>
  </si>
  <si>
    <t>Space Cooling Penetration</t>
  </si>
  <si>
    <t>Penetration</t>
  </si>
  <si>
    <t>Coth Washing</t>
  </si>
  <si>
    <t>Appliances</t>
  </si>
  <si>
    <t>Penetration of Equipment</t>
  </si>
  <si>
    <t>Relative Consumption</t>
  </si>
  <si>
    <t>Average Annual</t>
  </si>
  <si>
    <t>Total Residential</t>
  </si>
  <si>
    <t>Check:</t>
  </si>
  <si>
    <t>Average Size</t>
  </si>
  <si>
    <t>Total Number of Dwellings</t>
  </si>
  <si>
    <t>Occupied Dwellings</t>
  </si>
  <si>
    <t>%</t>
  </si>
  <si>
    <t>Building Stock per typology - Occupied Dwellings</t>
  </si>
  <si>
    <t>Average Useful Energy Demand per total area (kWh/m2)</t>
  </si>
  <si>
    <t>Typology</t>
  </si>
  <si>
    <t>Calculated Space heating demand according to the energy balance</t>
  </si>
  <si>
    <t>Theoretical heating Demand assuming that all occupied dwellings are heating their total area to 20oC, 24h per day. Perfect Thermal Comfort Conditions.</t>
  </si>
  <si>
    <t>Unmet demand covered by a Dummy process</t>
  </si>
  <si>
    <t>Space heating Demand Calculations</t>
  </si>
  <si>
    <t>~FI_T: BNDACT</t>
  </si>
  <si>
    <t>Pja</t>
  </si>
  <si>
    <t>Theoretical</t>
  </si>
  <si>
    <t xml:space="preserve">Theoretical heating Demand assuming that all occupied dwellings are heating their total area to 20oC, 24h per day. Perfect Thermal Comfort Conditions. </t>
  </si>
  <si>
    <t>Heating Demand</t>
  </si>
  <si>
    <t>Final Energy consumption</t>
  </si>
  <si>
    <t>Average Useful Energy Demand  per total area (TJ/m2)</t>
  </si>
  <si>
    <t>Calculated from the Energy Balance</t>
  </si>
  <si>
    <r>
      <t xml:space="preserve">Average </t>
    </r>
    <r>
      <rPr>
        <b/>
        <u/>
        <sz val="11"/>
        <rFont val="Arial"/>
        <family val="2"/>
      </rPr>
      <t>Final Energy</t>
    </r>
    <r>
      <rPr>
        <b/>
        <sz val="11"/>
        <rFont val="Arial"/>
        <family val="2"/>
      </rPr>
      <t xml:space="preserve"> consumption per total area (kWh/m2)</t>
    </r>
  </si>
  <si>
    <t>Detached - Area1</t>
  </si>
  <si>
    <t>Detached - Area2</t>
  </si>
  <si>
    <t>Detached - Area3</t>
  </si>
  <si>
    <t>Detached - Area4</t>
  </si>
  <si>
    <t>RSD_DTA1</t>
  </si>
  <si>
    <t>RSD_APA1</t>
  </si>
  <si>
    <t>RSD_DTA2</t>
  </si>
  <si>
    <t>RSD_APA2</t>
  </si>
  <si>
    <t>RSD_DTA3</t>
  </si>
  <si>
    <t>RSD_APA3</t>
  </si>
  <si>
    <t>RSD_DTA4</t>
  </si>
  <si>
    <t>2017</t>
  </si>
  <si>
    <t>RSD_DTA1_SC_ELC_E01</t>
  </si>
  <si>
    <t>RSD_APA1_SC_ELC_E01</t>
  </si>
  <si>
    <t>RSD_DTA2_SC_ELC_E01</t>
  </si>
  <si>
    <t>RSD_APA2_SC_ELC_E01</t>
  </si>
  <si>
    <t>RSD_DTA3_SC_ELC_E01</t>
  </si>
  <si>
    <t>RSD_APA3_SC_ELC_E01</t>
  </si>
  <si>
    <t>RSD_DTA4_SC_ELC_E01</t>
  </si>
  <si>
    <t>RSD_APA4_SC_ELC_E01</t>
  </si>
  <si>
    <t>RSD_DTA1_CK_GAS_E01</t>
  </si>
  <si>
    <t>RSD_DTA1_CK_LPG_E01</t>
  </si>
  <si>
    <t>RSD_DTA1_CK_LOG_E01</t>
  </si>
  <si>
    <t>RSD_DTA1_CK_ELC_E01</t>
  </si>
  <si>
    <t>RSD_APA1_CK_GAS_E01</t>
  </si>
  <si>
    <t>RSD_APA1_CK_LPG_E01</t>
  </si>
  <si>
    <t>RSD_APA1_CK_LOG_E01</t>
  </si>
  <si>
    <t>RSD_APA1_CK_ELC_E01</t>
  </si>
  <si>
    <t>RSD_DTA2_CK_LOG_E01</t>
  </si>
  <si>
    <t>RSD_DTA2_CK_GAS_E01</t>
  </si>
  <si>
    <t>RSD_DTA2_CK_LPG_E01</t>
  </si>
  <si>
    <t>RSD_DTA2_CK_ELC_E01</t>
  </si>
  <si>
    <t>RSD_APA2_CK_LOG_E01</t>
  </si>
  <si>
    <t>RSD_APA2_CK_LPG_E01</t>
  </si>
  <si>
    <t>RSD_APA2_CK_GAS_E01</t>
  </si>
  <si>
    <t>RSD_APA2_CK_ELC_E01</t>
  </si>
  <si>
    <t>RSD_DTA3_CK_GAS_E01</t>
  </si>
  <si>
    <t>RSD_DTA3_CK_LPG_E01</t>
  </si>
  <si>
    <t>RSD_DTA3_CK_LOG_E01</t>
  </si>
  <si>
    <t>RSD_DTA3_CK_ELC_E01</t>
  </si>
  <si>
    <t>RSD_APA3_CK_GAS_E01</t>
  </si>
  <si>
    <t>RSD_APA3_CK_LPG_E01</t>
  </si>
  <si>
    <t>RSD_APA3_CK_LOG_E01</t>
  </si>
  <si>
    <t>RSD_APA3_CK_ELC_E01</t>
  </si>
  <si>
    <t>RSD_DTA4_CK_GAS_E01</t>
  </si>
  <si>
    <t>RSD_DTA4_CK_LPG_E01</t>
  </si>
  <si>
    <t>RSD_DTA4_CK_LOG_E01</t>
  </si>
  <si>
    <t>RSD_DTA4_CK_ELC_E01</t>
  </si>
  <si>
    <t>RSD_APA4_CK_GAS_E01</t>
  </si>
  <si>
    <t>RSD_APA4_CK_LPG_E01</t>
  </si>
  <si>
    <t>RSD_APA4_CK_LOG_E01</t>
  </si>
  <si>
    <t>RSD_APA4_CK_ELC_E01</t>
  </si>
  <si>
    <t>RSD_DTA1_LI_E01</t>
  </si>
  <si>
    <t>RSD_DTA1_LI_E02</t>
  </si>
  <si>
    <t>RSD_DTA1_LI_E03</t>
  </si>
  <si>
    <t>RSD_DTA1_LI_E04</t>
  </si>
  <si>
    <t>RSD_APA1_LI_E01</t>
  </si>
  <si>
    <t>RSD_APA1_LI_E02</t>
  </si>
  <si>
    <t>RSD_APA1_LI_E03</t>
  </si>
  <si>
    <t>RSD_APA1_LI_E04</t>
  </si>
  <si>
    <t>RSD_DTA2_LI_E01</t>
  </si>
  <si>
    <t>RSD_DTA2_LI_E02</t>
  </si>
  <si>
    <t>RSD_DTA2_LI_E03</t>
  </si>
  <si>
    <t>RSD_DTA2_LI_E04</t>
  </si>
  <si>
    <t>RSD_APA2_LI_E01</t>
  </si>
  <si>
    <t>RSD_APA2_LI_E02</t>
  </si>
  <si>
    <t>RSD_APA2_LI_E03</t>
  </si>
  <si>
    <t>RSD_APA2_LI_E04</t>
  </si>
  <si>
    <t>RSD_DTA3_LI_E01</t>
  </si>
  <si>
    <t>RSD_DTA3_LI_E02</t>
  </si>
  <si>
    <t>RSD_DTA3_LI_E03</t>
  </si>
  <si>
    <t>RSD_DTA3_LI_E04</t>
  </si>
  <si>
    <t>RSD_APA3_LI_E01</t>
  </si>
  <si>
    <t>RSD_APA3_LI_E02</t>
  </si>
  <si>
    <t>RSD_APA3_LI_E03</t>
  </si>
  <si>
    <t>RSD_APA3_LI_E04</t>
  </si>
  <si>
    <t>RSD_DTA4_LI_E01</t>
  </si>
  <si>
    <t>RSD_DTA4_LI_E02</t>
  </si>
  <si>
    <t>RSD_DTA4_LI_E03</t>
  </si>
  <si>
    <t>RSD_DTA4_LI_E04</t>
  </si>
  <si>
    <t>RSD_APA4_LI_E01</t>
  </si>
  <si>
    <t>RSD_APA4_LI_E02</t>
  </si>
  <si>
    <t>RSD_APA4_LI_E03</t>
  </si>
  <si>
    <t>RSD_APA4_LI_E04</t>
  </si>
  <si>
    <t>RSD_DTA1_RF_E01</t>
  </si>
  <si>
    <t>RSD_APA1_RF_E01</t>
  </si>
  <si>
    <t>RSD_DTA1_CW_E01</t>
  </si>
  <si>
    <t>RSD_APA1_CW_E01</t>
  </si>
  <si>
    <t>RSD_DTA1_DW_E01</t>
  </si>
  <si>
    <t>RSD_APA1_DW_E01</t>
  </si>
  <si>
    <t>RSD_DTA1_AP_E01</t>
  </si>
  <si>
    <t>RSD_APA1_AP_E01</t>
  </si>
  <si>
    <t>RSD_DTA2_RF_E01</t>
  </si>
  <si>
    <t>RSD_APA2_RF_E01</t>
  </si>
  <si>
    <t>RSD_DTA2_CW_E01</t>
  </si>
  <si>
    <t>RSD_APA2_CW_E01</t>
  </si>
  <si>
    <t>RSD_DTA2_DW_E01</t>
  </si>
  <si>
    <t>RSD_APA2_DW_E01</t>
  </si>
  <si>
    <t>RSD_DTA2_AP_E01</t>
  </si>
  <si>
    <t>RSD_APA2_AP_E01</t>
  </si>
  <si>
    <t>RSD_DTA3_RF_E01</t>
  </si>
  <si>
    <t>RSD_APA3_RF_E01</t>
  </si>
  <si>
    <t>RSD_DTA3_CW_E01</t>
  </si>
  <si>
    <t>RSD_APA3_CW_E01</t>
  </si>
  <si>
    <t>RSD_DTA3_DW_E01</t>
  </si>
  <si>
    <t>RSD_APA3_DW_E01</t>
  </si>
  <si>
    <t>RSD_DTA3_AP_E01</t>
  </si>
  <si>
    <t>RSD_APA3_AP_E01</t>
  </si>
  <si>
    <t>RSD_DTA4_RF_E01</t>
  </si>
  <si>
    <t>RSD_APA4_RF_E01</t>
  </si>
  <si>
    <t>RSD_DTA4_CW_E01</t>
  </si>
  <si>
    <t>RSD_APA4_CW_E01</t>
  </si>
  <si>
    <t>RSD_DTA4_DW_E01</t>
  </si>
  <si>
    <t>RSD_APA4_DW_E01</t>
  </si>
  <si>
    <t>RSD_DTA4_AP_E01</t>
  </si>
  <si>
    <t>RSD_APA4_AP_E01</t>
  </si>
  <si>
    <t>RSD_DTA1_SH_GAS_E01</t>
  </si>
  <si>
    <t>RSD_DTA1_SH_LTH_E01</t>
  </si>
  <si>
    <t>RSD_DTA1_SH_LOG_E01</t>
  </si>
  <si>
    <t>RSD_DTA1_SH_ELC_E01</t>
  </si>
  <si>
    <t>RSD_DTA1_SH_LPG_E01</t>
  </si>
  <si>
    <t>RSD_APA1_SH_GAS_E01</t>
  </si>
  <si>
    <t>RSD_APA1_SH_LTH_E01</t>
  </si>
  <si>
    <t>RSD_APA1_SH_LOG_E01</t>
  </si>
  <si>
    <t>RSD_APA1_SH_ELC_E01</t>
  </si>
  <si>
    <t>RSD_APA1_SH_LPG_E01</t>
  </si>
  <si>
    <t>RSD_DTA2_SH_GAS_E01</t>
  </si>
  <si>
    <t>RSD_DTA2_SH_LTH_E01</t>
  </si>
  <si>
    <t>RSD_DTA2_SH_LOG_E01</t>
  </si>
  <si>
    <t>RSD_DTA2_SH_ELC_E01</t>
  </si>
  <si>
    <t>RSD_DTA2_SH_LPG_E01</t>
  </si>
  <si>
    <t>RSD_APA2_SH_GAS_E01</t>
  </si>
  <si>
    <t>RSD_APA2_SH_LTH_E01</t>
  </si>
  <si>
    <t>RSD_APA2_SH_LOG_E01</t>
  </si>
  <si>
    <t>RSD_APA2_SH_ELC_E01</t>
  </si>
  <si>
    <t>RSD_APA2_SH_LPG_E01</t>
  </si>
  <si>
    <t>RSD_DTA3_SH_GAS_E01</t>
  </si>
  <si>
    <t>RSD_DTA3_SH_LTH_E01</t>
  </si>
  <si>
    <t>RSD_DTA3_SH_LOG_E01</t>
  </si>
  <si>
    <t>RSD_DTA3_SH_ELC_E01</t>
  </si>
  <si>
    <t>RSD_DTA3_SH_LPG_E01</t>
  </si>
  <si>
    <t>RSD_APA3_SH_GAS_E01</t>
  </si>
  <si>
    <t>RSD_APA3_SH_LTH_E01</t>
  </si>
  <si>
    <t>RSD_APA3_SH_LOG_E01</t>
  </si>
  <si>
    <t>RSD_APA3_SH_ELC_E01</t>
  </si>
  <si>
    <t>RSD_APA3_SH_LPG_E01</t>
  </si>
  <si>
    <t>RSD_DTA4_SH_GAS_E01</t>
  </si>
  <si>
    <t>RSD_DTA4_SH_LTH_E01</t>
  </si>
  <si>
    <t>RSD_DTA4_SH_LOG_E01</t>
  </si>
  <si>
    <t>RSD_DTA4_SH_ELC_E01</t>
  </si>
  <si>
    <t>RSD_DTA4_SH_LPG_E01</t>
  </si>
  <si>
    <t>RSD_APA4_SH_GAS_E01</t>
  </si>
  <si>
    <t>RSD_APA4_SH_LTH_E01</t>
  </si>
  <si>
    <t>RSD_APA4_SH_LOG_E01</t>
  </si>
  <si>
    <t>RSD_APA4_SH_ELC_E01</t>
  </si>
  <si>
    <t>RSD_APA4_SH_LPG_E01</t>
  </si>
  <si>
    <t>RSD_DTA4_WH_GAS_E01</t>
  </si>
  <si>
    <t>RSD_DTA4_WH_LTH_E01</t>
  </si>
  <si>
    <t>RSD_DTA4_WH_LPG_E01</t>
  </si>
  <si>
    <t>RSD_DTA4_WH_LOG_E01</t>
  </si>
  <si>
    <t>RSD_DTA4_WH_ELC_E01</t>
  </si>
  <si>
    <t>RSD_APA4_WH_GAS_E01</t>
  </si>
  <si>
    <t>RSD_APA4_WH_LTH_E01</t>
  </si>
  <si>
    <t>RSD_APA4_WH_LPG_E01</t>
  </si>
  <si>
    <t>RSD_APA4_WH_LOG_E01</t>
  </si>
  <si>
    <t>RSD_APA4_WH_ELC_E01</t>
  </si>
  <si>
    <t>RSD_DTA3_WH_GAS_E01</t>
  </si>
  <si>
    <t>RSD_DTA3_WH_LTH_E01</t>
  </si>
  <si>
    <t>RSD_DTA3_WH_LPG_E01</t>
  </si>
  <si>
    <t>RSD_DTA3_WH_LOG_E01</t>
  </si>
  <si>
    <t>RSD_DTA3_WH_ELC_E01</t>
  </si>
  <si>
    <t>RSD_APA3_WH_GAS_E01</t>
  </si>
  <si>
    <t>RSD_APA3_WH_LTH_E01</t>
  </si>
  <si>
    <t>RSD_APA3_WH_LPG_E01</t>
  </si>
  <si>
    <t>RSD_APA3_WH_LOG_E01</t>
  </si>
  <si>
    <t>RSD_APA3_WH_ELC_E01</t>
  </si>
  <si>
    <t>RSD_DTA2_WH_GAS_E01</t>
  </si>
  <si>
    <t>RSD_DTA2_WH_LTH_E01</t>
  </si>
  <si>
    <t>RSD_DTA2_WH_LPG_E01</t>
  </si>
  <si>
    <t>RSD_DTA2_WH_LOG_E01</t>
  </si>
  <si>
    <t>RSD_DTA2_WH_ELC_E01</t>
  </si>
  <si>
    <t>RSD_APA2_WH_GAS_E01</t>
  </si>
  <si>
    <t>RSD_APA2_WH_LTH_E01</t>
  </si>
  <si>
    <t>RSD_APA2_WH_LPG_E01</t>
  </si>
  <si>
    <t>RSD_APA2_WH_LOG_E01</t>
  </si>
  <si>
    <t>RSD_APA2_WH_ELC_E01</t>
  </si>
  <si>
    <t>RSD_DTA1_WH_GAS_E01</t>
  </si>
  <si>
    <t>RSD_DTA1_WH_LTH_E01</t>
  </si>
  <si>
    <t>RSD_DTA1_WH_LPG_E01</t>
  </si>
  <si>
    <t>RSD_DTA1_WH_LOG_E01</t>
  </si>
  <si>
    <t>RSD_DTA1_WH_ELC_E01</t>
  </si>
  <si>
    <t>RSD_APA1_WH_GAS_E01</t>
  </si>
  <si>
    <t>RSD_APA1_WH_LTH_E01</t>
  </si>
  <si>
    <t>RSD_APA1_WH_LPG_E01</t>
  </si>
  <si>
    <t>RSD_APA1_WH_LOG_E01</t>
  </si>
  <si>
    <t>RSD_APA1_WH_ELC_E01</t>
  </si>
  <si>
    <t>Detached A1 Light Standard  (E)|</t>
  </si>
  <si>
    <t>Detached A1 Light Fluorescent  (E)|</t>
  </si>
  <si>
    <t>Detached A1 Light LED  (E)|</t>
  </si>
  <si>
    <t>Detached A1 Light Halogen  (E)|</t>
  </si>
  <si>
    <t>Detached A2  Light Standard  (E)|</t>
  </si>
  <si>
    <t>Detached A2  Light Fluorescent  (E)|</t>
  </si>
  <si>
    <t>Detached A2  Light LED  (E)|</t>
  </si>
  <si>
    <t>Detached A2  Light Halogen  (E)|</t>
  </si>
  <si>
    <t>Detached A3  Light Standard  (E)|</t>
  </si>
  <si>
    <t>Detached A3  Light Fluorescent  (E)|</t>
  </si>
  <si>
    <t>Detached A3  Light LED  (E)|</t>
  </si>
  <si>
    <t>Detached A3  Light Halogen  (E)|</t>
  </si>
  <si>
    <t>Detached A4  Light Standard  (E)|</t>
  </si>
  <si>
    <t>Detached A4  Light Fluorescent  (E)|</t>
  </si>
  <si>
    <t>Detached A4  Light LED  (E)|</t>
  </si>
  <si>
    <t>Detached A4  Light Halogen  (E)|</t>
  </si>
  <si>
    <t>Detached A1 Refrigerating (E)|</t>
  </si>
  <si>
    <t>Detached A1 Cloth Washing (E)|</t>
  </si>
  <si>
    <t>Detached A1 Dish Washing (E)|</t>
  </si>
  <si>
    <t>Detached A1 Other Appliances (E)|</t>
  </si>
  <si>
    <t>Detached A2 Refrigerating (E)|</t>
  </si>
  <si>
    <t>Detached A2 Cloth Washing (E)|</t>
  </si>
  <si>
    <t>Detached A2 Dish Washing (E)|</t>
  </si>
  <si>
    <t>Detached A2 Other Appliances (E)|</t>
  </si>
  <si>
    <t>Detached A3 Refrigerating (E)|</t>
  </si>
  <si>
    <t>Detached A3 Cloth Washing (E)|</t>
  </si>
  <si>
    <t>Detached A3 Dish Washing (E)|</t>
  </si>
  <si>
    <t>Detached A3 Other Appliances (E)|</t>
  </si>
  <si>
    <t>Detached A4 Refrigerating (E)|</t>
  </si>
  <si>
    <t>Detached A4 Cloth Washing (E)|</t>
  </si>
  <si>
    <t>Detached A4 Dish Washing (E)|</t>
  </si>
  <si>
    <t>Detached A4 Other Appliances (E)|</t>
  </si>
  <si>
    <t>~FI_T: NCAP_AFA~2018</t>
  </si>
  <si>
    <t>Bituminous coal</t>
  </si>
  <si>
    <t>COASUB</t>
  </si>
  <si>
    <t>COABCO</t>
  </si>
  <si>
    <t>BrownCoal/Lignite</t>
  </si>
  <si>
    <t>RSDCOASUB</t>
  </si>
  <si>
    <t>Bituminous coal (RSD)</t>
  </si>
  <si>
    <t>Sub-bituminous coal (RSD)</t>
  </si>
  <si>
    <t>BrownCoal/Lignite (RSD)</t>
  </si>
  <si>
    <t>Detached A1 Light Standard  (E)</t>
  </si>
  <si>
    <t>Detached A1 Light Fluorescent  (E)</t>
  </si>
  <si>
    <t>Detached A1 Light LED  (E)</t>
  </si>
  <si>
    <t>Detached A1 Light Halogen  (E)</t>
  </si>
  <si>
    <t>Detached A2  Light Standard  (E)</t>
  </si>
  <si>
    <t>Detached A2  Light Fluorescent  (E)</t>
  </si>
  <si>
    <t>Detached A2  Light LED  (E)</t>
  </si>
  <si>
    <t>Detached A2  Light Halogen  (E)</t>
  </si>
  <si>
    <t>Detached A3  Light Standard  (E)</t>
  </si>
  <si>
    <t>Detached A3  Light Fluorescent  (E)</t>
  </si>
  <si>
    <t>Detached A3  Light LED  (E)</t>
  </si>
  <si>
    <t>Detached A3  Light Halogen  (E)</t>
  </si>
  <si>
    <t>Detached A4  Light Standard  (E)</t>
  </si>
  <si>
    <t>Detached A4  Light Fluorescent  (E)</t>
  </si>
  <si>
    <t>Detached A4  Light LED  (E)</t>
  </si>
  <si>
    <t>Detached A4  Light Halogen  (E)</t>
  </si>
  <si>
    <t>Detached A4 SpHeat Coal Stove (E)</t>
  </si>
  <si>
    <t>Detached A4 SpHeat Gas Boiler (E)</t>
  </si>
  <si>
    <t>Detached A4 SpHeat Dist. Heat (E)</t>
  </si>
  <si>
    <t>Detached A4 SpHeat Electric Heater (E)</t>
  </si>
  <si>
    <t>Detached A4 SpHeat LPG Boiler (E)</t>
  </si>
  <si>
    <t>Detached A1 SpHeat Coal Stove (E)</t>
  </si>
  <si>
    <t>Detached A1 SpHeat Gas Boiler (E)</t>
  </si>
  <si>
    <t>Detached A1 SpHeat Dist. Heat (E)</t>
  </si>
  <si>
    <t>Detached A1 SpHeat Electric Heater (E)</t>
  </si>
  <si>
    <t>Detached A1 SpHeat LPG Boiler (E)</t>
  </si>
  <si>
    <t>Detached A2 SpHeat Coal Stove (E)</t>
  </si>
  <si>
    <t>Detached A2 SpHeat Gas Boiler (E)</t>
  </si>
  <si>
    <t>Detached A2 SpHeat Dist. Heat (E)</t>
  </si>
  <si>
    <t>Detached A2 SpHeat Electric Heater (E)</t>
  </si>
  <si>
    <t>Detached A2 SpHeat LPG Boiler (E)</t>
  </si>
  <si>
    <t>Detached A3 SpHeat Coal Stove (E)</t>
  </si>
  <si>
    <t>Detached A3 SpHeat Gas Boiler (E)</t>
  </si>
  <si>
    <t>Detached A3 SpHeat Dist. Heat (E)</t>
  </si>
  <si>
    <t>Detached A3 SpHeat Electric Heater (E)</t>
  </si>
  <si>
    <t>Detached A3 SpHeat LPG Boiler (E)</t>
  </si>
  <si>
    <t>Apartment A1 SpHeat Coal Stove (E)</t>
  </si>
  <si>
    <t>Apartment A1 SpHeat Gas Boiler (E)</t>
  </si>
  <si>
    <t>Apartment A1 SpHeat Dist. Heat (E)</t>
  </si>
  <si>
    <t>Apartment A1 SpHeat Electric Heater (E)</t>
  </si>
  <si>
    <t>Apartment A1 Standing SpHeat LPG Boiler (E)</t>
  </si>
  <si>
    <t>Apartment A2 SpHeat Coal Stove (E)</t>
  </si>
  <si>
    <t>Apartment A2 SpHeat Gas Boiler (E)</t>
  </si>
  <si>
    <t>Apartment A2 SpHeat Dist. Heat (E)</t>
  </si>
  <si>
    <t>Apartment A2 SpHeat Electric Heater (E)</t>
  </si>
  <si>
    <t>Apartment A2 SpHeat LPG Boiler (E)</t>
  </si>
  <si>
    <t>Apartment A3 SpHeat Coal Stove (E)</t>
  </si>
  <si>
    <t>Apartment A3 SpHeat Gas Boiler (E)</t>
  </si>
  <si>
    <t>Apartment A3 SpHeat Dist. Heat (E)</t>
  </si>
  <si>
    <t>Apartment A3 SpHeat Electric Heater (E)</t>
  </si>
  <si>
    <t>Apartment A3 SpHeat LPG Boiler (E)</t>
  </si>
  <si>
    <t>Apartment A4 SpHeat Coal Stove (E)</t>
  </si>
  <si>
    <t>Apartment A4 SpHeat Gas Boiler (E)</t>
  </si>
  <si>
    <t>Apartment A4 SpHeat Dist. Heat (E)</t>
  </si>
  <si>
    <t>Apartment A4 SpHeat Electric Heater (E)</t>
  </si>
  <si>
    <t>Apartment A4 SpHeat LPG Boiler (E)</t>
  </si>
  <si>
    <t>Apartment A1  Light Standard  (E)</t>
  </si>
  <si>
    <t>Apartment A1  Light Fluorescent  (E)</t>
  </si>
  <si>
    <t>Apartment A1  Light LED  (E)</t>
  </si>
  <si>
    <t>Apartment A1  Light Halogen  (E)</t>
  </si>
  <si>
    <t>Apartment A2   Light Standard  (E)</t>
  </si>
  <si>
    <t>Apartment A2   Light Fluorescent  (E)</t>
  </si>
  <si>
    <t>Apartment A2   Light LED  (E)</t>
  </si>
  <si>
    <t>Apartment A2   Light Halogen  (E)</t>
  </si>
  <si>
    <t>Apartment A3  Light Standard  (E)</t>
  </si>
  <si>
    <t>Apartment A3  Light Fluorescent  (E)</t>
  </si>
  <si>
    <t>Apartment A3  Light LED  (E)</t>
  </si>
  <si>
    <t>Apartment A3  Light Halogen  (E)</t>
  </si>
  <si>
    <t>Apartment A4  Light Standard  (E)</t>
  </si>
  <si>
    <t>Apartment A4  Light Fluorescent  (E)</t>
  </si>
  <si>
    <t>Apartment A4  Light LED  (E)</t>
  </si>
  <si>
    <t>Apartment A4  Light Halogen  (E)</t>
  </si>
  <si>
    <t>RSD_DW_DTA1</t>
  </si>
  <si>
    <t>RSD_DW_APA1</t>
  </si>
  <si>
    <t>Detached A1 SpCool A/C (E)</t>
  </si>
  <si>
    <t>Apartment A1 SpCool A/C (E)</t>
  </si>
  <si>
    <t>Detached A4 SpCool A/C (E)</t>
  </si>
  <si>
    <t>Apartment A4 SpCool A/C  (E)</t>
  </si>
  <si>
    <t>Apartment A2 SpCool A/C  (E)</t>
  </si>
  <si>
    <t>Detached A3 SpCool A/C (E)</t>
  </si>
  <si>
    <t>Apartment A3 SpCool A/C  (E)</t>
  </si>
  <si>
    <t>Detached - A1 Space Heating</t>
  </si>
  <si>
    <t>Apartment - A1 Space Heating</t>
  </si>
  <si>
    <t>Detached - A1 Water Heating</t>
  </si>
  <si>
    <t>Apartment - A1 Water Heating</t>
  </si>
  <si>
    <t>Detached - A1 Space Cooling</t>
  </si>
  <si>
    <t>Apartment - A1 Space Cooling</t>
  </si>
  <si>
    <t>Detached - A1 Cooking</t>
  </si>
  <si>
    <t>Apartment - A1 Cooking</t>
  </si>
  <si>
    <t>Detached - A1 Lighting</t>
  </si>
  <si>
    <t>Apartment - A1 Lighting</t>
  </si>
  <si>
    <t>Detached - A1 Refrigerating</t>
  </si>
  <si>
    <t>Apartment - A1 Refrigerating</t>
  </si>
  <si>
    <t>Detached - A1 Cloth Washing</t>
  </si>
  <si>
    <t>Apartment - A1 Cloth Washing</t>
  </si>
  <si>
    <t>Detached - A1 Dish Washing</t>
  </si>
  <si>
    <t>Apartment - A1 Dish Washing</t>
  </si>
  <si>
    <t>Detached - A1 Other Appliances</t>
  </si>
  <si>
    <t>Apartment - A1 Other Appliances</t>
  </si>
  <si>
    <t>Detached - A2 Space Heating</t>
  </si>
  <si>
    <t>Apartment - A2 Space Heating</t>
  </si>
  <si>
    <t>Detached - A2 Water Heating</t>
  </si>
  <si>
    <t>Apartment - A2 Water Heating</t>
  </si>
  <si>
    <t>Detached - A2 Space Cooling</t>
  </si>
  <si>
    <t>Apartment - A2 Space Cooling</t>
  </si>
  <si>
    <t>Detached - A2 Cooking</t>
  </si>
  <si>
    <t>Apartment - A2 Cooking</t>
  </si>
  <si>
    <t>Detached - A2 Lighting</t>
  </si>
  <si>
    <t>Apartment - A2 Lighting</t>
  </si>
  <si>
    <t>Detached - A2 Refrigerating</t>
  </si>
  <si>
    <t>Apartment - A2 Refrigerating</t>
  </si>
  <si>
    <t>Detached - A2 Cloth Washing</t>
  </si>
  <si>
    <t>Apartment - A2 Cloth Washing</t>
  </si>
  <si>
    <t>Detached - A2 Dish Washing</t>
  </si>
  <si>
    <t>Apartment - A2 Dish Washing</t>
  </si>
  <si>
    <t>Detached - A2 Other Appliances</t>
  </si>
  <si>
    <t>Apartment - A2 Other Appliances</t>
  </si>
  <si>
    <t>Detached - A3 Space Heating</t>
  </si>
  <si>
    <t>Apartment-A3 Space Heating</t>
  </si>
  <si>
    <t>Detached - A3 Water Heating</t>
  </si>
  <si>
    <t>Apartment-A3 Water Heating</t>
  </si>
  <si>
    <t>Detached - A3 Space Cooling</t>
  </si>
  <si>
    <t>Detached - A3 Cooking</t>
  </si>
  <si>
    <t>Apartment-A3 Cooking</t>
  </si>
  <si>
    <t>Apartment-A3 Lighting</t>
  </si>
  <si>
    <t>Detached - A3 Lighting</t>
  </si>
  <si>
    <t>Detached - A3 Refrigerating</t>
  </si>
  <si>
    <t>Apartment-A3 Refrigerating</t>
  </si>
  <si>
    <t>Detached - A3 Cloth Washing</t>
  </si>
  <si>
    <t>Apartment-A3 Cloth Washing</t>
  </si>
  <si>
    <t>Detached - A3 Dish Washing</t>
  </si>
  <si>
    <t>Apartment-A3 Dish Washing</t>
  </si>
  <si>
    <t>Detached - A3 Other Appliances</t>
  </si>
  <si>
    <t>Apartment-A3 Other Appliances</t>
  </si>
  <si>
    <t>Detached - A4 Space Heating</t>
  </si>
  <si>
    <t>Apartment-A4 Space Heating</t>
  </si>
  <si>
    <t>Detached - A4 Water Heating</t>
  </si>
  <si>
    <t>Apartment-A4 Water Heating</t>
  </si>
  <si>
    <t>Detached - A4 Space Cooling</t>
  </si>
  <si>
    <t>Apartment-A4 Space Cooling</t>
  </si>
  <si>
    <t>Detached - A4 Cooking</t>
  </si>
  <si>
    <t>Apartment-A4 Cooking</t>
  </si>
  <si>
    <t>Detached - A4 Lighting</t>
  </si>
  <si>
    <t>Apartment-A4 Lighting</t>
  </si>
  <si>
    <t>Detached - A4 Refrigerating</t>
  </si>
  <si>
    <t>Apartment-A4 Refrigerating</t>
  </si>
  <si>
    <t>Detached - A4 Cloth Washing</t>
  </si>
  <si>
    <t>Apartment-A4 Cloth Washing</t>
  </si>
  <si>
    <t>Detached - A4 Dish Washing</t>
  </si>
  <si>
    <t>Apartment-A4 Dish Washing</t>
  </si>
  <si>
    <t>Detached - A4 Other Appliances</t>
  </si>
  <si>
    <t>Apartment-A4 Other Appliances</t>
  </si>
  <si>
    <t xml:space="preserve">Fuel Tech -Bituminous (RSD)  </t>
  </si>
  <si>
    <t>RSDCOABIC</t>
  </si>
  <si>
    <t>RSDCOABCO</t>
  </si>
  <si>
    <t xml:space="preserve">Fuel Tech -BrownCoal/Lignite (RSD)  </t>
  </si>
  <si>
    <t>Apartment - Area1</t>
  </si>
  <si>
    <t>Apartment - Area2</t>
  </si>
  <si>
    <t>Apartment - Area3</t>
  </si>
  <si>
    <t>RSD_DTA1_SH_BIC_E01</t>
  </si>
  <si>
    <t>RSD_APA1_SH_BIC_E01</t>
  </si>
  <si>
    <t>RSD_DTA2_SH_BIC_E01</t>
  </si>
  <si>
    <t>RSD_DTA2_SH_BCO_E01</t>
  </si>
  <si>
    <t>RSD_APA2_SH_BIC_E01</t>
  </si>
  <si>
    <t>RSD_APA2_SH_BCO_E01</t>
  </si>
  <si>
    <t>RSD_DTA3_SH_BIC_E01</t>
  </si>
  <si>
    <t>RSD_DTA3_SH_BCO_E01</t>
  </si>
  <si>
    <t>RSD_APA3_SH_BIC_E01</t>
  </si>
  <si>
    <t>RSD_APA3_SH_BCO_E01</t>
  </si>
  <si>
    <t>RSD_DTA4_SH_BIC_E01</t>
  </si>
  <si>
    <t>RSD_DTA4_SH_BCO_E01</t>
  </si>
  <si>
    <t>RSD_APA4_SH_BIC_E01</t>
  </si>
  <si>
    <t>RSD_APA4_SH_BCO_E01</t>
  </si>
  <si>
    <t>RSD_DTA1_WH_BIC_E01</t>
  </si>
  <si>
    <t>RSD_APA1_WH_BIC_E01</t>
  </si>
  <si>
    <t>RSD_DTA2_WH_BIC_E01</t>
  </si>
  <si>
    <t>RSD_APA2_WH_BIC_E01</t>
  </si>
  <si>
    <t>RSD_DTA3_WH_BIC_E01</t>
  </si>
  <si>
    <t>RSD_APA3_WH_BIC_E01</t>
  </si>
  <si>
    <t>RSD_DTA4_WH_BIC_E01</t>
  </si>
  <si>
    <t>RSD_APA4_WH_BIC_E01</t>
  </si>
  <si>
    <t>Detached A2 SpHeat BCO Stove (E)</t>
  </si>
  <si>
    <t>Apartment A2 SpHeat BCO Stove (E)</t>
  </si>
  <si>
    <t>Detached A3 SpHeat BCO Stove (E)</t>
  </si>
  <si>
    <t>Apartment A3 SpHeat BCO Stove (E)</t>
  </si>
  <si>
    <t>Detached A4 SpHeat BCO Stove (E)</t>
  </si>
  <si>
    <t>Apartment A4 SpHeat BCO Stove (E)</t>
  </si>
  <si>
    <t>Apartment A1  Light Standard  (E)|</t>
  </si>
  <si>
    <t>Apartment A1  Light Fluorescent  (E)|</t>
  </si>
  <si>
    <t>Apartment A1  Light LED  (E)|</t>
  </si>
  <si>
    <t>Apartment A1  Light Halogen  (E)|</t>
  </si>
  <si>
    <t>Apartment A2   Light Standard  (E)|</t>
  </si>
  <si>
    <t>Apartment A2   Light Fluorescent  (E)|</t>
  </si>
  <si>
    <t>Apartment A2   Light LED  (E)|</t>
  </si>
  <si>
    <t>Apartment A2   Light Halogen  (E)|</t>
  </si>
  <si>
    <t>Apartment A3  Light Standard  (E)|</t>
  </si>
  <si>
    <t>Apartment A3  Light Fluorescent  (E)|</t>
  </si>
  <si>
    <t>Apartment A3  Light LED  (E)|</t>
  </si>
  <si>
    <t>Apartment A3  Light Halogen  (E)|</t>
  </si>
  <si>
    <t>Apartment A4  Light Standard  (E)|</t>
  </si>
  <si>
    <t>Apartment A4  Light Fluorescent  (E)|</t>
  </si>
  <si>
    <t>Apartment A4  Light LED  (E)|</t>
  </si>
  <si>
    <t>Apartment A4  Light Halogen  (E)|</t>
  </si>
  <si>
    <t>Apartment A1 Refrigerating (E)|</t>
  </si>
  <si>
    <t>Apartment A2  Refrigerating (E)|</t>
  </si>
  <si>
    <t>Apartment A3 Refrigerating (E)|</t>
  </si>
  <si>
    <t>Apartment A4 Refrigerating (E)|</t>
  </si>
  <si>
    <t>Apartment A1 Cloth Washing (E)|</t>
  </si>
  <si>
    <t>Apartment A2  Cloth Washing (E)|</t>
  </si>
  <si>
    <t>Apartment A3 Cloth Washing (E)|</t>
  </si>
  <si>
    <t>Apartment A4 Cloth Washing (E)|</t>
  </si>
  <si>
    <t>Apartment A1 Dish Washing (E)|</t>
  </si>
  <si>
    <t>Apartment A2  Dish Washing (E)|</t>
  </si>
  <si>
    <t>Apartment A3 Dish Washing (E)|</t>
  </si>
  <si>
    <t>Apartment A4 Dish Washing (E)|</t>
  </si>
  <si>
    <t>Apartment A1 Other Appliances (E)|</t>
  </si>
  <si>
    <t>Apartment A2  Other Appliances (E)|</t>
  </si>
  <si>
    <t>Apartment A3 Other Appliances (E)|</t>
  </si>
  <si>
    <t>Apartment A4 Other Appliances (E)|</t>
  </si>
  <si>
    <t>ktoe</t>
  </si>
  <si>
    <t>RSDCOABKB</t>
  </si>
  <si>
    <t>M$</t>
  </si>
  <si>
    <t>$/GJ</t>
  </si>
  <si>
    <t>$/GJ/a</t>
  </si>
  <si>
    <t xml:space="preserve">Fuel Tech -Natural Gas (RSD) - Dense  </t>
  </si>
  <si>
    <t xml:space="preserve">Fuel Tech -Natural Gas (RSD) - Medium  </t>
  </si>
  <si>
    <t xml:space="preserve">Fuel Tech -Natural Gas (RSD) - Sparse  </t>
  </si>
  <si>
    <t xml:space="preserve">Fuel Tech -Natural Gas (RSD) - Dense New  </t>
  </si>
  <si>
    <t xml:space="preserve">Fuel Tech -Natural Gas (RSD) - Medium New  </t>
  </si>
  <si>
    <t xml:space="preserve">Fuel Tech -Natural Gas (RSD) - Sparse New  </t>
  </si>
  <si>
    <t>START</t>
  </si>
  <si>
    <t>Inevstment Cost</t>
  </si>
  <si>
    <t>INVCOST</t>
  </si>
  <si>
    <t>Autonomous</t>
  </si>
  <si>
    <t>Centralised</t>
  </si>
  <si>
    <t>HS (Type)</t>
  </si>
  <si>
    <t>tbc, see demand fractions</t>
  </si>
  <si>
    <t>Range:</t>
  </si>
  <si>
    <t>Detached A1 SpHeat DieselOil Boiler (E)</t>
  </si>
  <si>
    <t>Detached A1 SpHeat Wood Stove-Boiler (E)</t>
  </si>
  <si>
    <t>RSD_DTA1_SH_DSL_E01</t>
  </si>
  <si>
    <t>Apartment A1 SpHeat  Wood Stove-Boiler €</t>
  </si>
  <si>
    <t>Detached A2 SpHeat  Wood Stove-Boiler €</t>
  </si>
  <si>
    <t>Apartment A2 SpHeat  Wood Stove-Boiler €</t>
  </si>
  <si>
    <t>Detached A3 SpHeat  Wood Stove-Boiler €</t>
  </si>
  <si>
    <t>Apartment A3 SpHeat  Wood Stove-Boiler €</t>
  </si>
  <si>
    <t>Detached A4 SpHeat  Wood Stove-Boiler €</t>
  </si>
  <si>
    <t>Apartment A4 SpHeat  Wood Stove-Boiler €</t>
  </si>
  <si>
    <t>Apartment A1 SpHeat DieselOil Boiler €</t>
  </si>
  <si>
    <t>Detached A2 SpHeat DieselOil Boiler €</t>
  </si>
  <si>
    <t>Apartment A2 SpHeat DieselOil Boiler €</t>
  </si>
  <si>
    <t>Detached A3 SpHeat DieselOil Boiler €</t>
  </si>
  <si>
    <t>Apartment A3 SpHeat DieselOil Boiler €</t>
  </si>
  <si>
    <t>Detached A4 SpHeat DieselOil Boiler €</t>
  </si>
  <si>
    <t>Apartment A4 SpHeat DieselOil Boiler €</t>
  </si>
  <si>
    <t>RSD_APA1_SH_DSL_E01</t>
  </si>
  <si>
    <t>RSD_DTA2_SH_DSL_E01</t>
  </si>
  <si>
    <t>RSD_APA2_SH_DSL_E01</t>
  </si>
  <si>
    <t>RSD_DTA3_SH_DSL_E01</t>
  </si>
  <si>
    <t>RSD_APA3_SH_DSL_E01</t>
  </si>
  <si>
    <t>RSD_DTA4_SH_DSL_E01</t>
  </si>
  <si>
    <t>RSD_APA4_SH_DSL_E01</t>
  </si>
  <si>
    <t>RSD_DTA1_CK_BIC_E01</t>
  </si>
  <si>
    <t>RSD_APA1_CK_BIC_E01</t>
  </si>
  <si>
    <t>RSD_DTA2_CK_BIC_E01</t>
  </si>
  <si>
    <t>RSD_APA2_CK_BIC_E01</t>
  </si>
  <si>
    <t>RSD_DTA3_CK_BIC_E01</t>
  </si>
  <si>
    <t>RSD_APA3_CK_BIC_E01</t>
  </si>
  <si>
    <t>RSD_DTA4_CK_BIC_E01</t>
  </si>
  <si>
    <t>RSD_APA4_CK_BIC_E01</t>
  </si>
  <si>
    <t>Tech and Stock dwelling</t>
  </si>
  <si>
    <t>LIFE</t>
  </si>
  <si>
    <t>Technical lifetime</t>
  </si>
  <si>
    <t>RDM: project team elaborations</t>
  </si>
  <si>
    <t>Calibration</t>
  </si>
  <si>
    <t>DELIV_LTH_A1</t>
  </si>
  <si>
    <t>DELIV_LTH_A2</t>
  </si>
  <si>
    <t>DELIV_LTH_A3</t>
  </si>
  <si>
    <t>DELIV_LTH_A4</t>
  </si>
  <si>
    <t>Deliverty Heating Area1</t>
  </si>
  <si>
    <t>Deliverty Heating Area2</t>
  </si>
  <si>
    <t>Deliverty Heating Area3</t>
  </si>
  <si>
    <t>Deliverty Heating Area4</t>
  </si>
  <si>
    <t>RDM: calibration</t>
  </si>
  <si>
    <t>FX</t>
  </si>
  <si>
    <t>Stock</t>
  </si>
  <si>
    <t>Same as the Remaining Building Life</t>
  </si>
  <si>
    <t>PJ/an</t>
  </si>
  <si>
    <t>8-9</t>
  </si>
  <si>
    <t>RDM: calibration (auto)</t>
  </si>
  <si>
    <t>RDM: calibration (adjusted)</t>
  </si>
  <si>
    <t>RDM: based on building calculator (U-values)</t>
  </si>
  <si>
    <t>Stat. Occupany status</t>
  </si>
  <si>
    <t>TKM</t>
  </si>
  <si>
    <t>Turkmenistan</t>
  </si>
  <si>
    <t>(to split)</t>
  </si>
  <si>
    <t>OILHFO</t>
  </si>
  <si>
    <t>RSDOILHFO</t>
  </si>
  <si>
    <t>Fuel Oil (RSD)</t>
  </si>
  <si>
    <t xml:space="preserve">Fuel Tech -Fuel Oil (RSD)  </t>
  </si>
  <si>
    <t>Detached A1 SpHeat Fuel Oil boiler (E)</t>
  </si>
  <si>
    <t>RSD_DTA1_SH_HFO_E01</t>
  </si>
  <si>
    <t>RSD_APA1_SH_HFO_E01</t>
  </si>
  <si>
    <t>Apartment A1 SpHeat Fuel Oil boiler (E)</t>
  </si>
  <si>
    <t>RDM: Assumptions</t>
  </si>
  <si>
    <t>Services + Residential + Agriculture</t>
  </si>
  <si>
    <t>RSD_APA4</t>
  </si>
  <si>
    <t>Apartment - Area4</t>
  </si>
  <si>
    <t>Heat (RSD)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</si>
</sst>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\Te\x\t"/>
    <numFmt numFmtId="167" formatCode="0.0"/>
    <numFmt numFmtId="168" formatCode="#,##0.000;\-#,##0.000;&quot;&quot;"/>
    <numFmt numFmtId="169" formatCode="0.00000"/>
    <numFmt numFmtId="170" formatCode="0.0000"/>
    <numFmt numFmtId="171" formatCode="#,##0.00;\-#,##0.00;&quot;&quot;"/>
    <numFmt numFmtId="172" formatCode="#,##0;\-#,##0;&quot;&quot;"/>
    <numFmt numFmtId="173" formatCode="#,##0.0000;\-#,##0.0000;&quot;&quot;"/>
    <numFmt numFmtId="174" formatCode="#,##0.00_ ;\-#,##0.00\ "/>
    <numFmt numFmtId="175" formatCode="#,##0.00000;\-#,##0.00000;&quot;&quot;"/>
    <numFmt numFmtId="176" formatCode="_(* #,##0_);_(* \(#,##0\);_(* &quot;-&quot;??_);_(@_)"/>
    <numFmt numFmtId="177" formatCode="0.0%"/>
    <numFmt numFmtId="178" formatCode="_(* #,##0.000_);_(* \(#,##0.000\);_(* &quot;-&quot;??_);_(@_)"/>
    <numFmt numFmtId="179" formatCode="_(* #,##0.0000_);_(* \(#,##0.0000\);_(* &quot;-&quot;??_);_(@_)"/>
    <numFmt numFmtId="180" formatCode="_(* #,##0.00000_);_(* \(#,##0.00000\);_(* &quot;-&quot;??_);_(@_)"/>
    <numFmt numFmtId="181" formatCode="_-* #,##0.0000_-;\-* #,##0.0000_-;_-* &quot;-&quot;??_-;_-@_-"/>
    <numFmt numFmtId="182" formatCode="_-* #,##0_-;\-* #,##0_-;_-* &quot;-&quot;??_-;_-@_-"/>
    <numFmt numFmtId="183" formatCode="#,##0.0_i"/>
    <numFmt numFmtId="184" formatCode="0.000000"/>
    <numFmt numFmtId="185" formatCode="_-* #,##0.000_-;\-* #,##0.000_-;_-* &quot;-&quot;??_-;_-@_-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1"/>
      <name val="Calibri Light"/>
      <family val="2"/>
    </font>
    <font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PragmaticaCTT"/>
      <charset val="204"/>
    </font>
    <font>
      <sz val="11"/>
      <color theme="1"/>
      <name val="Calibri"/>
      <family val="2"/>
      <charset val="238"/>
      <scheme val="minor"/>
    </font>
    <font>
      <sz val="9"/>
      <name val="Arial"/>
      <family val="2"/>
    </font>
    <font>
      <b/>
      <sz val="12"/>
      <color indexed="10"/>
      <name val="Arial"/>
      <family val="2"/>
    </font>
    <font>
      <sz val="9"/>
      <color theme="1"/>
      <name val="Arial"/>
      <family val="2"/>
    </font>
    <font>
      <sz val="10"/>
      <name val="Times New Roman"/>
      <family val="1"/>
      <charset val="20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b/>
      <u/>
      <sz val="8"/>
      <name val="Arial"/>
      <family val="2"/>
    </font>
    <font>
      <b/>
      <i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22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9">
    <xf numFmtId="0" fontId="0" fillId="0" borderId="0"/>
    <xf numFmtId="0" fontId="14" fillId="3" borderId="0" applyNumberFormat="0" applyBorder="0" applyAlignment="0" applyProtection="0"/>
    <xf numFmtId="43" fontId="3" fillId="0" borderId="0" applyFont="0" applyFill="0" applyBorder="0" applyAlignment="0" applyProtection="0"/>
    <xf numFmtId="0" fontId="16" fillId="4" borderId="0" applyNumberFormat="0" applyBorder="0" applyAlignment="0" applyProtection="0"/>
    <xf numFmtId="9" fontId="3" fillId="0" borderId="0" applyFont="0" applyFill="0" applyBorder="0" applyAlignment="0" applyProtection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" fillId="2" borderId="0" applyNumberFormat="0" applyBorder="0" applyAlignment="0">
      <protection hidden="1"/>
    </xf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183" fontId="25" fillId="0" borderId="0" applyFill="0" applyBorder="0" applyProtection="0">
      <alignment horizontal="right"/>
    </xf>
    <xf numFmtId="0" fontId="24" fillId="0" borderId="42">
      <alignment horizontal="left"/>
    </xf>
    <xf numFmtId="0" fontId="23" fillId="0" borderId="0"/>
    <xf numFmtId="0" fontId="1" fillId="0" borderId="0"/>
    <xf numFmtId="9" fontId="1" fillId="0" borderId="0" applyFont="0" applyFill="0" applyBorder="0" applyAlignment="0" applyProtection="0"/>
  </cellStyleXfs>
  <cellXfs count="377">
    <xf numFmtId="0" fontId="0" fillId="0" borderId="0" xfId="0"/>
    <xf numFmtId="0" fontId="15" fillId="5" borderId="0" xfId="1" applyFont="1" applyFill="1" applyAlignment="1">
      <alignment wrapText="1"/>
    </xf>
    <xf numFmtId="0" fontId="14" fillId="5" borderId="0" xfId="1" applyFill="1" applyAlignment="1">
      <alignment wrapText="1"/>
    </xf>
    <xf numFmtId="0" fontId="17" fillId="6" borderId="0" xfId="1" applyFont="1" applyFill="1" applyAlignment="1">
      <alignment wrapText="1"/>
    </xf>
    <xf numFmtId="0" fontId="18" fillId="6" borderId="0" xfId="3" applyFont="1" applyFill="1" applyAlignment="1">
      <alignment horizontal="center"/>
    </xf>
    <xf numFmtId="0" fontId="8" fillId="0" borderId="0" xfId="0" applyFont="1" applyFill="1"/>
    <xf numFmtId="0" fontId="7" fillId="0" borderId="0" xfId="0" applyFont="1" applyFill="1" applyBorder="1"/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/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19" fillId="6" borderId="0" xfId="1" applyFont="1" applyFill="1" applyAlignment="1">
      <alignment wrapText="1"/>
    </xf>
    <xf numFmtId="0" fontId="17" fillId="6" borderId="0" xfId="1" applyFont="1" applyFill="1" applyAlignment="1"/>
    <xf numFmtId="0" fontId="17" fillId="6" borderId="0" xfId="1" applyFont="1" applyFill="1" applyAlignment="1">
      <alignment horizontal="right" wrapText="1"/>
    </xf>
    <xf numFmtId="0" fontId="20" fillId="6" borderId="0" xfId="3" applyFont="1" applyFill="1" applyAlignment="1">
      <alignment horizontal="center"/>
    </xf>
    <xf numFmtId="0" fontId="17" fillId="6" borderId="0" xfId="1" applyFont="1" applyFill="1" applyAlignment="1">
      <alignment horizontal="center" wrapText="1"/>
    </xf>
    <xf numFmtId="0" fontId="17" fillId="6" borderId="0" xfId="1" applyFont="1" applyFill="1" applyAlignment="1">
      <alignment horizont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165" fontId="17" fillId="0" borderId="0" xfId="0" applyNumberFormat="1" applyFont="1" applyFill="1" applyAlignment="1">
      <alignment vertical="center"/>
    </xf>
    <xf numFmtId="2" fontId="17" fillId="0" borderId="0" xfId="0" quotePrefix="1" applyNumberFormat="1" applyFont="1" applyFill="1" applyBorder="1" applyAlignment="1">
      <alignment vertical="center"/>
    </xf>
    <xf numFmtId="0" fontId="8" fillId="0" borderId="0" xfId="0" applyFont="1" applyFill="1" applyBorder="1" applyProtection="1">
      <protection locked="0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Protection="1">
      <protection locked="0"/>
    </xf>
    <xf numFmtId="0" fontId="8" fillId="0" borderId="0" xfId="0" applyFont="1" applyFill="1" applyAlignment="1">
      <alignment horizontal="left"/>
    </xf>
    <xf numFmtId="0" fontId="11" fillId="0" borderId="0" xfId="0" applyFont="1" applyFill="1"/>
    <xf numFmtId="1" fontId="10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8" fillId="0" borderId="0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/>
    </xf>
    <xf numFmtId="0" fontId="12" fillId="0" borderId="0" xfId="0" applyFont="1" applyFill="1"/>
    <xf numFmtId="0" fontId="7" fillId="0" borderId="0" xfId="0" applyFont="1" applyFill="1" applyBorder="1" applyAlignment="1"/>
    <xf numFmtId="166" fontId="7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left" vertical="center" wrapText="1"/>
    </xf>
    <xf numFmtId="43" fontId="4" fillId="0" borderId="0" xfId="2" applyFont="1" applyFill="1" applyBorder="1"/>
    <xf numFmtId="0" fontId="3" fillId="0" borderId="0" xfId="0" applyFont="1" applyFill="1" applyBorder="1"/>
    <xf numFmtId="0" fontId="26" fillId="0" borderId="0" xfId="26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/>
    </xf>
    <xf numFmtId="167" fontId="17" fillId="0" borderId="0" xfId="0" applyNumberFormat="1" applyFont="1" applyFill="1" applyAlignment="1">
      <alignment horizontal="center" vertical="center"/>
    </xf>
    <xf numFmtId="2" fontId="8" fillId="0" borderId="0" xfId="0" applyNumberFormat="1" applyFont="1" applyFill="1"/>
    <xf numFmtId="2" fontId="8" fillId="0" borderId="44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/>
    <xf numFmtId="0" fontId="19" fillId="6" borderId="0" xfId="1" applyFont="1" applyFill="1" applyAlignment="1">
      <alignment horizontal="left" wrapText="1"/>
    </xf>
    <xf numFmtId="0" fontId="3" fillId="0" borderId="0" xfId="0" applyFont="1" applyFill="1"/>
    <xf numFmtId="0" fontId="4" fillId="0" borderId="0" xfId="0" applyFont="1" applyFill="1"/>
    <xf numFmtId="173" fontId="3" fillId="0" borderId="0" xfId="0" applyNumberFormat="1" applyFont="1" applyFill="1"/>
    <xf numFmtId="0" fontId="13" fillId="0" borderId="10" xfId="0" applyFont="1" applyFill="1" applyBorder="1" applyAlignment="1">
      <alignment horizontal="left" vertical="center" wrapText="1"/>
    </xf>
    <xf numFmtId="0" fontId="13" fillId="0" borderId="11" xfId="0" applyFont="1" applyFill="1" applyBorder="1" applyAlignment="1">
      <alignment horizontal="centerContinuous" vertical="center" wrapText="1"/>
    </xf>
    <xf numFmtId="0" fontId="3" fillId="0" borderId="11" xfId="0" applyFont="1" applyFill="1" applyBorder="1" applyAlignment="1">
      <alignment horizontal="centerContinuous" vertical="center" wrapText="1"/>
    </xf>
    <xf numFmtId="0" fontId="13" fillId="0" borderId="11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Continuous" vertical="center"/>
    </xf>
    <xf numFmtId="168" fontId="13" fillId="0" borderId="16" xfId="0" applyNumberFormat="1" applyFont="1" applyFill="1" applyBorder="1" applyAlignment="1">
      <alignment horizontal="right"/>
    </xf>
    <xf numFmtId="0" fontId="7" fillId="0" borderId="12" xfId="0" applyFont="1" applyFill="1" applyBorder="1" applyAlignment="1">
      <alignment horizontal="center" vertical="center"/>
    </xf>
    <xf numFmtId="0" fontId="7" fillId="0" borderId="12" xfId="0" quotePrefix="1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 wrapText="1"/>
    </xf>
    <xf numFmtId="0" fontId="31" fillId="0" borderId="13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 wrapText="1"/>
    </xf>
    <xf numFmtId="0" fontId="31" fillId="0" borderId="30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left"/>
    </xf>
    <xf numFmtId="0" fontId="32" fillId="0" borderId="14" xfId="0" applyFont="1" applyFill="1" applyBorder="1" applyAlignment="1">
      <alignment horizontal="center"/>
    </xf>
    <xf numFmtId="172" fontId="13" fillId="0" borderId="14" xfId="0" applyNumberFormat="1" applyFont="1" applyFill="1" applyBorder="1" applyAlignment="1">
      <alignment horizontal="right"/>
    </xf>
    <xf numFmtId="172" fontId="13" fillId="0" borderId="26" xfId="0" applyNumberFormat="1" applyFont="1" applyFill="1" applyBorder="1" applyAlignment="1">
      <alignment horizontal="right"/>
    </xf>
    <xf numFmtId="173" fontId="13" fillId="0" borderId="14" xfId="0" applyNumberFormat="1" applyFont="1" applyFill="1" applyBorder="1" applyAlignment="1">
      <alignment horizontal="right"/>
    </xf>
    <xf numFmtId="172" fontId="13" fillId="0" borderId="38" xfId="0" applyNumberFormat="1" applyFont="1" applyFill="1" applyBorder="1" applyAlignment="1">
      <alignment horizontal="right"/>
    </xf>
    <xf numFmtId="0" fontId="31" fillId="0" borderId="14" xfId="0" applyFont="1" applyFill="1" applyBorder="1" applyAlignment="1">
      <alignment horizontal="left"/>
    </xf>
    <xf numFmtId="0" fontId="33" fillId="0" borderId="14" xfId="0" applyFont="1" applyFill="1" applyBorder="1" applyAlignment="1">
      <alignment horizontal="center"/>
    </xf>
    <xf numFmtId="173" fontId="31" fillId="0" borderId="14" xfId="0" applyNumberFormat="1" applyFont="1" applyFill="1" applyBorder="1" applyAlignment="1">
      <alignment horizontal="right"/>
    </xf>
    <xf numFmtId="172" fontId="31" fillId="0" borderId="26" xfId="0" applyNumberFormat="1" applyFont="1" applyFill="1" applyBorder="1" applyAlignment="1">
      <alignment horizontal="right"/>
    </xf>
    <xf numFmtId="172" fontId="31" fillId="0" borderId="14" xfId="0" applyNumberFormat="1" applyFont="1" applyFill="1" applyBorder="1" applyAlignment="1">
      <alignment horizontal="right"/>
    </xf>
    <xf numFmtId="172" fontId="31" fillId="0" borderId="38" xfId="0" applyNumberFormat="1" applyFont="1" applyFill="1" applyBorder="1" applyAlignment="1">
      <alignment horizontal="right"/>
    </xf>
    <xf numFmtId="172" fontId="3" fillId="0" borderId="0" xfId="0" applyNumberFormat="1" applyFont="1" applyFill="1"/>
    <xf numFmtId="0" fontId="13" fillId="0" borderId="0" xfId="0" applyFont="1" applyFill="1" applyBorder="1" applyAlignment="1">
      <alignment horizontal="left"/>
    </xf>
    <xf numFmtId="165" fontId="3" fillId="0" borderId="0" xfId="0" applyNumberFormat="1" applyFont="1" applyFill="1"/>
    <xf numFmtId="0" fontId="8" fillId="0" borderId="0" xfId="0" applyFont="1" applyFill="1" applyAlignment="1">
      <alignment horizontal="center"/>
    </xf>
    <xf numFmtId="0" fontId="7" fillId="0" borderId="0" xfId="0" applyFont="1" applyFill="1"/>
    <xf numFmtId="166" fontId="8" fillId="0" borderId="0" xfId="0" applyNumberFormat="1" applyFont="1" applyFill="1"/>
    <xf numFmtId="0" fontId="7" fillId="0" borderId="17" xfId="0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7" fillId="0" borderId="17" xfId="0" applyFont="1" applyFill="1" applyBorder="1" applyAlignment="1">
      <alignment horizontal="center" vertical="center" wrapText="1"/>
    </xf>
    <xf numFmtId="166" fontId="7" fillId="0" borderId="12" xfId="0" applyNumberFormat="1" applyFont="1" applyFill="1" applyBorder="1"/>
    <xf numFmtId="0" fontId="8" fillId="0" borderId="18" xfId="0" applyFont="1" applyFill="1" applyBorder="1" applyAlignment="1">
      <alignment horizontal="left" wrapText="1"/>
    </xf>
    <xf numFmtId="0" fontId="8" fillId="0" borderId="18" xfId="0" applyFont="1" applyFill="1" applyBorder="1" applyAlignment="1">
      <alignment horizontal="center" wrapText="1"/>
    </xf>
    <xf numFmtId="0" fontId="8" fillId="0" borderId="20" xfId="0" applyFont="1" applyFill="1" applyBorder="1" applyAlignment="1">
      <alignment horizontal="center" wrapText="1"/>
    </xf>
    <xf numFmtId="166" fontId="8" fillId="0" borderId="7" xfId="0" applyNumberFormat="1" applyFont="1" applyFill="1" applyBorder="1" applyAlignment="1">
      <alignment horizontal="left" wrapText="1"/>
    </xf>
    <xf numFmtId="0" fontId="8" fillId="0" borderId="21" xfId="0" applyFont="1" applyFill="1" applyBorder="1" applyAlignment="1">
      <alignment horizontal="left" wrapText="1"/>
    </xf>
    <xf numFmtId="0" fontId="8" fillId="0" borderId="21" xfId="0" applyFont="1" applyFill="1" applyBorder="1" applyAlignment="1">
      <alignment horizontal="center" wrapText="1"/>
    </xf>
    <xf numFmtId="0" fontId="8" fillId="0" borderId="24" xfId="0" applyFont="1" applyFill="1" applyBorder="1" applyAlignment="1">
      <alignment horizontal="right" wrapText="1"/>
    </xf>
    <xf numFmtId="0" fontId="8" fillId="0" borderId="22" xfId="0" applyFont="1" applyFill="1" applyBorder="1"/>
    <xf numFmtId="0" fontId="8" fillId="0" borderId="11" xfId="0" applyFont="1" applyFill="1" applyBorder="1"/>
    <xf numFmtId="0" fontId="8" fillId="0" borderId="11" xfId="0" applyFont="1" applyFill="1" applyBorder="1" applyAlignment="1">
      <alignment horizontal="center"/>
    </xf>
    <xf numFmtId="0" fontId="8" fillId="0" borderId="23" xfId="0" applyFont="1" applyFill="1" applyBorder="1"/>
    <xf numFmtId="0" fontId="8" fillId="0" borderId="0" xfId="0" applyFont="1" applyFill="1" applyAlignment="1">
      <alignment horizontal="right"/>
    </xf>
    <xf numFmtId="0" fontId="8" fillId="0" borderId="0" xfId="0" applyFont="1" applyFill="1" applyBorder="1" applyAlignment="1">
      <alignment horizontal="right"/>
    </xf>
    <xf numFmtId="0" fontId="7" fillId="0" borderId="0" xfId="0" applyFont="1" applyFill="1" applyAlignment="1">
      <alignment horizontal="left"/>
    </xf>
    <xf numFmtId="166" fontId="7" fillId="0" borderId="0" xfId="0" applyNumberFormat="1" applyFont="1" applyFill="1"/>
    <xf numFmtId="166" fontId="7" fillId="0" borderId="17" xfId="0" applyNumberFormat="1" applyFont="1" applyFill="1" applyBorder="1"/>
    <xf numFmtId="166" fontId="7" fillId="0" borderId="17" xfId="0" applyNumberFormat="1" applyFont="1" applyFill="1" applyBorder="1" applyAlignment="1">
      <alignment horizontal="left"/>
    </xf>
    <xf numFmtId="166" fontId="8" fillId="0" borderId="18" xfId="0" applyNumberFormat="1" applyFont="1" applyFill="1" applyBorder="1" applyAlignment="1">
      <alignment horizontal="center" vertical="center" wrapText="1"/>
    </xf>
    <xf numFmtId="166" fontId="8" fillId="0" borderId="7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166" fontId="3" fillId="0" borderId="0" xfId="0" applyNumberFormat="1" applyFont="1" applyFill="1" applyAlignment="1">
      <alignment horizontal="center"/>
    </xf>
    <xf numFmtId="0" fontId="8" fillId="0" borderId="30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7" fillId="0" borderId="20" xfId="0" applyFont="1" applyFill="1" applyBorder="1" applyAlignment="1">
      <alignment horizontal="left" wrapText="1"/>
    </xf>
    <xf numFmtId="0" fontId="7" fillId="0" borderId="18" xfId="0" applyFont="1" applyFill="1" applyBorder="1" applyAlignment="1">
      <alignment horizontal="left" wrapText="1"/>
    </xf>
    <xf numFmtId="0" fontId="7" fillId="0" borderId="18" xfId="0" applyFont="1" applyFill="1" applyBorder="1" applyAlignment="1">
      <alignment horizontal="center" wrapText="1"/>
    </xf>
    <xf numFmtId="0" fontId="7" fillId="0" borderId="12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center" vertical="center" wrapText="1"/>
    </xf>
    <xf numFmtId="166" fontId="8" fillId="0" borderId="0" xfId="0" applyNumberFormat="1" applyFont="1" applyFill="1" applyAlignment="1">
      <alignment horizontal="center"/>
    </xf>
    <xf numFmtId="0" fontId="7" fillId="0" borderId="17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wrapText="1"/>
    </xf>
    <xf numFmtId="0" fontId="8" fillId="0" borderId="18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center" vertical="center"/>
    </xf>
    <xf numFmtId="166" fontId="7" fillId="0" borderId="12" xfId="0" applyNumberFormat="1" applyFont="1" applyFill="1" applyBorder="1" applyAlignment="1">
      <alignment horizontal="center"/>
    </xf>
    <xf numFmtId="0" fontId="8" fillId="0" borderId="18" xfId="0" applyFont="1" applyFill="1" applyBorder="1" applyAlignment="1">
      <alignment horizontal="left" vertical="center" wrapText="1"/>
    </xf>
    <xf numFmtId="0" fontId="8" fillId="0" borderId="20" xfId="0" applyFont="1" applyFill="1" applyBorder="1" applyAlignment="1">
      <alignment horizontal="left" vertical="center" wrapText="1"/>
    </xf>
    <xf numFmtId="0" fontId="8" fillId="0" borderId="31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center" vertical="center" wrapText="1"/>
    </xf>
    <xf numFmtId="166" fontId="8" fillId="0" borderId="7" xfId="0" applyNumberFormat="1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left" wrapText="1"/>
    </xf>
    <xf numFmtId="0" fontId="3" fillId="0" borderId="0" xfId="0" applyFont="1" applyFill="1" applyAlignment="1">
      <alignment vertical="center"/>
    </xf>
    <xf numFmtId="0" fontId="3" fillId="0" borderId="34" xfId="0" applyFont="1" applyFill="1" applyBorder="1"/>
    <xf numFmtId="2" fontId="3" fillId="0" borderId="0" xfId="0" applyNumberFormat="1" applyFont="1" applyFill="1" applyAlignment="1">
      <alignment horizontal="center"/>
    </xf>
    <xf numFmtId="43" fontId="3" fillId="0" borderId="0" xfId="2" applyFont="1" applyFill="1" applyAlignment="1">
      <alignment horizontal="center" vertical="center"/>
    </xf>
    <xf numFmtId="0" fontId="3" fillId="0" borderId="22" xfId="0" applyFont="1" applyFill="1" applyBorder="1"/>
    <xf numFmtId="165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/>
    </xf>
    <xf numFmtId="170" fontId="3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8" fillId="0" borderId="32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left"/>
    </xf>
    <xf numFmtId="43" fontId="3" fillId="0" borderId="0" xfId="2" applyFont="1" applyFill="1" applyBorder="1"/>
    <xf numFmtId="181" fontId="3" fillId="0" borderId="0" xfId="2" applyNumberFormat="1" applyFont="1" applyFill="1" applyAlignment="1">
      <alignment horizontal="center"/>
    </xf>
    <xf numFmtId="43" fontId="3" fillId="0" borderId="0" xfId="2" applyNumberFormat="1" applyFont="1" applyFill="1" applyAlignment="1">
      <alignment horizontal="center"/>
    </xf>
    <xf numFmtId="0" fontId="3" fillId="0" borderId="11" xfId="0" applyFont="1" applyFill="1" applyBorder="1"/>
    <xf numFmtId="0" fontId="3" fillId="0" borderId="23" xfId="0" applyFont="1" applyFill="1" applyBorder="1"/>
    <xf numFmtId="1" fontId="3" fillId="0" borderId="25" xfId="0" applyNumberFormat="1" applyFont="1" applyFill="1" applyBorder="1" applyAlignment="1">
      <alignment horizontal="center"/>
    </xf>
    <xf numFmtId="181" fontId="3" fillId="0" borderId="11" xfId="2" applyNumberFormat="1" applyFont="1" applyFill="1" applyBorder="1" applyAlignment="1">
      <alignment horizontal="center"/>
    </xf>
    <xf numFmtId="43" fontId="3" fillId="0" borderId="11" xfId="2" applyNumberFormat="1" applyFont="1" applyFill="1" applyBorder="1" applyAlignment="1">
      <alignment horizontal="center"/>
    </xf>
    <xf numFmtId="0" fontId="3" fillId="0" borderId="19" xfId="0" applyFont="1" applyFill="1" applyBorder="1"/>
    <xf numFmtId="181" fontId="3" fillId="0" borderId="0" xfId="2" applyNumberFormat="1" applyFont="1" applyFill="1" applyBorder="1"/>
    <xf numFmtId="0" fontId="4" fillId="0" borderId="0" xfId="0" applyFont="1" applyFill="1" applyBorder="1"/>
    <xf numFmtId="169" fontId="3" fillId="0" borderId="0" xfId="0" applyNumberFormat="1" applyFont="1" applyFill="1"/>
    <xf numFmtId="169" fontId="3" fillId="0" borderId="25" xfId="0" applyNumberFormat="1" applyFont="1" applyFill="1" applyBorder="1"/>
    <xf numFmtId="182" fontId="3" fillId="0" borderId="0" xfId="2" applyNumberFormat="1" applyFont="1" applyFill="1" applyBorder="1"/>
    <xf numFmtId="181" fontId="3" fillId="0" borderId="0" xfId="2" applyNumberFormat="1" applyFont="1" applyFill="1"/>
    <xf numFmtId="2" fontId="3" fillId="0" borderId="0" xfId="0" applyNumberFormat="1" applyFont="1" applyFill="1"/>
    <xf numFmtId="2" fontId="3" fillId="0" borderId="25" xfId="0" applyNumberFormat="1" applyFont="1" applyFill="1" applyBorder="1"/>
    <xf numFmtId="165" fontId="3" fillId="0" borderId="11" xfId="0" applyNumberFormat="1" applyFont="1" applyFill="1" applyBorder="1"/>
    <xf numFmtId="2" fontId="3" fillId="0" borderId="0" xfId="0" applyNumberFormat="1" applyFont="1" applyFill="1" applyAlignment="1">
      <alignment horizontal="right"/>
    </xf>
    <xf numFmtId="2" fontId="3" fillId="0" borderId="11" xfId="0" applyNumberFormat="1" applyFont="1" applyFill="1" applyBorder="1" applyAlignment="1">
      <alignment horizontal="right"/>
    </xf>
    <xf numFmtId="0" fontId="4" fillId="0" borderId="22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16" fontId="3" fillId="0" borderId="0" xfId="0" quotePrefix="1" applyNumberFormat="1" applyFont="1" applyFill="1"/>
    <xf numFmtId="43" fontId="3" fillId="0" borderId="35" xfId="2" applyFont="1" applyFill="1" applyBorder="1" applyAlignment="1">
      <alignment horizontal="center" vertical="center"/>
    </xf>
    <xf numFmtId="43" fontId="3" fillId="0" borderId="35" xfId="2" applyFont="1" applyFill="1" applyBorder="1" applyAlignment="1">
      <alignment horizontal="center"/>
    </xf>
    <xf numFmtId="43" fontId="3" fillId="0" borderId="25" xfId="2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/>
    </xf>
    <xf numFmtId="43" fontId="3" fillId="0" borderId="25" xfId="2" applyFont="1" applyFill="1" applyBorder="1" applyAlignment="1">
      <alignment horizontal="center"/>
    </xf>
    <xf numFmtId="2" fontId="3" fillId="0" borderId="0" xfId="0" applyNumberFormat="1" applyFont="1" applyFill="1" applyBorder="1"/>
    <xf numFmtId="1" fontId="3" fillId="0" borderId="0" xfId="0" applyNumberFormat="1" applyFont="1" applyFill="1"/>
    <xf numFmtId="43" fontId="3" fillId="0" borderId="0" xfId="0" applyNumberFormat="1" applyFont="1" applyFill="1" applyAlignment="1">
      <alignment horizontal="center"/>
    </xf>
    <xf numFmtId="43" fontId="4" fillId="0" borderId="0" xfId="2" applyFont="1" applyFill="1"/>
    <xf numFmtId="43" fontId="3" fillId="0" borderId="0" xfId="2" applyFont="1" applyFill="1" applyAlignment="1">
      <alignment horizontal="center"/>
    </xf>
    <xf numFmtId="181" fontId="3" fillId="0" borderId="0" xfId="2" applyNumberFormat="1" applyFont="1" applyFill="1" applyBorder="1" applyAlignment="1">
      <alignment horizontal="center"/>
    </xf>
    <xf numFmtId="43" fontId="3" fillId="0" borderId="0" xfId="2" applyFont="1" applyFill="1"/>
    <xf numFmtId="181" fontId="3" fillId="0" borderId="25" xfId="2" applyNumberFormat="1" applyFont="1" applyFill="1" applyBorder="1" applyAlignment="1">
      <alignment horizontal="center"/>
    </xf>
    <xf numFmtId="176" fontId="3" fillId="0" borderId="0" xfId="2" applyNumberFormat="1" applyFont="1" applyFill="1" applyAlignment="1">
      <alignment horizontal="center"/>
    </xf>
    <xf numFmtId="43" fontId="3" fillId="0" borderId="0" xfId="2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7" fillId="0" borderId="39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/>
    </xf>
    <xf numFmtId="0" fontId="8" fillId="0" borderId="18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 vertical="center"/>
    </xf>
    <xf numFmtId="166" fontId="8" fillId="0" borderId="7" xfId="0" applyNumberFormat="1" applyFont="1" applyFill="1" applyBorder="1" applyAlignment="1">
      <alignment horizontal="left" vertical="center"/>
    </xf>
    <xf numFmtId="166" fontId="8" fillId="0" borderId="7" xfId="0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right"/>
    </xf>
    <xf numFmtId="0" fontId="12" fillId="0" borderId="0" xfId="0" applyFont="1" applyFill="1" applyAlignment="1">
      <alignment horizontal="center"/>
    </xf>
    <xf numFmtId="0" fontId="3" fillId="0" borderId="0" xfId="0" applyFont="1" applyFill="1" applyAlignment="1"/>
    <xf numFmtId="184" fontId="3" fillId="0" borderId="0" xfId="0" applyNumberFormat="1" applyFont="1" applyFill="1" applyAlignment="1">
      <alignment horizontal="center"/>
    </xf>
    <xf numFmtId="0" fontId="3" fillId="0" borderId="22" xfId="0" applyFont="1" applyFill="1" applyBorder="1" applyAlignment="1">
      <alignment horizontal="center"/>
    </xf>
    <xf numFmtId="178" fontId="3" fillId="0" borderId="40" xfId="2" applyNumberFormat="1" applyFont="1" applyFill="1" applyBorder="1" applyAlignment="1">
      <alignment horizontal="center" vertical="center"/>
    </xf>
    <xf numFmtId="178" fontId="3" fillId="0" borderId="22" xfId="2" applyNumberFormat="1" applyFont="1" applyFill="1" applyBorder="1" applyAlignment="1">
      <alignment horizontal="center" vertical="center"/>
    </xf>
    <xf numFmtId="167" fontId="3" fillId="0" borderId="39" xfId="0" applyNumberFormat="1" applyFont="1" applyFill="1" applyBorder="1"/>
    <xf numFmtId="0" fontId="3" fillId="0" borderId="17" xfId="0" applyFont="1" applyFill="1" applyBorder="1"/>
    <xf numFmtId="167" fontId="3" fillId="0" borderId="40" xfId="0" applyNumberFormat="1" applyFont="1" applyFill="1" applyBorder="1"/>
    <xf numFmtId="167" fontId="3" fillId="0" borderId="41" xfId="0" applyNumberFormat="1" applyFont="1" applyFill="1" applyBorder="1"/>
    <xf numFmtId="167" fontId="3" fillId="0" borderId="0" xfId="0" applyNumberFormat="1" applyFont="1" applyFill="1"/>
    <xf numFmtId="2" fontId="3" fillId="0" borderId="0" xfId="0" applyNumberFormat="1" applyFont="1" applyFill="1" applyBorder="1" applyAlignment="1">
      <alignment horizontal="center"/>
    </xf>
    <xf numFmtId="0" fontId="7" fillId="0" borderId="19" xfId="0" applyFont="1" applyFill="1" applyBorder="1" applyAlignment="1">
      <alignment horizontal="left" vertical="center"/>
    </xf>
    <xf numFmtId="0" fontId="8" fillId="0" borderId="17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 wrapText="1"/>
    </xf>
    <xf numFmtId="166" fontId="8" fillId="0" borderId="12" xfId="0" applyNumberFormat="1" applyFont="1" applyFill="1" applyBorder="1" applyAlignment="1">
      <alignment horizontal="left" vertical="center" wrapText="1"/>
    </xf>
    <xf numFmtId="166" fontId="8" fillId="0" borderId="12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/>
    <xf numFmtId="0" fontId="3" fillId="0" borderId="0" xfId="0" applyFont="1" applyFill="1" applyBorder="1" applyAlignment="1">
      <alignment vertical="center"/>
    </xf>
    <xf numFmtId="2" fontId="3" fillId="0" borderId="22" xfId="0" applyNumberFormat="1" applyFont="1" applyFill="1" applyBorder="1" applyAlignment="1">
      <alignment horizontal="center"/>
    </xf>
    <xf numFmtId="43" fontId="3" fillId="0" borderId="22" xfId="2" applyFont="1" applyFill="1" applyBorder="1" applyAlignment="1">
      <alignment horizontal="center" vertical="center"/>
    </xf>
    <xf numFmtId="164" fontId="3" fillId="0" borderId="0" xfId="0" applyNumberFormat="1" applyFont="1" applyFill="1"/>
    <xf numFmtId="2" fontId="3" fillId="0" borderId="23" xfId="0" applyNumberFormat="1" applyFont="1" applyFill="1" applyBorder="1" applyAlignment="1">
      <alignment horizontal="center"/>
    </xf>
    <xf numFmtId="43" fontId="3" fillId="0" borderId="23" xfId="2" applyFont="1" applyFill="1" applyBorder="1" applyAlignment="1">
      <alignment horizontal="center" vertical="center"/>
    </xf>
    <xf numFmtId="164" fontId="3" fillId="0" borderId="0" xfId="0" applyNumberFormat="1" applyFont="1" applyFill="1" applyBorder="1"/>
    <xf numFmtId="2" fontId="3" fillId="0" borderId="11" xfId="0" applyNumberFormat="1" applyFont="1" applyFill="1" applyBorder="1"/>
    <xf numFmtId="165" fontId="3" fillId="0" borderId="25" xfId="0" applyNumberFormat="1" applyFont="1" applyFill="1" applyBorder="1"/>
    <xf numFmtId="0" fontId="7" fillId="0" borderId="39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43" fontId="3" fillId="0" borderId="0" xfId="2" applyNumberFormat="1" applyFont="1" applyFill="1" applyAlignment="1">
      <alignment horizontal="center" vertical="center"/>
    </xf>
    <xf numFmtId="43" fontId="3" fillId="0" borderId="0" xfId="2" applyNumberFormat="1" applyFont="1" applyFill="1" applyBorder="1" applyAlignment="1">
      <alignment horizontal="center" vertical="center"/>
    </xf>
    <xf numFmtId="43" fontId="3" fillId="0" borderId="40" xfId="2" applyFont="1" applyFill="1" applyBorder="1" applyAlignment="1">
      <alignment horizontal="center" vertical="center"/>
    </xf>
    <xf numFmtId="43" fontId="3" fillId="0" borderId="0" xfId="2" applyFont="1" applyFill="1" applyAlignment="1">
      <alignment vertical="center"/>
    </xf>
    <xf numFmtId="185" fontId="3" fillId="0" borderId="0" xfId="2" applyNumberFormat="1" applyFont="1" applyFill="1" applyAlignment="1">
      <alignment vertical="center"/>
    </xf>
    <xf numFmtId="43" fontId="3" fillId="0" borderId="25" xfId="2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/>
    </xf>
    <xf numFmtId="43" fontId="3" fillId="0" borderId="41" xfId="2" applyFont="1" applyFill="1" applyBorder="1" applyAlignment="1">
      <alignment horizontal="center" vertical="center"/>
    </xf>
    <xf numFmtId="43" fontId="3" fillId="0" borderId="23" xfId="2" applyFont="1" applyFill="1" applyBorder="1" applyAlignment="1">
      <alignment vertical="center"/>
    </xf>
    <xf numFmtId="185" fontId="3" fillId="0" borderId="23" xfId="2" applyNumberFormat="1" applyFont="1" applyFill="1" applyBorder="1" applyAlignment="1">
      <alignment vertical="center"/>
    </xf>
    <xf numFmtId="167" fontId="3" fillId="0" borderId="22" xfId="0" applyNumberFormat="1" applyFont="1" applyFill="1" applyBorder="1" applyAlignment="1">
      <alignment horizontal="center"/>
    </xf>
    <xf numFmtId="179" fontId="3" fillId="0" borderId="40" xfId="2" applyNumberFormat="1" applyFont="1" applyFill="1" applyBorder="1" applyAlignment="1">
      <alignment horizontal="center" vertical="center"/>
    </xf>
    <xf numFmtId="178" fontId="3" fillId="0" borderId="35" xfId="2" applyNumberFormat="1" applyFont="1" applyFill="1" applyBorder="1" applyAlignment="1">
      <alignment horizontal="center"/>
    </xf>
    <xf numFmtId="167" fontId="3" fillId="0" borderId="23" xfId="0" applyNumberFormat="1" applyFont="1" applyFill="1" applyBorder="1" applyAlignment="1">
      <alignment horizontal="center"/>
    </xf>
    <xf numFmtId="179" fontId="3" fillId="0" borderId="41" xfId="2" applyNumberFormat="1" applyFont="1" applyFill="1" applyBorder="1" applyAlignment="1">
      <alignment horizontal="center" vertical="center"/>
    </xf>
    <xf numFmtId="43" fontId="3" fillId="0" borderId="35" xfId="2" applyNumberFormat="1" applyFont="1" applyFill="1" applyBorder="1" applyAlignment="1">
      <alignment horizontal="center"/>
    </xf>
    <xf numFmtId="43" fontId="3" fillId="0" borderId="25" xfId="2" applyNumberFormat="1" applyFont="1" applyFill="1" applyBorder="1" applyAlignment="1">
      <alignment horizontal="center"/>
    </xf>
    <xf numFmtId="180" fontId="3" fillId="0" borderId="39" xfId="2" applyNumberFormat="1" applyFont="1" applyFill="1" applyBorder="1" applyAlignment="1">
      <alignment horizontal="center" vertical="center"/>
    </xf>
    <xf numFmtId="43" fontId="3" fillId="0" borderId="39" xfId="2" applyFont="1" applyFill="1" applyBorder="1" applyAlignment="1">
      <alignment horizontal="center" vertical="center"/>
    </xf>
    <xf numFmtId="180" fontId="3" fillId="0" borderId="40" xfId="2" applyNumberFormat="1" applyFont="1" applyFill="1" applyBorder="1" applyAlignment="1">
      <alignment horizontal="center" vertical="center"/>
    </xf>
    <xf numFmtId="179" fontId="3" fillId="0" borderId="39" xfId="2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43" fontId="3" fillId="0" borderId="0" xfId="2" applyNumberFormat="1" applyFont="1" applyFill="1" applyBorder="1"/>
    <xf numFmtId="43" fontId="3" fillId="0" borderId="0" xfId="2" applyNumberFormat="1" applyFont="1" applyFill="1"/>
    <xf numFmtId="43" fontId="3" fillId="0" borderId="11" xfId="2" applyNumberFormat="1" applyFont="1" applyFill="1" applyBorder="1"/>
    <xf numFmtId="0" fontId="7" fillId="0" borderId="1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left"/>
    </xf>
    <xf numFmtId="0" fontId="7" fillId="0" borderId="45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44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center" vertical="center" wrapText="1"/>
    </xf>
    <xf numFmtId="0" fontId="7" fillId="0" borderId="46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47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wrapText="1"/>
    </xf>
    <xf numFmtId="0" fontId="7" fillId="0" borderId="45" xfId="0" applyFont="1" applyFill="1" applyBorder="1" applyAlignment="1">
      <alignment horizontal="center" wrapText="1"/>
    </xf>
    <xf numFmtId="0" fontId="7" fillId="0" borderId="43" xfId="0" applyFont="1" applyFill="1" applyBorder="1" applyAlignment="1">
      <alignment horizontal="center" wrapText="1"/>
    </xf>
    <xf numFmtId="0" fontId="7" fillId="0" borderId="20" xfId="0" applyFont="1" applyFill="1" applyBorder="1" applyAlignment="1">
      <alignment horizontal="center" wrapText="1"/>
    </xf>
    <xf numFmtId="0" fontId="7" fillId="0" borderId="47" xfId="0" applyFont="1" applyFill="1" applyBorder="1" applyAlignment="1">
      <alignment horizontal="center" wrapText="1"/>
    </xf>
    <xf numFmtId="1" fontId="17" fillId="0" borderId="22" xfId="0" quotePrefix="1" applyNumberFormat="1" applyFont="1" applyFill="1" applyBorder="1" applyAlignment="1">
      <alignment horizontal="center" vertical="center"/>
    </xf>
    <xf numFmtId="169" fontId="8" fillId="0" borderId="35" xfId="0" applyNumberFormat="1" applyFont="1" applyFill="1" applyBorder="1" applyAlignment="1">
      <alignment horizontal="center"/>
    </xf>
    <xf numFmtId="165" fontId="8" fillId="0" borderId="35" xfId="0" applyNumberFormat="1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center"/>
    </xf>
    <xf numFmtId="2" fontId="8" fillId="0" borderId="22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67" fontId="8" fillId="0" borderId="52" xfId="0" applyNumberFormat="1" applyFont="1" applyFill="1" applyBorder="1" applyAlignment="1">
      <alignment horizontal="center"/>
    </xf>
    <xf numFmtId="2" fontId="8" fillId="0" borderId="22" xfId="0" applyNumberFormat="1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167" fontId="8" fillId="0" borderId="51" xfId="0" applyNumberFormat="1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wrapText="1"/>
    </xf>
    <xf numFmtId="165" fontId="8" fillId="0" borderId="40" xfId="0" applyNumberFormat="1" applyFont="1" applyFill="1" applyBorder="1" applyAlignment="1">
      <alignment horizontal="center"/>
    </xf>
    <xf numFmtId="1" fontId="8" fillId="0" borderId="40" xfId="0" applyNumberFormat="1" applyFont="1" applyFill="1" applyBorder="1" applyAlignment="1">
      <alignment horizontal="center"/>
    </xf>
    <xf numFmtId="2" fontId="17" fillId="0" borderId="22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0" fontId="3" fillId="0" borderId="6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10" fontId="4" fillId="0" borderId="0" xfId="4" applyNumberFormat="1" applyFont="1" applyFill="1"/>
    <xf numFmtId="0" fontId="30" fillId="0" borderId="0" xfId="0" applyFont="1" applyFill="1"/>
    <xf numFmtId="2" fontId="4" fillId="0" borderId="0" xfId="0" applyNumberFormat="1" applyFont="1" applyFill="1"/>
    <xf numFmtId="9" fontId="4" fillId="0" borderId="0" xfId="4" applyFont="1" applyFill="1"/>
    <xf numFmtId="0" fontId="19" fillId="0" borderId="0" xfId="0" applyFont="1" applyFill="1"/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4" xfId="0" applyFont="1" applyFill="1" applyBorder="1"/>
    <xf numFmtId="0" fontId="3" fillId="0" borderId="5" xfId="0" applyFont="1" applyFill="1" applyBorder="1"/>
    <xf numFmtId="0" fontId="3" fillId="0" borderId="51" xfId="0" applyFont="1" applyFill="1" applyBorder="1"/>
    <xf numFmtId="0" fontId="19" fillId="0" borderId="0" xfId="0" applyFont="1" applyFill="1" applyAlignment="1">
      <alignment vertical="center"/>
    </xf>
    <xf numFmtId="175" fontId="8" fillId="0" borderId="15" xfId="0" applyNumberFormat="1" applyFont="1" applyFill="1" applyBorder="1" applyAlignment="1">
      <alignment horizontal="center"/>
    </xf>
    <xf numFmtId="0" fontId="19" fillId="0" borderId="11" xfId="0" applyFont="1" applyFill="1" applyBorder="1"/>
    <xf numFmtId="1" fontId="17" fillId="0" borderId="23" xfId="0" quotePrefix="1" applyNumberFormat="1" applyFont="1" applyFill="1" applyBorder="1" applyAlignment="1">
      <alignment horizontal="center" vertical="center"/>
    </xf>
    <xf numFmtId="175" fontId="8" fillId="0" borderId="28" xfId="0" applyNumberFormat="1" applyFont="1" applyFill="1" applyBorder="1" applyAlignment="1">
      <alignment horizontal="center"/>
    </xf>
    <xf numFmtId="169" fontId="8" fillId="0" borderId="25" xfId="0" applyNumberFormat="1" applyFont="1" applyFill="1" applyBorder="1" applyAlignment="1">
      <alignment horizontal="center"/>
    </xf>
    <xf numFmtId="165" fontId="8" fillId="0" borderId="54" xfId="0" applyNumberFormat="1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/>
    </xf>
    <xf numFmtId="169" fontId="8" fillId="0" borderId="48" xfId="0" applyNumberFormat="1" applyFont="1" applyFill="1" applyBorder="1" applyAlignment="1">
      <alignment horizontal="center"/>
    </xf>
    <xf numFmtId="2" fontId="8" fillId="0" borderId="49" xfId="0" applyNumberFormat="1" applyFont="1" applyFill="1" applyBorder="1" applyAlignment="1">
      <alignment horizontal="right"/>
    </xf>
    <xf numFmtId="2" fontId="7" fillId="0" borderId="8" xfId="0" applyNumberFormat="1" applyFont="1" applyFill="1" applyBorder="1" applyAlignment="1">
      <alignment horizontal="right"/>
    </xf>
    <xf numFmtId="167" fontId="8" fillId="0" borderId="53" xfId="0" applyNumberFormat="1" applyFont="1" applyFill="1" applyBorder="1" applyAlignment="1">
      <alignment horizontal="center"/>
    </xf>
    <xf numFmtId="0" fontId="7" fillId="0" borderId="22" xfId="0" applyFont="1" applyFill="1" applyBorder="1"/>
    <xf numFmtId="0" fontId="3" fillId="0" borderId="17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165" fontId="8" fillId="0" borderId="25" xfId="0" applyNumberFormat="1" applyFont="1" applyFill="1" applyBorder="1" applyAlignment="1">
      <alignment horizontal="center"/>
    </xf>
    <xf numFmtId="165" fontId="8" fillId="0" borderId="41" xfId="0" applyNumberFormat="1" applyFont="1" applyFill="1" applyBorder="1" applyAlignment="1">
      <alignment horizontal="center"/>
    </xf>
    <xf numFmtId="1" fontId="8" fillId="0" borderId="41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3" fillId="0" borderId="2" xfId="0" applyFont="1" applyFill="1" applyBorder="1"/>
    <xf numFmtId="2" fontId="3" fillId="0" borderId="25" xfId="0" applyNumberFormat="1" applyFont="1" applyFill="1" applyBorder="1" applyAlignment="1">
      <alignment horizontal="center"/>
    </xf>
    <xf numFmtId="2" fontId="17" fillId="0" borderId="23" xfId="0" quotePrefix="1" applyNumberFormat="1" applyFont="1" applyFill="1" applyBorder="1" applyAlignment="1">
      <alignment horizontal="center" vertical="center"/>
    </xf>
    <xf numFmtId="2" fontId="3" fillId="0" borderId="11" xfId="0" applyNumberFormat="1" applyFont="1" applyFill="1" applyBorder="1" applyAlignment="1">
      <alignment horizontal="center"/>
    </xf>
    <xf numFmtId="2" fontId="3" fillId="0" borderId="36" xfId="0" applyNumberFormat="1" applyFont="1" applyFill="1" applyBorder="1" applyAlignment="1">
      <alignment horizontal="center"/>
    </xf>
    <xf numFmtId="2" fontId="3" fillId="0" borderId="35" xfId="0" applyNumberFormat="1" applyFont="1" applyFill="1" applyBorder="1" applyAlignment="1">
      <alignment horizontal="center"/>
    </xf>
    <xf numFmtId="0" fontId="3" fillId="0" borderId="29" xfId="0" applyFont="1" applyFill="1" applyBorder="1"/>
    <xf numFmtId="165" fontId="3" fillId="0" borderId="29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29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left"/>
    </xf>
    <xf numFmtId="9" fontId="3" fillId="0" borderId="0" xfId="4" applyFont="1" applyFill="1"/>
    <xf numFmtId="9" fontId="3" fillId="0" borderId="11" xfId="4" applyFont="1" applyFill="1" applyBorder="1"/>
    <xf numFmtId="0" fontId="3" fillId="0" borderId="11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8" fillId="0" borderId="22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1" fontId="17" fillId="0" borderId="0" xfId="0" applyNumberFormat="1" applyFont="1" applyFill="1" applyAlignment="1">
      <alignment horizontal="center" vertical="center"/>
    </xf>
    <xf numFmtId="9" fontId="10" fillId="0" borderId="0" xfId="4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/>
    </xf>
    <xf numFmtId="2" fontId="17" fillId="0" borderId="0" xfId="0" applyNumberFormat="1" applyFont="1" applyFill="1" applyAlignment="1">
      <alignment horizontal="center" vertical="center"/>
    </xf>
    <xf numFmtId="177" fontId="17" fillId="0" borderId="0" xfId="4" applyNumberFormat="1" applyFont="1" applyFill="1" applyAlignment="1">
      <alignment vertical="center"/>
    </xf>
    <xf numFmtId="3" fontId="3" fillId="0" borderId="0" xfId="0" applyNumberFormat="1" applyFont="1" applyFill="1" applyBorder="1"/>
    <xf numFmtId="3" fontId="3" fillId="0" borderId="0" xfId="0" applyNumberFormat="1" applyFont="1" applyFill="1" applyAlignment="1">
      <alignment horizontal="right"/>
    </xf>
    <xf numFmtId="0" fontId="17" fillId="0" borderId="0" xfId="0" applyFont="1" applyFill="1"/>
    <xf numFmtId="174" fontId="8" fillId="0" borderId="0" xfId="0" applyNumberFormat="1" applyFont="1" applyFill="1"/>
    <xf numFmtId="0" fontId="7" fillId="0" borderId="32" xfId="0" applyFont="1" applyFill="1" applyBorder="1" applyAlignment="1">
      <alignment horizontal="left" wrapText="1"/>
    </xf>
    <xf numFmtId="0" fontId="7" fillId="0" borderId="0" xfId="0" applyFont="1" applyFill="1" applyAlignment="1"/>
    <xf numFmtId="0" fontId="7" fillId="0" borderId="32" xfId="0" applyFont="1" applyFill="1" applyBorder="1" applyAlignment="1">
      <alignment horizontal="center"/>
    </xf>
    <xf numFmtId="0" fontId="12" fillId="0" borderId="17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171" fontId="7" fillId="0" borderId="18" xfId="0" applyNumberFormat="1" applyFont="1" applyFill="1" applyBorder="1" applyAlignment="1">
      <alignment horizontal="left" wrapText="1"/>
    </xf>
    <xf numFmtId="0" fontId="12" fillId="0" borderId="12" xfId="0" applyFont="1" applyFill="1" applyBorder="1" applyAlignment="1">
      <alignment vertical="center"/>
    </xf>
    <xf numFmtId="0" fontId="9" fillId="0" borderId="17" xfId="0" applyFont="1" applyFill="1" applyBorder="1" applyAlignment="1">
      <alignment vertical="center"/>
    </xf>
    <xf numFmtId="0" fontId="9" fillId="0" borderId="17" xfId="0" applyFont="1" applyFill="1" applyBorder="1" applyAlignment="1">
      <alignment horizontal="center" vertical="center"/>
    </xf>
    <xf numFmtId="165" fontId="8" fillId="0" borderId="0" xfId="0" applyNumberFormat="1" applyFont="1" applyFill="1"/>
    <xf numFmtId="0" fontId="7" fillId="0" borderId="0" xfId="0" applyFont="1" applyFill="1" applyBorder="1" applyAlignment="1" applyProtection="1">
      <alignment horizontal="left" vertical="center" wrapText="1"/>
      <protection locked="0"/>
    </xf>
    <xf numFmtId="171" fontId="7" fillId="0" borderId="0" xfId="0" applyNumberFormat="1" applyFont="1" applyFill="1" applyAlignment="1">
      <alignment horizontal="center"/>
    </xf>
    <xf numFmtId="171" fontId="7" fillId="0" borderId="33" xfId="0" applyNumberFormat="1" applyFont="1" applyFill="1" applyBorder="1" applyAlignment="1">
      <alignment horizontal="center"/>
    </xf>
    <xf numFmtId="171" fontId="7" fillId="0" borderId="16" xfId="0" applyNumberFormat="1" applyFont="1" applyFill="1" applyBorder="1" applyAlignment="1">
      <alignment horizontal="left"/>
    </xf>
    <xf numFmtId="171" fontId="8" fillId="0" borderId="16" xfId="0" applyNumberFormat="1" applyFont="1" applyFill="1" applyBorder="1" applyAlignment="1">
      <alignment horizontal="left"/>
    </xf>
    <xf numFmtId="168" fontId="8" fillId="0" borderId="16" xfId="0" applyNumberFormat="1" applyFont="1" applyFill="1" applyBorder="1" applyAlignment="1">
      <alignment horizontal="center"/>
    </xf>
    <xf numFmtId="168" fontId="7" fillId="0" borderId="27" xfId="0" applyNumberFormat="1" applyFont="1" applyFill="1" applyBorder="1" applyAlignment="1">
      <alignment horizontal="right"/>
    </xf>
    <xf numFmtId="171" fontId="8" fillId="0" borderId="0" xfId="0" applyNumberFormat="1" applyFont="1" applyFill="1" applyBorder="1" applyAlignment="1">
      <alignment horizontal="left"/>
    </xf>
    <xf numFmtId="172" fontId="8" fillId="0" borderId="0" xfId="0" applyNumberFormat="1" applyFont="1" applyFill="1" applyBorder="1" applyAlignment="1">
      <alignment horizontal="center"/>
    </xf>
    <xf numFmtId="9" fontId="34" fillId="0" borderId="0" xfId="0" applyNumberFormat="1" applyFont="1" applyFill="1" applyBorder="1" applyAlignment="1">
      <alignment horizontal="center" vertical="top"/>
    </xf>
    <xf numFmtId="171" fontId="8" fillId="0" borderId="16" xfId="0" quotePrefix="1" applyNumberFormat="1" applyFont="1" applyFill="1" applyBorder="1" applyAlignment="1">
      <alignment horizontal="center"/>
    </xf>
    <xf numFmtId="168" fontId="7" fillId="0" borderId="16" xfId="0" quotePrefix="1" applyNumberFormat="1" applyFont="1" applyFill="1" applyBorder="1" applyAlignment="1">
      <alignment horizontal="center"/>
    </xf>
    <xf numFmtId="173" fontId="8" fillId="0" borderId="16" xfId="0" quotePrefix="1" applyNumberFormat="1" applyFont="1" applyFill="1" applyBorder="1" applyAlignment="1">
      <alignment horizontal="center"/>
    </xf>
    <xf numFmtId="171" fontId="35" fillId="0" borderId="16" xfId="0" quotePrefix="1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 applyProtection="1">
      <alignment horizontal="center"/>
    </xf>
    <xf numFmtId="171" fontId="8" fillId="0" borderId="16" xfId="0" applyNumberFormat="1" applyFont="1" applyFill="1" applyBorder="1" applyAlignment="1">
      <alignment horizontal="center"/>
    </xf>
    <xf numFmtId="2" fontId="8" fillId="0" borderId="16" xfId="0" applyNumberFormat="1" applyFont="1" applyFill="1" applyBorder="1" applyAlignment="1">
      <alignment horizontal="center"/>
    </xf>
    <xf numFmtId="2" fontId="8" fillId="0" borderId="16" xfId="4" applyNumberFormat="1" applyFont="1" applyFill="1" applyBorder="1" applyAlignment="1">
      <alignment horizontal="center"/>
    </xf>
    <xf numFmtId="165" fontId="8" fillId="0" borderId="16" xfId="4" applyNumberFormat="1" applyFont="1" applyFill="1" applyBorder="1" applyAlignment="1">
      <alignment horizontal="center"/>
    </xf>
  </cellXfs>
  <cellStyles count="29">
    <cellStyle name="Accent2" xfId="1" builtinId="33"/>
    <cellStyle name="Comma" xfId="2" builtinId="3"/>
    <cellStyle name="Cover" xfId="19" xr:uid="{0990FB00-35E8-4B4F-B84C-E83004053F4E}"/>
    <cellStyle name="Good" xfId="3" builtinId="26"/>
    <cellStyle name="Normal" xfId="0" builtinId="0"/>
    <cellStyle name="Normal 2" xfId="7" xr:uid="{039133AA-1A27-4832-80A7-B81EF390CA1E}"/>
    <cellStyle name="Normal 2 2" xfId="11" xr:uid="{90171540-A60D-48DA-A956-2B8F518AC7B8}"/>
    <cellStyle name="Normal 2 2 2" xfId="21" xr:uid="{85F26F22-A0CB-4DBF-B33D-EA94F851D728}"/>
    <cellStyle name="Normal 2 3" xfId="15" xr:uid="{B7C8A8FB-0BB7-4E6E-B006-6F8091C27650}"/>
    <cellStyle name="Normal 2 4" xfId="20" xr:uid="{45946860-1A02-4BD2-826C-6C6273EC96A1}"/>
    <cellStyle name="Normal 3" xfId="6" xr:uid="{BC5E96AB-A224-401B-B417-97E4B006E2E2}"/>
    <cellStyle name="Normal 3 2" xfId="10" xr:uid="{3CCF08DF-397A-466A-9360-BBEFEA2453FA}"/>
    <cellStyle name="Normal 3 3" xfId="14" xr:uid="{BA2C92D9-676C-455B-BEC9-CA113FF24F30}"/>
    <cellStyle name="Normal 3 4" xfId="22" xr:uid="{6D8A07F4-B889-4066-9CB9-DE4A4A9F6E49}"/>
    <cellStyle name="Normal 4" xfId="8" xr:uid="{A05D102E-CCF9-4146-ABD9-77BCD75E34DF}"/>
    <cellStyle name="Normal 4 2" xfId="12" xr:uid="{91AC5665-EFAB-48D4-B1F2-0193CB4651D5}"/>
    <cellStyle name="Normal 4 3" xfId="16" xr:uid="{68129616-97C0-498E-BBA6-BD7B7CA6CF38}"/>
    <cellStyle name="Normal 4 4" xfId="23" xr:uid="{85C3D05B-0DD6-4F3A-9197-2A5B2A0AAE99}"/>
    <cellStyle name="Normal 5" xfId="9" xr:uid="{5470067E-515A-4F75-8D96-408C88CC9CE9}"/>
    <cellStyle name="Normal 5 2" xfId="13" xr:uid="{A0436ED4-B2CF-4632-96A4-F980C2E464B0}"/>
    <cellStyle name="Normal 5 3" xfId="17" xr:uid="{F852A9D3-621A-43B7-815E-28D714B3E0C6}"/>
    <cellStyle name="Normal 6" xfId="18" xr:uid="{582EFAB6-C4E0-450B-9641-DBC65C4AD2DE}"/>
    <cellStyle name="Normal 7" xfId="5" xr:uid="{36F6DFD7-50BD-4DCC-9344-9B3D4A93E185}"/>
    <cellStyle name="Normal 8" xfId="27" xr:uid="{754250EF-6232-425F-811B-93E823D00B13}"/>
    <cellStyle name="Normal_Table" xfId="26" xr:uid="{6EA1C054-51F2-44B9-9A9A-B54C5DD34C37}"/>
    <cellStyle name="NumberCellStyle" xfId="24" xr:uid="{122443E8-C696-423E-9C50-1DCAE5C8DAC3}"/>
    <cellStyle name="Percent" xfId="4" builtinId="5"/>
    <cellStyle name="Percent 2" xfId="28" xr:uid="{BADE0063-D85D-4333-B7D5-6587B2AA0678}"/>
    <cellStyle name="Year" xfId="25" xr:uid="{DF343F0F-0D80-4B3A-B661-28882AA075A3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203"/>
  <sheetViews>
    <sheetView zoomScale="55" zoomScaleNormal="55" workbookViewId="0">
      <pane xSplit="3" ySplit="4" topLeftCell="D5" activePane="bottomRight" state="frozen"/>
      <selection activeCell="F221" sqref="F221"/>
      <selection pane="topRight" activeCell="F221" sqref="F221"/>
      <selection pane="bottomLeft" activeCell="F221" sqref="F221"/>
      <selection pane="bottomRight" sqref="A1:XFD1048576"/>
    </sheetView>
  </sheetViews>
  <sheetFormatPr defaultRowHeight="13.2"/>
  <cols>
    <col min="1" max="1" width="20.33203125" style="51" customWidth="1"/>
    <col min="2" max="2" width="44.33203125" style="51" customWidth="1"/>
    <col min="3" max="3" width="30.6640625" style="51" customWidth="1"/>
    <col min="4" max="4" width="18.33203125" style="44" bestFit="1" customWidth="1"/>
    <col min="5" max="5" width="22.44140625" style="44" bestFit="1" customWidth="1"/>
    <col min="6" max="6" width="21.44140625" style="44" bestFit="1" customWidth="1"/>
    <col min="7" max="7" width="22.88671875" style="44" bestFit="1" customWidth="1"/>
    <col min="8" max="8" width="16.33203125" style="44" bestFit="1" customWidth="1"/>
    <col min="9" max="9" width="16.5546875" style="44" bestFit="1" customWidth="1"/>
    <col min="10" max="10" width="20.44140625" style="44" bestFit="1" customWidth="1"/>
    <col min="11" max="11" width="18" style="44" bestFit="1" customWidth="1"/>
    <col min="12" max="12" width="17" style="44" bestFit="1" customWidth="1"/>
    <col min="13" max="15" width="17.33203125" style="44" bestFit="1" customWidth="1"/>
    <col min="16" max="16" width="17.88671875" style="44" bestFit="1" customWidth="1"/>
    <col min="17" max="17" width="13.44140625" style="44" bestFit="1" customWidth="1"/>
    <col min="18" max="18" width="13.44140625" style="44" customWidth="1"/>
    <col min="19" max="19" width="14.6640625" style="51" customWidth="1"/>
    <col min="20" max="20" width="11" style="51" bestFit="1" customWidth="1"/>
    <col min="21" max="21" width="33.33203125" style="51" bestFit="1" customWidth="1"/>
    <col min="22" max="22" width="24.33203125" style="51" customWidth="1"/>
    <col min="23" max="23" width="15.88671875" style="51" customWidth="1"/>
    <col min="24" max="24" width="12.109375" style="51" customWidth="1"/>
    <col min="25" max="25" width="11" style="51" customWidth="1"/>
    <col min="26" max="26" width="14.109375" style="51" bestFit="1" customWidth="1"/>
    <col min="27" max="27" width="11.6640625" style="51" customWidth="1"/>
    <col min="28" max="16384" width="8.88671875" style="51"/>
  </cols>
  <sheetData>
    <row r="1" spans="1:32" s="22" customFormat="1" ht="17.399999999999999">
      <c r="A1" s="86"/>
      <c r="B1" s="36" t="s">
        <v>334</v>
      </c>
      <c r="C1" s="86"/>
      <c r="D1" s="29"/>
      <c r="E1" s="28"/>
      <c r="F1" s="28"/>
      <c r="G1" s="28"/>
      <c r="H1" s="28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32" s="22" customFormat="1" ht="13.8">
      <c r="A2" s="86"/>
      <c r="B2" s="86"/>
      <c r="C2" s="86"/>
      <c r="E2" s="28"/>
      <c r="F2" s="28"/>
      <c r="G2" s="28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32" s="22" customFormat="1" ht="13.8">
      <c r="A3" s="347" t="s">
        <v>347</v>
      </c>
      <c r="B3" s="86"/>
      <c r="C3" s="86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V3" s="24"/>
    </row>
    <row r="4" spans="1:32" s="349" customFormat="1" ht="26.25" customHeight="1" thickBot="1">
      <c r="A4" s="88"/>
      <c r="B4" s="88" t="s">
        <v>333</v>
      </c>
      <c r="C4" s="88"/>
      <c r="D4" s="93" t="s">
        <v>407</v>
      </c>
      <c r="E4" s="93" t="s">
        <v>55</v>
      </c>
      <c r="F4" s="93" t="s">
        <v>152</v>
      </c>
      <c r="G4" s="93" t="s">
        <v>153</v>
      </c>
      <c r="H4" s="93" t="s">
        <v>160</v>
      </c>
      <c r="I4" s="93" t="str">
        <f>Commodities!E14</f>
        <v>Fuel Oil</v>
      </c>
      <c r="J4" s="93" t="s">
        <v>165</v>
      </c>
      <c r="K4" s="93" t="s">
        <v>171</v>
      </c>
      <c r="L4" s="93" t="s">
        <v>179</v>
      </c>
      <c r="M4" s="93" t="s">
        <v>93</v>
      </c>
      <c r="N4" s="93" t="s">
        <v>180</v>
      </c>
      <c r="O4" s="93" t="s">
        <v>177</v>
      </c>
      <c r="P4" s="93" t="s">
        <v>182</v>
      </c>
      <c r="Q4" s="93" t="s">
        <v>186</v>
      </c>
      <c r="R4" s="93" t="s">
        <v>187</v>
      </c>
      <c r="S4" s="348" t="s">
        <v>336</v>
      </c>
      <c r="U4" s="37"/>
      <c r="V4" s="33"/>
      <c r="W4" s="10"/>
      <c r="X4" s="37"/>
      <c r="Y4" s="37"/>
    </row>
    <row r="5" spans="1:32" s="22" customFormat="1" ht="13.8">
      <c r="A5" s="85"/>
      <c r="B5" s="361" t="s">
        <v>335</v>
      </c>
      <c r="C5" s="362"/>
      <c r="D5" s="363">
        <f>'En.Bal-Final_Energy'!M43</f>
        <v>0</v>
      </c>
      <c r="E5" s="363">
        <f>'En.Bal-Final_Energy'!L43</f>
        <v>0</v>
      </c>
      <c r="F5" s="363">
        <f>'En.Bal-Final_Energy'!N43</f>
        <v>0</v>
      </c>
      <c r="G5" s="363"/>
      <c r="H5" s="363">
        <f>'En.Bal-Final_Energy'!AE43</f>
        <v>31.872015000000001</v>
      </c>
      <c r="I5" s="363">
        <f>'En.Bal-Final_Energy'!AM43+'En.Bal-Final_Energy'!AS43</f>
        <v>40.821300000000008</v>
      </c>
      <c r="J5" s="363">
        <f>'En.Bal-Final_Energy'!AL43</f>
        <v>32.971049999999998</v>
      </c>
      <c r="K5" s="363">
        <f>'En.Bal-Final_Energy'!AU43</f>
        <v>97.832955600000005</v>
      </c>
      <c r="L5" s="363">
        <f>'En.Bal-Final_Energy'!BF43</f>
        <v>0.21980700000000003</v>
      </c>
      <c r="M5" s="363"/>
      <c r="N5" s="363"/>
      <c r="O5" s="363"/>
      <c r="P5" s="363"/>
      <c r="Q5" s="363">
        <f>'En.Bal-Final_Energy'!BW43</f>
        <v>7.3792349999999995</v>
      </c>
      <c r="R5" s="363">
        <f>'En.Bal-Final_Energy'!BX43</f>
        <v>9.9227159999999994</v>
      </c>
      <c r="S5" s="364">
        <f>SUM(D5:R5)</f>
        <v>221.01907860000003</v>
      </c>
      <c r="U5" s="365"/>
      <c r="V5" s="366"/>
      <c r="W5" s="367"/>
    </row>
    <row r="6" spans="1:32" s="85" customFormat="1" ht="14.4" thickBot="1">
      <c r="D6" s="147" t="str">
        <f>Commodities!D32</f>
        <v>RSDCOASUB</v>
      </c>
      <c r="E6" s="147" t="str">
        <f>Commodities!D31</f>
        <v>RSDCOABIC</v>
      </c>
      <c r="F6" s="147" t="str">
        <f>Commodities!D33</f>
        <v>RSDCOABCO</v>
      </c>
      <c r="G6" s="147" t="s">
        <v>926</v>
      </c>
      <c r="H6" s="147" t="str">
        <f>Commodities!D35</f>
        <v>RSDOILLPG</v>
      </c>
      <c r="I6" s="147" t="str">
        <f>Commodities!D36</f>
        <v>RSDOILHFO</v>
      </c>
      <c r="J6" s="147" t="str">
        <f>Commodities!D34</f>
        <v>RSDOILDSL</v>
      </c>
      <c r="K6" s="147" t="str">
        <f>Commodities!D37</f>
        <v>RSDGASNAT</v>
      </c>
      <c r="L6" s="147" t="str">
        <f>Commodities!D38</f>
        <v>RSDBIOLOG</v>
      </c>
      <c r="M6" s="147" t="str">
        <f>Commodities!D43</f>
        <v>RSDBIOCHR</v>
      </c>
      <c r="N6" s="147" t="str">
        <f>Commodities!D41</f>
        <v>RSDBIOBGS</v>
      </c>
      <c r="O6" s="147" t="str">
        <f>Commodities!D44</f>
        <v>RSDRESSOL</v>
      </c>
      <c r="P6" s="147" t="str">
        <f>Commodities!D45</f>
        <v>RSDRESGEO</v>
      </c>
      <c r="Q6" s="147" t="str">
        <f>Commodities!$D$50</f>
        <v>RSDLTH</v>
      </c>
      <c r="R6" s="147" t="str">
        <f>Commodities!D48</f>
        <v>RSDELC</v>
      </c>
      <c r="S6" s="350"/>
      <c r="U6" s="11"/>
      <c r="V6" s="11"/>
      <c r="W6" s="11"/>
      <c r="X6" s="11"/>
      <c r="Y6" s="11"/>
    </row>
    <row r="7" spans="1:32">
      <c r="V7" s="41"/>
      <c r="W7" s="41"/>
      <c r="X7" s="41"/>
      <c r="Y7" s="41"/>
    </row>
    <row r="9" spans="1:32" ht="17.399999999999999">
      <c r="A9" s="351"/>
      <c r="B9" s="351" t="s">
        <v>391</v>
      </c>
      <c r="C9" s="351"/>
      <c r="D9" s="352"/>
      <c r="E9" s="352"/>
      <c r="F9" s="352"/>
      <c r="G9" s="352"/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</row>
    <row r="10" spans="1:32" s="5" customFormat="1" ht="28.2" thickBot="1">
      <c r="B10" s="92" t="s">
        <v>337</v>
      </c>
      <c r="C10" s="353">
        <f>C5</f>
        <v>0</v>
      </c>
      <c r="D10" s="93" t="str">
        <f t="shared" ref="D10:R10" si="0">D4</f>
        <v>Sub-bituminous coal</v>
      </c>
      <c r="E10" s="93" t="str">
        <f t="shared" si="0"/>
        <v>Other bituminous coal</v>
      </c>
      <c r="F10" s="93" t="str">
        <f t="shared" si="0"/>
        <v>Lignite / Brown Coal</v>
      </c>
      <c r="G10" s="93" t="str">
        <f t="shared" si="0"/>
        <v>BKB</v>
      </c>
      <c r="H10" s="93" t="str">
        <f t="shared" si="0"/>
        <v>LPG</v>
      </c>
      <c r="I10" s="93" t="str">
        <f t="shared" si="0"/>
        <v>Fuel Oil</v>
      </c>
      <c r="J10" s="93" t="str">
        <f t="shared" si="0"/>
        <v>Gas/Diesel Oil (w/o bio)</v>
      </c>
      <c r="K10" s="93" t="str">
        <f t="shared" si="0"/>
        <v>Natural gas</v>
      </c>
      <c r="L10" s="93" t="str">
        <f t="shared" si="0"/>
        <v>Solid biomass</v>
      </c>
      <c r="M10" s="93" t="str">
        <f t="shared" si="0"/>
        <v>Charcoal</v>
      </c>
      <c r="N10" s="93" t="str">
        <f t="shared" si="0"/>
        <v>Biogas (all)</v>
      </c>
      <c r="O10" s="93" t="str">
        <f t="shared" si="0"/>
        <v>Solar thermal</v>
      </c>
      <c r="P10" s="93" t="str">
        <f t="shared" si="0"/>
        <v>Geo-thermal</v>
      </c>
      <c r="Q10" s="93" t="str">
        <f t="shared" si="0"/>
        <v>Derived heat</v>
      </c>
      <c r="R10" s="93" t="str">
        <f t="shared" si="0"/>
        <v>Electricity</v>
      </c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</row>
    <row r="11" spans="1:32" s="5" customFormat="1" ht="13.8">
      <c r="A11" s="347" t="str">
        <f>C11</f>
        <v>RSD_DTA1</v>
      </c>
      <c r="B11" s="362" t="str">
        <f>Commodities!AB7</f>
        <v>Detached - Area1</v>
      </c>
      <c r="C11" s="362" t="str">
        <f>Commodities!AA7</f>
        <v>RSD_DTA1</v>
      </c>
      <c r="D11" s="368"/>
      <c r="E11" s="368"/>
      <c r="F11" s="368"/>
      <c r="G11" s="368"/>
      <c r="H11" s="368">
        <v>1</v>
      </c>
      <c r="I11" s="368">
        <v>1</v>
      </c>
      <c r="J11" s="368">
        <v>1</v>
      </c>
      <c r="K11" s="368">
        <v>0.1</v>
      </c>
      <c r="L11" s="368">
        <v>1</v>
      </c>
      <c r="M11" s="368"/>
      <c r="N11" s="368"/>
      <c r="O11" s="368"/>
      <c r="P11" s="368"/>
      <c r="Q11" s="369"/>
      <c r="R11" s="368">
        <f>RSD_Stock!E7/RSD_Stock!E15</f>
        <v>0.49499999999999994</v>
      </c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</row>
    <row r="12" spans="1:32" s="5" customFormat="1" ht="13.8">
      <c r="A12" s="347" t="str">
        <f t="shared" ref="A12:A18" si="1">C12</f>
        <v>RSD_APA1</v>
      </c>
      <c r="B12" s="362" t="str">
        <f>Commodities!AB8</f>
        <v>Apartment - Area1</v>
      </c>
      <c r="C12" s="362" t="str">
        <f>Commodities!AA8</f>
        <v>RSD_APA1</v>
      </c>
      <c r="D12" s="368"/>
      <c r="E12" s="368"/>
      <c r="F12" s="368"/>
      <c r="G12" s="368"/>
      <c r="H12" s="368"/>
      <c r="I12" s="370"/>
      <c r="J12" s="368"/>
      <c r="K12" s="368">
        <v>0.9</v>
      </c>
      <c r="L12" s="368"/>
      <c r="M12" s="368"/>
      <c r="N12" s="368"/>
      <c r="O12" s="368"/>
      <c r="P12" s="368"/>
      <c r="Q12" s="368">
        <v>1</v>
      </c>
      <c r="R12" s="368">
        <f>1-R11</f>
        <v>0.50500000000000012</v>
      </c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</row>
    <row r="13" spans="1:32" s="5" customFormat="1" ht="13.8" hidden="1">
      <c r="A13" s="347" t="str">
        <f t="shared" si="1"/>
        <v>RSD_DTA2</v>
      </c>
      <c r="B13" s="362" t="str">
        <f>Commodities!AB9</f>
        <v>Detached - Area2</v>
      </c>
      <c r="C13" s="362" t="str">
        <f>Commodities!AA9</f>
        <v>RSD_DTA2</v>
      </c>
      <c r="D13" s="368"/>
      <c r="E13" s="368"/>
      <c r="F13" s="368"/>
      <c r="G13" s="368"/>
      <c r="H13" s="368"/>
      <c r="I13" s="368"/>
      <c r="J13" s="368"/>
      <c r="K13" s="371"/>
      <c r="L13" s="368"/>
      <c r="M13" s="368"/>
      <c r="N13" s="368"/>
      <c r="O13" s="368"/>
      <c r="P13" s="368"/>
      <c r="Q13" s="369"/>
      <c r="R13" s="368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</row>
    <row r="14" spans="1:32" s="5" customFormat="1" ht="13.8" hidden="1">
      <c r="A14" s="347" t="str">
        <f t="shared" si="1"/>
        <v>RSD_APA2</v>
      </c>
      <c r="B14" s="362" t="str">
        <f>Commodities!AB10</f>
        <v>Apartment - Area2</v>
      </c>
      <c r="C14" s="362" t="str">
        <f>Commodities!AA10</f>
        <v>RSD_APA2</v>
      </c>
      <c r="D14" s="368"/>
      <c r="E14" s="368"/>
      <c r="F14" s="368"/>
      <c r="G14" s="368"/>
      <c r="H14" s="368"/>
      <c r="I14" s="368"/>
      <c r="J14" s="368"/>
      <c r="K14" s="371"/>
      <c r="L14" s="368"/>
      <c r="M14" s="368"/>
      <c r="N14" s="368"/>
      <c r="O14" s="368"/>
      <c r="P14" s="368"/>
      <c r="Q14" s="369"/>
      <c r="R14" s="368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</row>
    <row r="15" spans="1:32" s="5" customFormat="1" ht="13.8" hidden="1">
      <c r="A15" s="347" t="str">
        <f t="shared" si="1"/>
        <v>RSD_DTA3</v>
      </c>
      <c r="B15" s="362" t="str">
        <f>Commodities!AB11</f>
        <v>Detached - Area3</v>
      </c>
      <c r="C15" s="362" t="str">
        <f>Commodities!AA11</f>
        <v>RSD_DTA3</v>
      </c>
      <c r="D15" s="368"/>
      <c r="E15" s="368"/>
      <c r="F15" s="368"/>
      <c r="G15" s="368"/>
      <c r="H15" s="368"/>
      <c r="I15" s="368"/>
      <c r="J15" s="368"/>
      <c r="K15" s="371"/>
      <c r="L15" s="368"/>
      <c r="M15" s="368"/>
      <c r="N15" s="368"/>
      <c r="O15" s="368"/>
      <c r="P15" s="368"/>
      <c r="Q15" s="369"/>
      <c r="R15" s="368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</row>
    <row r="16" spans="1:32" s="5" customFormat="1" ht="13.8" hidden="1">
      <c r="A16" s="347" t="str">
        <f t="shared" si="1"/>
        <v>RSD_APA3</v>
      </c>
      <c r="B16" s="362" t="str">
        <f>Commodities!AB12</f>
        <v>Apartment - Area3</v>
      </c>
      <c r="C16" s="362" t="str">
        <f>Commodities!AA12</f>
        <v>RSD_APA3</v>
      </c>
      <c r="D16" s="368"/>
      <c r="E16" s="368"/>
      <c r="F16" s="368"/>
      <c r="G16" s="368"/>
      <c r="H16" s="368"/>
      <c r="I16" s="368"/>
      <c r="J16" s="368"/>
      <c r="K16" s="371"/>
      <c r="L16" s="368"/>
      <c r="M16" s="368"/>
      <c r="N16" s="368"/>
      <c r="O16" s="368"/>
      <c r="P16" s="368"/>
      <c r="Q16" s="369"/>
      <c r="R16" s="368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</row>
    <row r="17" spans="1:32" s="5" customFormat="1" ht="13.8" hidden="1">
      <c r="A17" s="347" t="str">
        <f t="shared" si="1"/>
        <v>RSD_DTA4</v>
      </c>
      <c r="B17" s="362" t="str">
        <f>Commodities!AB13</f>
        <v>Detached - Area4</v>
      </c>
      <c r="C17" s="362" t="str">
        <f>Commodities!AA13</f>
        <v>RSD_DTA4</v>
      </c>
      <c r="D17" s="368"/>
      <c r="E17" s="368"/>
      <c r="F17" s="368"/>
      <c r="G17" s="368"/>
      <c r="H17" s="368"/>
      <c r="I17" s="368"/>
      <c r="J17" s="368"/>
      <c r="K17" s="371"/>
      <c r="L17" s="368"/>
      <c r="M17" s="368"/>
      <c r="N17" s="368"/>
      <c r="O17" s="368"/>
      <c r="P17" s="368"/>
      <c r="Q17" s="369"/>
      <c r="R17" s="368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</row>
    <row r="18" spans="1:32" s="5" customFormat="1" ht="13.8" hidden="1">
      <c r="A18" s="347" t="e">
        <f t="shared" si="1"/>
        <v>#REF!</v>
      </c>
      <c r="B18" s="362" t="e">
        <f>Commodities!#REF!</f>
        <v>#REF!</v>
      </c>
      <c r="C18" s="362" t="e">
        <f>Commodities!#REF!</f>
        <v>#REF!</v>
      </c>
      <c r="D18" s="368"/>
      <c r="E18" s="368"/>
      <c r="F18" s="368"/>
      <c r="G18" s="368"/>
      <c r="H18" s="368"/>
      <c r="I18" s="368"/>
      <c r="J18" s="368"/>
      <c r="K18" s="371"/>
      <c r="L18" s="368"/>
      <c r="M18" s="368"/>
      <c r="N18" s="368"/>
      <c r="O18" s="368"/>
      <c r="P18" s="368"/>
      <c r="Q18" s="369"/>
      <c r="R18" s="368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</row>
    <row r="19" spans="1:32" s="5" customFormat="1" ht="13.8">
      <c r="B19" s="23" t="s">
        <v>358</v>
      </c>
      <c r="C19" s="24"/>
      <c r="D19" s="372" t="str">
        <f>IF(SUM(D11:D18)=0, "",
IF(SUM(D11:D18)&lt;&gt;1,"ERR: " &amp;  SUM(D11:D18),SUM(D11:D18)))</f>
        <v/>
      </c>
      <c r="E19" s="372" t="str">
        <f t="shared" ref="E19:R19" si="2">IF(SUM(E11:E18)=0, "",
IF(SUM(E11:E18)&lt;&gt;1,"ERR: " &amp;  SUM(E11:E18),SUM(E11:E18)))</f>
        <v/>
      </c>
      <c r="F19" s="372" t="str">
        <f t="shared" si="2"/>
        <v/>
      </c>
      <c r="G19" s="372" t="str">
        <f t="shared" si="2"/>
        <v/>
      </c>
      <c r="H19" s="372">
        <f t="shared" si="2"/>
        <v>1</v>
      </c>
      <c r="I19" s="372">
        <f t="shared" si="2"/>
        <v>1</v>
      </c>
      <c r="J19" s="372">
        <f t="shared" si="2"/>
        <v>1</v>
      </c>
      <c r="K19" s="372">
        <f t="shared" si="2"/>
        <v>1</v>
      </c>
      <c r="L19" s="372">
        <f t="shared" si="2"/>
        <v>1</v>
      </c>
      <c r="M19" s="372" t="str">
        <f t="shared" si="2"/>
        <v/>
      </c>
      <c r="N19" s="372" t="str">
        <f t="shared" si="2"/>
        <v/>
      </c>
      <c r="O19" s="372" t="str">
        <f t="shared" si="2"/>
        <v/>
      </c>
      <c r="P19" s="372" t="str">
        <f t="shared" si="2"/>
        <v/>
      </c>
      <c r="Q19" s="372">
        <f t="shared" si="2"/>
        <v>1</v>
      </c>
      <c r="R19" s="372">
        <f t="shared" si="2"/>
        <v>1</v>
      </c>
    </row>
    <row r="20" spans="1:32" s="5" customFormat="1" ht="13.8">
      <c r="B20" s="23"/>
      <c r="C20" s="24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</row>
    <row r="22" spans="1:32" ht="17.399999999999999">
      <c r="A22" s="354" t="s">
        <v>426</v>
      </c>
      <c r="B22" s="354"/>
      <c r="C22" s="351"/>
      <c r="D22" s="352"/>
      <c r="E22" s="352"/>
      <c r="F22" s="352"/>
      <c r="G22" s="352"/>
      <c r="H22" s="352"/>
      <c r="I22" s="352"/>
      <c r="J22" s="352"/>
      <c r="K22" s="352"/>
      <c r="L22" s="352"/>
      <c r="M22" s="352"/>
      <c r="N22" s="352"/>
      <c r="O22" s="352"/>
      <c r="P22" s="352"/>
      <c r="Q22" s="352"/>
      <c r="R22" s="352"/>
    </row>
    <row r="23" spans="1:32" s="25" customFormat="1" ht="30.75" customHeight="1" thickBot="1">
      <c r="B23" s="25" t="s">
        <v>337</v>
      </c>
      <c r="C23" s="353" t="s">
        <v>348</v>
      </c>
      <c r="D23" s="93" t="str">
        <f t="shared" ref="D23:R23" si="3">D4</f>
        <v>Sub-bituminous coal</v>
      </c>
      <c r="E23" s="93" t="str">
        <f t="shared" si="3"/>
        <v>Other bituminous coal</v>
      </c>
      <c r="F23" s="93" t="str">
        <f t="shared" si="3"/>
        <v>Lignite / Brown Coal</v>
      </c>
      <c r="G23" s="93" t="str">
        <f t="shared" si="3"/>
        <v>BKB</v>
      </c>
      <c r="H23" s="93" t="str">
        <f t="shared" si="3"/>
        <v>LPG</v>
      </c>
      <c r="I23" s="93" t="str">
        <f t="shared" si="3"/>
        <v>Fuel Oil</v>
      </c>
      <c r="J23" s="93" t="str">
        <f t="shared" si="3"/>
        <v>Gas/Diesel Oil (w/o bio)</v>
      </c>
      <c r="K23" s="93" t="str">
        <f t="shared" si="3"/>
        <v>Natural gas</v>
      </c>
      <c r="L23" s="93" t="str">
        <f t="shared" si="3"/>
        <v>Solid biomass</v>
      </c>
      <c r="M23" s="93" t="str">
        <f t="shared" si="3"/>
        <v>Charcoal</v>
      </c>
      <c r="N23" s="93" t="str">
        <f t="shared" si="3"/>
        <v>Biogas (all)</v>
      </c>
      <c r="O23" s="93" t="str">
        <f t="shared" si="3"/>
        <v>Solar thermal</v>
      </c>
      <c r="P23" s="93" t="str">
        <f t="shared" si="3"/>
        <v>Geo-thermal</v>
      </c>
      <c r="Q23" s="93" t="str">
        <f t="shared" si="3"/>
        <v>Derived heat</v>
      </c>
      <c r="R23" s="93" t="str">
        <f t="shared" si="3"/>
        <v>Electricity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</row>
    <row r="24" spans="1:32" ht="14.4" thickBot="1">
      <c r="A24" s="5" t="str">
        <f>Commodities!AA15</f>
        <v>RSD_DTA1_SH</v>
      </c>
      <c r="B24" s="92" t="str">
        <f>Commodities!$AB$7</f>
        <v>Detached - Area1</v>
      </c>
      <c r="C24" s="51" t="s">
        <v>331</v>
      </c>
      <c r="D24" s="373">
        <v>0.93</v>
      </c>
      <c r="E24" s="373">
        <v>0.93</v>
      </c>
      <c r="F24" s="373">
        <v>1</v>
      </c>
      <c r="G24" s="374">
        <v>1</v>
      </c>
      <c r="H24" s="374"/>
      <c r="I24" s="374">
        <v>1</v>
      </c>
      <c r="J24" s="374">
        <v>1</v>
      </c>
      <c r="K24" s="374">
        <v>0.7</v>
      </c>
      <c r="L24" s="374">
        <v>1</v>
      </c>
      <c r="M24" s="374">
        <v>1</v>
      </c>
      <c r="N24" s="374">
        <v>1</v>
      </c>
      <c r="O24" s="374">
        <v>1</v>
      </c>
      <c r="P24" s="374">
        <v>1</v>
      </c>
      <c r="Q24" s="374">
        <v>0.9</v>
      </c>
      <c r="R24" s="374">
        <v>0.02</v>
      </c>
    </row>
    <row r="25" spans="1:32" ht="13.8">
      <c r="A25" s="5" t="str">
        <f>Commodities!AA31</f>
        <v>RSD_DTA1_SC</v>
      </c>
      <c r="C25" s="51" t="s">
        <v>338</v>
      </c>
      <c r="D25" s="373"/>
      <c r="E25" s="373"/>
      <c r="F25" s="373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>
        <v>3.0000000000000001E-3</v>
      </c>
    </row>
    <row r="26" spans="1:32" ht="13.8">
      <c r="A26" s="5" t="str">
        <f>Commodities!AA23</f>
        <v>RSD_DTA1_WH</v>
      </c>
      <c r="C26" s="51" t="s">
        <v>339</v>
      </c>
      <c r="D26" s="373">
        <f>1-D24</f>
        <v>6.9999999999999951E-2</v>
      </c>
      <c r="E26" s="373">
        <f>1-E24</f>
        <v>6.9999999999999951E-2</v>
      </c>
      <c r="F26" s="373">
        <f>1-F24</f>
        <v>0</v>
      </c>
      <c r="G26" s="374"/>
      <c r="H26" s="374">
        <v>0.9</v>
      </c>
      <c r="I26" s="374"/>
      <c r="J26" s="374"/>
      <c r="K26" s="374">
        <v>0.3</v>
      </c>
      <c r="L26" s="374"/>
      <c r="M26" s="374"/>
      <c r="N26" s="374"/>
      <c r="O26" s="374"/>
      <c r="P26" s="374"/>
      <c r="Q26" s="374">
        <f>1-Q24</f>
        <v>9.9999999999999978E-2</v>
      </c>
      <c r="R26" s="374">
        <v>0</v>
      </c>
    </row>
    <row r="27" spans="1:32" ht="13.8">
      <c r="A27" s="5" t="str">
        <f>Commodities!AA39</f>
        <v>RSD_DTA1_CK</v>
      </c>
      <c r="C27" s="51" t="s">
        <v>340</v>
      </c>
      <c r="D27" s="373"/>
      <c r="E27" s="373"/>
      <c r="F27" s="373"/>
      <c r="G27" s="374"/>
      <c r="H27" s="374">
        <f>1-H26-H24</f>
        <v>9.9999999999999978E-2</v>
      </c>
      <c r="I27" s="374"/>
      <c r="J27" s="374"/>
      <c r="K27" s="374"/>
      <c r="L27" s="374"/>
      <c r="M27" s="374"/>
      <c r="N27" s="374"/>
      <c r="O27" s="374"/>
      <c r="P27" s="374"/>
      <c r="Q27" s="374"/>
      <c r="R27" s="374">
        <v>0.15</v>
      </c>
    </row>
    <row r="28" spans="1:32" ht="13.8">
      <c r="A28" s="5" t="str">
        <f>Commodities!AA47</f>
        <v>RSD_DTA1_LI</v>
      </c>
      <c r="C28" s="51" t="s">
        <v>341</v>
      </c>
      <c r="D28" s="373"/>
      <c r="E28" s="373"/>
      <c r="F28" s="373"/>
      <c r="G28" s="373"/>
      <c r="H28" s="373"/>
      <c r="I28" s="373"/>
      <c r="J28" s="373"/>
      <c r="K28" s="373"/>
      <c r="L28" s="373"/>
      <c r="M28" s="373"/>
      <c r="N28" s="373"/>
      <c r="O28" s="373"/>
      <c r="P28" s="373"/>
      <c r="Q28" s="373"/>
      <c r="R28" s="374">
        <v>0.27</v>
      </c>
    </row>
    <row r="29" spans="1:32" ht="13.8">
      <c r="A29" s="5" t="str">
        <f>Commodities!AA55</f>
        <v>RSD_DTA1_RF</v>
      </c>
      <c r="C29" s="51" t="s">
        <v>342</v>
      </c>
      <c r="D29" s="373"/>
      <c r="E29" s="373"/>
      <c r="F29" s="373"/>
      <c r="G29" s="373"/>
      <c r="H29" s="373"/>
      <c r="I29" s="373"/>
      <c r="J29" s="373"/>
      <c r="K29" s="373"/>
      <c r="L29" s="373"/>
      <c r="M29" s="373"/>
      <c r="N29" s="373"/>
      <c r="O29" s="373"/>
      <c r="P29" s="373"/>
      <c r="Q29" s="373"/>
      <c r="R29" s="375">
        <v>0.17</v>
      </c>
    </row>
    <row r="30" spans="1:32" ht="13.8">
      <c r="A30" s="5" t="str">
        <f>Commodities!AA63</f>
        <v>RSD_DTA1_CW</v>
      </c>
      <c r="C30" s="51" t="s">
        <v>343</v>
      </c>
      <c r="D30" s="373"/>
      <c r="E30" s="373"/>
      <c r="F30" s="373"/>
      <c r="G30" s="373"/>
      <c r="H30" s="373"/>
      <c r="I30" s="373"/>
      <c r="J30" s="373"/>
      <c r="K30" s="373"/>
      <c r="L30" s="373"/>
      <c r="M30" s="373"/>
      <c r="N30" s="373"/>
      <c r="O30" s="373"/>
      <c r="P30" s="373"/>
      <c r="Q30" s="373"/>
      <c r="R30" s="375">
        <v>7.4999999999999997E-2</v>
      </c>
    </row>
    <row r="31" spans="1:32" ht="13.8">
      <c r="A31" s="5" t="str">
        <f>Commodities!AA71</f>
        <v>RSD_DTA1_DW</v>
      </c>
      <c r="C31" s="51" t="s">
        <v>344</v>
      </c>
      <c r="D31" s="373"/>
      <c r="E31" s="373"/>
      <c r="F31" s="373"/>
      <c r="G31" s="373"/>
      <c r="H31" s="373"/>
      <c r="I31" s="373"/>
      <c r="J31" s="373"/>
      <c r="K31" s="373"/>
      <c r="L31" s="373"/>
      <c r="M31" s="373"/>
      <c r="N31" s="373"/>
      <c r="O31" s="373"/>
      <c r="P31" s="373"/>
      <c r="Q31" s="373"/>
      <c r="R31" s="376">
        <v>1E-3</v>
      </c>
    </row>
    <row r="32" spans="1:32" ht="13.8">
      <c r="A32" s="5" t="str">
        <f>Commodities!AA79</f>
        <v>RSD_DTA1_AP</v>
      </c>
      <c r="C32" s="51" t="s">
        <v>345</v>
      </c>
      <c r="D32" s="373"/>
      <c r="E32" s="373"/>
      <c r="F32" s="373"/>
      <c r="G32" s="373"/>
      <c r="H32" s="373"/>
      <c r="I32" s="373"/>
      <c r="J32" s="373"/>
      <c r="K32" s="373"/>
      <c r="L32" s="373"/>
      <c r="M32" s="373"/>
      <c r="N32" s="373"/>
      <c r="O32" s="373"/>
      <c r="P32" s="373"/>
      <c r="Q32" s="373"/>
      <c r="R32" s="375">
        <f>1-SUM(R24:R31)</f>
        <v>0.31100000000000005</v>
      </c>
      <c r="U32" s="42"/>
      <c r="V32" s="185"/>
      <c r="W32" s="185"/>
      <c r="X32" s="185"/>
      <c r="Y32" s="185"/>
      <c r="Z32" s="185"/>
      <c r="AA32" s="185"/>
      <c r="AB32" s="185"/>
    </row>
    <row r="33" spans="1:21" s="5" customFormat="1" ht="13.8">
      <c r="B33" s="23" t="s">
        <v>358</v>
      </c>
      <c r="C33" s="24"/>
      <c r="D33" s="372">
        <f>IF(SUM(D24:D32)=0,"",
IF(SUM(D24:D32)&lt;&gt;1,"ERR: " &amp;  SUM(D24:D32),SUM(D24:D32)))</f>
        <v>1</v>
      </c>
      <c r="E33" s="372">
        <f t="shared" ref="E33:R33" si="4">IF(SUM(E24:E32)=0,"",
IF(SUM(E24:E32)&lt;&gt;1,"ERR: " &amp;  SUM(E24:E32),SUM(E24:E32)))</f>
        <v>1</v>
      </c>
      <c r="F33" s="372">
        <f t="shared" si="4"/>
        <v>1</v>
      </c>
      <c r="G33" s="372">
        <f t="shared" si="4"/>
        <v>1</v>
      </c>
      <c r="H33" s="372">
        <f t="shared" si="4"/>
        <v>1</v>
      </c>
      <c r="I33" s="372">
        <f t="shared" si="4"/>
        <v>1</v>
      </c>
      <c r="J33" s="372">
        <f t="shared" si="4"/>
        <v>1</v>
      </c>
      <c r="K33" s="372">
        <f t="shared" si="4"/>
        <v>1</v>
      </c>
      <c r="L33" s="372">
        <f t="shared" si="4"/>
        <v>1</v>
      </c>
      <c r="M33" s="372">
        <f t="shared" si="4"/>
        <v>1</v>
      </c>
      <c r="N33" s="372">
        <f t="shared" si="4"/>
        <v>1</v>
      </c>
      <c r="O33" s="372">
        <f t="shared" si="4"/>
        <v>1</v>
      </c>
      <c r="P33" s="372">
        <f t="shared" si="4"/>
        <v>1</v>
      </c>
      <c r="Q33" s="372">
        <f t="shared" si="4"/>
        <v>1</v>
      </c>
      <c r="R33" s="372">
        <f t="shared" si="4"/>
        <v>1</v>
      </c>
      <c r="U33" s="51"/>
    </row>
    <row r="34" spans="1:21" s="5" customFormat="1" ht="14.4" thickBot="1">
      <c r="A34" s="5" t="str">
        <f>Commodities!AA16</f>
        <v>RSD_APA1_SH</v>
      </c>
      <c r="B34" s="92" t="str">
        <f>Commodities!$AB$8</f>
        <v>Apartment - Area1</v>
      </c>
      <c r="C34" s="51" t="s">
        <v>331</v>
      </c>
      <c r="D34" s="373">
        <v>0.9</v>
      </c>
      <c r="E34" s="373">
        <v>0.9</v>
      </c>
      <c r="F34" s="373">
        <v>1</v>
      </c>
      <c r="G34" s="374">
        <v>1</v>
      </c>
      <c r="H34" s="374">
        <f>1-H36-H37</f>
        <v>0</v>
      </c>
      <c r="I34" s="374">
        <v>1</v>
      </c>
      <c r="J34" s="374">
        <v>1</v>
      </c>
      <c r="K34" s="374">
        <v>0.5</v>
      </c>
      <c r="L34" s="374">
        <v>1</v>
      </c>
      <c r="M34" s="374">
        <v>1</v>
      </c>
      <c r="N34" s="374">
        <v>1</v>
      </c>
      <c r="O34" s="374">
        <v>1</v>
      </c>
      <c r="P34" s="374">
        <v>1</v>
      </c>
      <c r="Q34" s="374">
        <v>0.75</v>
      </c>
      <c r="R34" s="374"/>
      <c r="T34" s="51"/>
      <c r="U34" s="51"/>
    </row>
    <row r="35" spans="1:21" s="5" customFormat="1" ht="13.8">
      <c r="A35" s="5" t="str">
        <f>Commodities!AA32</f>
        <v>RSD_APA1_SC</v>
      </c>
      <c r="B35" s="51"/>
      <c r="C35" s="51" t="s">
        <v>338</v>
      </c>
      <c r="D35" s="373"/>
      <c r="E35" s="373"/>
      <c r="F35" s="373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>
        <v>3.0000000000000001E-3</v>
      </c>
      <c r="T35" s="51"/>
      <c r="U35" s="51"/>
    </row>
    <row r="36" spans="1:21" s="5" customFormat="1" ht="13.8">
      <c r="A36" s="5" t="str">
        <f>Commodities!AA24</f>
        <v>RSD_APA1_WH</v>
      </c>
      <c r="B36" s="51"/>
      <c r="C36" s="51" t="s">
        <v>339</v>
      </c>
      <c r="D36" s="373">
        <v>0.1</v>
      </c>
      <c r="E36" s="373">
        <v>0.1</v>
      </c>
      <c r="F36" s="373"/>
      <c r="G36" s="374"/>
      <c r="H36" s="374">
        <v>0.35</v>
      </c>
      <c r="I36" s="374"/>
      <c r="J36" s="374"/>
      <c r="K36" s="374">
        <v>0.47</v>
      </c>
      <c r="L36" s="374"/>
      <c r="M36" s="374"/>
      <c r="N36" s="374"/>
      <c r="O36" s="374"/>
      <c r="P36" s="374"/>
      <c r="Q36" s="374">
        <v>0.25</v>
      </c>
      <c r="R36" s="374">
        <v>0</v>
      </c>
      <c r="T36" s="51"/>
      <c r="U36" s="51"/>
    </row>
    <row r="37" spans="1:21" s="5" customFormat="1" ht="13.8">
      <c r="A37" s="5" t="str">
        <f>Commodities!AA40</f>
        <v>RSD_APA1_CK</v>
      </c>
      <c r="B37" s="51"/>
      <c r="C37" s="51" t="s">
        <v>340</v>
      </c>
      <c r="D37" s="373"/>
      <c r="E37" s="373"/>
      <c r="F37" s="373"/>
      <c r="G37" s="374"/>
      <c r="H37" s="374">
        <v>0.65</v>
      </c>
      <c r="I37" s="374"/>
      <c r="J37" s="374"/>
      <c r="K37" s="374">
        <f>1-K36-K34</f>
        <v>3.0000000000000027E-2</v>
      </c>
      <c r="L37" s="374"/>
      <c r="M37" s="374"/>
      <c r="N37" s="374"/>
      <c r="O37" s="374"/>
      <c r="P37" s="374"/>
      <c r="Q37" s="374"/>
      <c r="R37" s="374">
        <v>0.15</v>
      </c>
      <c r="T37" s="51"/>
      <c r="U37" s="51"/>
    </row>
    <row r="38" spans="1:21" s="5" customFormat="1" ht="13.8">
      <c r="A38" s="5" t="str">
        <f>Commodities!AA48</f>
        <v>RSD_APA1_LI</v>
      </c>
      <c r="B38" s="51"/>
      <c r="C38" s="51" t="s">
        <v>341</v>
      </c>
      <c r="D38" s="373"/>
      <c r="E38" s="373"/>
      <c r="F38" s="373"/>
      <c r="G38" s="373"/>
      <c r="H38" s="373"/>
      <c r="I38" s="373"/>
      <c r="J38" s="373"/>
      <c r="K38" s="373"/>
      <c r="L38" s="373"/>
      <c r="M38" s="373"/>
      <c r="N38" s="373"/>
      <c r="O38" s="373"/>
      <c r="P38" s="373"/>
      <c r="Q38" s="373"/>
      <c r="R38" s="374">
        <v>0.27</v>
      </c>
      <c r="T38" s="51"/>
      <c r="U38" s="51"/>
    </row>
    <row r="39" spans="1:21" s="5" customFormat="1" ht="13.8">
      <c r="A39" s="5" t="str">
        <f>Commodities!AA56</f>
        <v>RSD_APA1_RF</v>
      </c>
      <c r="B39" s="51"/>
      <c r="C39" s="51" t="s">
        <v>342</v>
      </c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5">
        <v>0.17</v>
      </c>
      <c r="T39" s="51"/>
      <c r="U39" s="51"/>
    </row>
    <row r="40" spans="1:21" s="5" customFormat="1" ht="13.8">
      <c r="A40" s="5" t="str">
        <f>Commodities!AA64</f>
        <v>RSD_APA1_CW</v>
      </c>
      <c r="B40" s="51"/>
      <c r="C40" s="51" t="s">
        <v>343</v>
      </c>
      <c r="D40" s="373"/>
      <c r="E40" s="373"/>
      <c r="F40" s="373"/>
      <c r="G40" s="373"/>
      <c r="H40" s="373"/>
      <c r="I40" s="373"/>
      <c r="J40" s="373"/>
      <c r="K40" s="373"/>
      <c r="L40" s="373"/>
      <c r="M40" s="373"/>
      <c r="N40" s="373"/>
      <c r="O40" s="373"/>
      <c r="P40" s="373"/>
      <c r="Q40" s="373"/>
      <c r="R40" s="375">
        <v>7.4999999999999997E-2</v>
      </c>
      <c r="T40" s="51"/>
      <c r="U40" s="51"/>
    </row>
    <row r="41" spans="1:21" s="5" customFormat="1" ht="13.8">
      <c r="A41" s="5" t="str">
        <f>Commodities!AA72</f>
        <v>RSD_APA1_DW</v>
      </c>
      <c r="B41" s="51"/>
      <c r="C41" s="51" t="s">
        <v>344</v>
      </c>
      <c r="D41" s="373"/>
      <c r="E41" s="373"/>
      <c r="F41" s="373"/>
      <c r="G41" s="373"/>
      <c r="H41" s="373"/>
      <c r="I41" s="373"/>
      <c r="J41" s="373"/>
      <c r="K41" s="373"/>
      <c r="L41" s="373"/>
      <c r="M41" s="373"/>
      <c r="N41" s="373"/>
      <c r="O41" s="373"/>
      <c r="P41" s="373"/>
      <c r="Q41" s="373"/>
      <c r="R41" s="376">
        <v>1E-3</v>
      </c>
      <c r="T41" s="51"/>
      <c r="U41" s="51"/>
    </row>
    <row r="42" spans="1:21" s="5" customFormat="1" ht="13.8">
      <c r="A42" s="5" t="str">
        <f>Commodities!AA80</f>
        <v>RSD_APA1_AP</v>
      </c>
      <c r="B42" s="51"/>
      <c r="C42" s="51" t="s">
        <v>345</v>
      </c>
      <c r="D42" s="373"/>
      <c r="E42" s="373"/>
      <c r="F42" s="373"/>
      <c r="G42" s="373"/>
      <c r="H42" s="373"/>
      <c r="I42" s="373"/>
      <c r="J42" s="373"/>
      <c r="K42" s="373"/>
      <c r="L42" s="373"/>
      <c r="M42" s="373"/>
      <c r="N42" s="373"/>
      <c r="O42" s="373"/>
      <c r="P42" s="373"/>
      <c r="Q42" s="373"/>
      <c r="R42" s="375">
        <f>1-SUM(R34:R41)</f>
        <v>0.33099999999999996</v>
      </c>
      <c r="T42" s="51"/>
      <c r="U42" s="51"/>
    </row>
    <row r="43" spans="1:21" s="5" customFormat="1" ht="13.8">
      <c r="B43" s="23" t="s">
        <v>358</v>
      </c>
      <c r="C43" s="24"/>
      <c r="D43" s="372">
        <f t="shared" ref="D43:R43" si="5">IF(SUM(D34:D42)=0,"",
IF(SUM(D34:D42)&lt;&gt;1,"ERR: " &amp;  SUM(D34:D42),SUM(D34:D42)))</f>
        <v>1</v>
      </c>
      <c r="E43" s="372">
        <f t="shared" si="5"/>
        <v>1</v>
      </c>
      <c r="F43" s="372">
        <f t="shared" si="5"/>
        <v>1</v>
      </c>
      <c r="G43" s="372">
        <f t="shared" si="5"/>
        <v>1</v>
      </c>
      <c r="H43" s="372">
        <f t="shared" si="5"/>
        <v>1</v>
      </c>
      <c r="I43" s="372">
        <f t="shared" si="5"/>
        <v>1</v>
      </c>
      <c r="J43" s="372">
        <f t="shared" si="5"/>
        <v>1</v>
      </c>
      <c r="K43" s="372">
        <f t="shared" si="5"/>
        <v>1</v>
      </c>
      <c r="L43" s="372">
        <f t="shared" si="5"/>
        <v>1</v>
      </c>
      <c r="M43" s="372">
        <f t="shared" si="5"/>
        <v>1</v>
      </c>
      <c r="N43" s="372">
        <f t="shared" si="5"/>
        <v>1</v>
      </c>
      <c r="O43" s="372">
        <f t="shared" si="5"/>
        <v>1</v>
      </c>
      <c r="P43" s="372">
        <f t="shared" si="5"/>
        <v>1</v>
      </c>
      <c r="Q43" s="372">
        <f t="shared" si="5"/>
        <v>1</v>
      </c>
      <c r="R43" s="372">
        <f t="shared" si="5"/>
        <v>1</v>
      </c>
      <c r="U43" s="51"/>
    </row>
    <row r="44" spans="1:21" s="5" customFormat="1" ht="14.4" hidden="1" thickBot="1">
      <c r="A44" s="5" t="str">
        <f>Commodities!AA17</f>
        <v>RSD_DTA2_SH</v>
      </c>
      <c r="B44" s="92" t="str">
        <f>Commodities!$AB$9</f>
        <v>Detached - Area2</v>
      </c>
      <c r="C44" s="51" t="s">
        <v>331</v>
      </c>
      <c r="D44" s="373">
        <v>0.93</v>
      </c>
      <c r="E44" s="373">
        <v>0.93</v>
      </c>
      <c r="F44" s="373">
        <v>1</v>
      </c>
      <c r="G44" s="374">
        <v>1</v>
      </c>
      <c r="H44" s="374"/>
      <c r="I44" s="374">
        <v>1</v>
      </c>
      <c r="J44" s="374">
        <v>1</v>
      </c>
      <c r="K44" s="374">
        <v>0.9</v>
      </c>
      <c r="L44" s="374">
        <v>1</v>
      </c>
      <c r="M44" s="374">
        <v>1</v>
      </c>
      <c r="N44" s="374">
        <v>1</v>
      </c>
      <c r="O44" s="374">
        <v>1</v>
      </c>
      <c r="P44" s="374">
        <v>1</v>
      </c>
      <c r="Q44" s="374">
        <v>0.9</v>
      </c>
      <c r="R44" s="374"/>
      <c r="T44" s="51"/>
      <c r="U44" s="51"/>
    </row>
    <row r="45" spans="1:21" s="5" customFormat="1" ht="13.8" hidden="1">
      <c r="A45" s="5" t="str">
        <f>Commodities!AA33</f>
        <v>RSD_DTA2_SC</v>
      </c>
      <c r="B45" s="51"/>
      <c r="C45" s="51" t="s">
        <v>338</v>
      </c>
      <c r="D45" s="373"/>
      <c r="E45" s="373"/>
      <c r="F45" s="373"/>
      <c r="G45" s="374"/>
      <c r="H45" s="374"/>
      <c r="I45" s="374"/>
      <c r="J45" s="374"/>
      <c r="K45" s="374"/>
      <c r="L45" s="374"/>
      <c r="M45" s="374"/>
      <c r="N45" s="374"/>
      <c r="O45" s="374"/>
      <c r="P45" s="374"/>
      <c r="Q45" s="374"/>
      <c r="R45" s="374">
        <v>2.5000000000000001E-2</v>
      </c>
      <c r="T45" s="51"/>
      <c r="U45" s="51"/>
    </row>
    <row r="46" spans="1:21" s="5" customFormat="1" ht="13.8" hidden="1">
      <c r="A46" s="5" t="str">
        <f>Commodities!AA25</f>
        <v>RSD_DTA2_WH</v>
      </c>
      <c r="B46" s="51"/>
      <c r="C46" s="51" t="s">
        <v>339</v>
      </c>
      <c r="D46" s="373">
        <f>1-D44</f>
        <v>6.9999999999999951E-2</v>
      </c>
      <c r="E46" s="373">
        <f>1-E44</f>
        <v>6.9999999999999951E-2</v>
      </c>
      <c r="F46" s="373">
        <f>1-F44</f>
        <v>0</v>
      </c>
      <c r="G46" s="374"/>
      <c r="H46" s="374">
        <v>0.3</v>
      </c>
      <c r="I46" s="374"/>
      <c r="J46" s="374"/>
      <c r="K46" s="374">
        <f>1-K44</f>
        <v>9.9999999999999978E-2</v>
      </c>
      <c r="L46" s="374"/>
      <c r="M46" s="374"/>
      <c r="N46" s="374"/>
      <c r="O46" s="374"/>
      <c r="P46" s="374"/>
      <c r="Q46" s="374">
        <f>1-Q44</f>
        <v>9.9999999999999978E-2</v>
      </c>
      <c r="R46" s="374">
        <v>0.14000000000000001</v>
      </c>
      <c r="T46" s="51"/>
      <c r="U46" s="51"/>
    </row>
    <row r="47" spans="1:21" s="5" customFormat="1" ht="13.8" hidden="1">
      <c r="A47" s="5" t="str">
        <f>Commodities!AA41</f>
        <v>RSD_DTA2_CK</v>
      </c>
      <c r="B47" s="51"/>
      <c r="C47" s="51" t="s">
        <v>340</v>
      </c>
      <c r="D47" s="373"/>
      <c r="E47" s="373"/>
      <c r="F47" s="373"/>
      <c r="G47" s="374"/>
      <c r="H47" s="374">
        <f>1-H46</f>
        <v>0.7</v>
      </c>
      <c r="I47" s="374"/>
      <c r="J47" s="374"/>
      <c r="K47" s="374"/>
      <c r="L47" s="374"/>
      <c r="M47" s="374"/>
      <c r="N47" s="374"/>
      <c r="O47" s="374"/>
      <c r="P47" s="374"/>
      <c r="Q47" s="374"/>
      <c r="R47" s="374">
        <v>0.13</v>
      </c>
      <c r="T47" s="51"/>
      <c r="U47" s="51"/>
    </row>
    <row r="48" spans="1:21" s="5" customFormat="1" ht="13.8" hidden="1">
      <c r="A48" s="5" t="str">
        <f>Commodities!AA49</f>
        <v>RSD_DTA2_LI</v>
      </c>
      <c r="B48" s="51"/>
      <c r="C48" s="51" t="s">
        <v>341</v>
      </c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4">
        <v>0.27</v>
      </c>
      <c r="T48" s="51"/>
      <c r="U48" s="51"/>
    </row>
    <row r="49" spans="1:21" s="5" customFormat="1" ht="13.8" hidden="1">
      <c r="A49" s="5" t="str">
        <f>Commodities!AA57</f>
        <v>RSD_DTA2_RF</v>
      </c>
      <c r="B49" s="51"/>
      <c r="C49" s="51" t="s">
        <v>342</v>
      </c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5">
        <v>0.17</v>
      </c>
      <c r="T49" s="51"/>
      <c r="U49" s="51"/>
    </row>
    <row r="50" spans="1:21" s="5" customFormat="1" ht="13.8" hidden="1">
      <c r="A50" s="5" t="str">
        <f>Commodities!AA65</f>
        <v>RSD_DTA2_CW</v>
      </c>
      <c r="B50" s="51"/>
      <c r="C50" s="51" t="s">
        <v>343</v>
      </c>
      <c r="D50" s="373"/>
      <c r="E50" s="373"/>
      <c r="F50" s="373"/>
      <c r="G50" s="373"/>
      <c r="H50" s="373"/>
      <c r="I50" s="373"/>
      <c r="J50" s="373"/>
      <c r="K50" s="373"/>
      <c r="L50" s="373"/>
      <c r="M50" s="373"/>
      <c r="N50" s="373"/>
      <c r="O50" s="373"/>
      <c r="P50" s="373"/>
      <c r="Q50" s="373"/>
      <c r="R50" s="375">
        <v>7.0000000000000007E-2</v>
      </c>
      <c r="T50" s="51"/>
      <c r="U50" s="51"/>
    </row>
    <row r="51" spans="1:21" s="5" customFormat="1" ht="13.8" hidden="1">
      <c r="A51" s="5" t="str">
        <f>Commodities!AA73</f>
        <v>RSD_DTA2_DW</v>
      </c>
      <c r="B51" s="51"/>
      <c r="C51" s="51" t="s">
        <v>344</v>
      </c>
      <c r="D51" s="373"/>
      <c r="E51" s="373"/>
      <c r="F51" s="373"/>
      <c r="G51" s="373"/>
      <c r="H51" s="373"/>
      <c r="I51" s="373"/>
      <c r="J51" s="373"/>
      <c r="K51" s="373"/>
      <c r="L51" s="373"/>
      <c r="M51" s="373"/>
      <c r="N51" s="373"/>
      <c r="O51" s="373"/>
      <c r="P51" s="373"/>
      <c r="Q51" s="373"/>
      <c r="R51" s="375">
        <v>4.0000000000000001E-3</v>
      </c>
      <c r="T51" s="51"/>
      <c r="U51" s="51"/>
    </row>
    <row r="52" spans="1:21" s="5" customFormat="1" ht="13.8" hidden="1">
      <c r="A52" s="5" t="str">
        <f>Commodities!AA81</f>
        <v>RSD_DTA2_AP</v>
      </c>
      <c r="B52" s="51"/>
      <c r="C52" s="51" t="s">
        <v>345</v>
      </c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5">
        <f>1-SUM(R44:R51)</f>
        <v>0.19099999999999984</v>
      </c>
      <c r="T52" s="51"/>
      <c r="U52" s="51"/>
    </row>
    <row r="53" spans="1:21" s="5" customFormat="1" ht="13.8" hidden="1">
      <c r="B53" s="23" t="s">
        <v>358</v>
      </c>
      <c r="C53" s="24"/>
      <c r="D53" s="372">
        <f t="shared" ref="D53:R53" si="6">IF(SUM(D44:D52)=0,"",
IF(SUM(D44:D52)&lt;&gt;1,"ERR: " &amp;  SUM(D44:D52),SUM(D44:D52)))</f>
        <v>1</v>
      </c>
      <c r="E53" s="372">
        <f t="shared" si="6"/>
        <v>1</v>
      </c>
      <c r="F53" s="372">
        <f t="shared" si="6"/>
        <v>1</v>
      </c>
      <c r="G53" s="372">
        <f t="shared" si="6"/>
        <v>1</v>
      </c>
      <c r="H53" s="372">
        <f t="shared" si="6"/>
        <v>1</v>
      </c>
      <c r="I53" s="372">
        <f t="shared" si="6"/>
        <v>1</v>
      </c>
      <c r="J53" s="372">
        <f t="shared" si="6"/>
        <v>1</v>
      </c>
      <c r="K53" s="372">
        <f t="shared" si="6"/>
        <v>1</v>
      </c>
      <c r="L53" s="372">
        <f t="shared" si="6"/>
        <v>1</v>
      </c>
      <c r="M53" s="372">
        <f t="shared" si="6"/>
        <v>1</v>
      </c>
      <c r="N53" s="372">
        <f t="shared" si="6"/>
        <v>1</v>
      </c>
      <c r="O53" s="372">
        <f t="shared" si="6"/>
        <v>1</v>
      </c>
      <c r="P53" s="372">
        <f t="shared" si="6"/>
        <v>1</v>
      </c>
      <c r="Q53" s="372">
        <f t="shared" si="6"/>
        <v>1</v>
      </c>
      <c r="R53" s="372">
        <f t="shared" si="6"/>
        <v>1</v>
      </c>
      <c r="U53" s="51"/>
    </row>
    <row r="54" spans="1:21" s="5" customFormat="1" ht="14.4" hidden="1" thickBot="1">
      <c r="A54" s="5" t="str">
        <f>Commodities!AA18</f>
        <v>RSD_APA2_SH</v>
      </c>
      <c r="B54" s="92" t="str">
        <f>Commodities!$AB$10</f>
        <v>Apartment - Area2</v>
      </c>
      <c r="C54" s="51" t="s">
        <v>331</v>
      </c>
      <c r="D54" s="373">
        <v>0.85</v>
      </c>
      <c r="E54" s="373">
        <v>0.85</v>
      </c>
      <c r="F54" s="373">
        <v>1</v>
      </c>
      <c r="G54" s="374">
        <v>1</v>
      </c>
      <c r="H54" s="374">
        <f>1-H56-H57</f>
        <v>0</v>
      </c>
      <c r="I54" s="374">
        <v>1</v>
      </c>
      <c r="J54" s="374">
        <v>1</v>
      </c>
      <c r="K54" s="374">
        <v>0.8</v>
      </c>
      <c r="L54" s="374">
        <v>1</v>
      </c>
      <c r="M54" s="374">
        <v>1</v>
      </c>
      <c r="N54" s="374">
        <v>1</v>
      </c>
      <c r="O54" s="374">
        <v>1</v>
      </c>
      <c r="P54" s="374">
        <v>1</v>
      </c>
      <c r="Q54" s="374">
        <v>0.78</v>
      </c>
      <c r="R54" s="374">
        <v>9.7000000000000003E-2</v>
      </c>
      <c r="T54" s="51"/>
      <c r="U54" s="51"/>
    </row>
    <row r="55" spans="1:21" s="5" customFormat="1" ht="13.8" hidden="1">
      <c r="A55" s="5" t="str">
        <f>Commodities!AA34</f>
        <v>RSD_APA2_SC</v>
      </c>
      <c r="B55" s="51"/>
      <c r="C55" s="51" t="s">
        <v>338</v>
      </c>
      <c r="D55" s="373"/>
      <c r="E55" s="373"/>
      <c r="F55" s="373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>
        <v>3.2000000000000001E-2</v>
      </c>
      <c r="T55" s="51"/>
      <c r="U55" s="51"/>
    </row>
    <row r="56" spans="1:21" s="5" customFormat="1" ht="13.8" hidden="1">
      <c r="A56" s="5" t="str">
        <f>Commodities!AA26</f>
        <v>RSD_APA2_WH</v>
      </c>
      <c r="B56" s="51"/>
      <c r="C56" s="51" t="s">
        <v>339</v>
      </c>
      <c r="D56" s="373">
        <v>0.15</v>
      </c>
      <c r="E56" s="373">
        <v>0.15</v>
      </c>
      <c r="F56" s="373"/>
      <c r="G56" s="374"/>
      <c r="H56" s="374">
        <v>0.45</v>
      </c>
      <c r="I56" s="374"/>
      <c r="J56" s="374"/>
      <c r="K56" s="374">
        <v>0.2</v>
      </c>
      <c r="L56" s="374"/>
      <c r="M56" s="374"/>
      <c r="N56" s="374"/>
      <c r="O56" s="374"/>
      <c r="P56" s="374"/>
      <c r="Q56" s="374">
        <f>1-Q54</f>
        <v>0.21999999999999997</v>
      </c>
      <c r="R56" s="374">
        <v>0.01</v>
      </c>
      <c r="T56" s="51"/>
      <c r="U56" s="51"/>
    </row>
    <row r="57" spans="1:21" s="5" customFormat="1" ht="13.8" hidden="1">
      <c r="A57" s="5" t="str">
        <f>Commodities!AA42</f>
        <v>RSD_APA2_CK</v>
      </c>
      <c r="B57" s="51"/>
      <c r="C57" s="51" t="s">
        <v>340</v>
      </c>
      <c r="D57" s="373"/>
      <c r="E57" s="373"/>
      <c r="F57" s="373"/>
      <c r="G57" s="374"/>
      <c r="H57" s="374">
        <v>0.55000000000000004</v>
      </c>
      <c r="I57" s="374"/>
      <c r="J57" s="374"/>
      <c r="K57" s="374">
        <f>1-K54-K56</f>
        <v>0</v>
      </c>
      <c r="L57" s="374"/>
      <c r="M57" s="374"/>
      <c r="N57" s="374"/>
      <c r="O57" s="374"/>
      <c r="P57" s="374"/>
      <c r="Q57" s="374"/>
      <c r="R57" s="374">
        <v>0.15</v>
      </c>
      <c r="T57" s="51"/>
      <c r="U57" s="51"/>
    </row>
    <row r="58" spans="1:21" s="5" customFormat="1" ht="13.8" hidden="1">
      <c r="A58" s="5" t="str">
        <f>Commodities!AA50</f>
        <v>RSD_APA2_LI</v>
      </c>
      <c r="B58" s="51"/>
      <c r="C58" s="51" t="s">
        <v>341</v>
      </c>
      <c r="D58" s="373"/>
      <c r="E58" s="373"/>
      <c r="F58" s="373"/>
      <c r="G58" s="373"/>
      <c r="H58" s="373"/>
      <c r="I58" s="373"/>
      <c r="J58" s="373"/>
      <c r="K58" s="373"/>
      <c r="L58" s="373"/>
      <c r="M58" s="373"/>
      <c r="N58" s="373"/>
      <c r="O58" s="373"/>
      <c r="P58" s="373"/>
      <c r="Q58" s="373"/>
      <c r="R58" s="374">
        <v>0.27</v>
      </c>
      <c r="T58" s="51"/>
      <c r="U58" s="51"/>
    </row>
    <row r="59" spans="1:21" s="5" customFormat="1" ht="13.8" hidden="1">
      <c r="A59" s="5" t="str">
        <f>Commodities!AA58</f>
        <v>RSD_APA2_RF</v>
      </c>
      <c r="B59" s="51"/>
      <c r="C59" s="51" t="s">
        <v>342</v>
      </c>
      <c r="D59" s="373"/>
      <c r="E59" s="373"/>
      <c r="F59" s="373"/>
      <c r="G59" s="373"/>
      <c r="H59" s="373"/>
      <c r="I59" s="373"/>
      <c r="J59" s="373"/>
      <c r="K59" s="373"/>
      <c r="L59" s="373"/>
      <c r="M59" s="373"/>
      <c r="N59" s="373"/>
      <c r="O59" s="373"/>
      <c r="P59" s="373"/>
      <c r="Q59" s="373"/>
      <c r="R59" s="375">
        <v>0.17</v>
      </c>
      <c r="T59" s="51"/>
      <c r="U59" s="51"/>
    </row>
    <row r="60" spans="1:21" s="5" customFormat="1" ht="13.8" hidden="1">
      <c r="A60" s="5" t="str">
        <f>Commodities!AA66</f>
        <v>RSD_APA2_CW</v>
      </c>
      <c r="B60" s="51"/>
      <c r="C60" s="51" t="s">
        <v>343</v>
      </c>
      <c r="D60" s="373"/>
      <c r="E60" s="373"/>
      <c r="F60" s="373"/>
      <c r="G60" s="373"/>
      <c r="H60" s="373"/>
      <c r="I60" s="373"/>
      <c r="J60" s="373"/>
      <c r="K60" s="373"/>
      <c r="L60" s="373"/>
      <c r="M60" s="373"/>
      <c r="N60" s="373"/>
      <c r="O60" s="373"/>
      <c r="P60" s="373"/>
      <c r="Q60" s="373"/>
      <c r="R60" s="375">
        <v>7.0000000000000007E-2</v>
      </c>
      <c r="T60" s="51"/>
      <c r="U60" s="51"/>
    </row>
    <row r="61" spans="1:21" s="5" customFormat="1" ht="13.8" hidden="1">
      <c r="A61" s="5" t="str">
        <f>Commodities!AA74</f>
        <v>RSD_APA2_DW</v>
      </c>
      <c r="B61" s="51"/>
      <c r="C61" s="51" t="s">
        <v>344</v>
      </c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5">
        <v>4.0000000000000001E-3</v>
      </c>
      <c r="T61" s="51"/>
      <c r="U61" s="51"/>
    </row>
    <row r="62" spans="1:21" s="5" customFormat="1" ht="13.8" hidden="1">
      <c r="A62" s="5" t="str">
        <f>Commodities!AA82</f>
        <v>RSD_APA2_AP</v>
      </c>
      <c r="B62" s="51"/>
      <c r="C62" s="51" t="s">
        <v>345</v>
      </c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5">
        <f>1-SUM(R54:R61)</f>
        <v>0.19699999999999984</v>
      </c>
      <c r="T62" s="51"/>
      <c r="U62" s="51"/>
    </row>
    <row r="63" spans="1:21" s="5" customFormat="1" ht="13.8" hidden="1">
      <c r="B63" s="23" t="s">
        <v>358</v>
      </c>
      <c r="C63" s="24"/>
      <c r="D63" s="372">
        <f t="shared" ref="D63:R63" si="7">IF(SUM(D54:D62)=0,"",
IF(SUM(D54:D62)&lt;&gt;1,"ERR: " &amp;  SUM(D54:D62),SUM(D54:D62)))</f>
        <v>1</v>
      </c>
      <c r="E63" s="372">
        <f t="shared" si="7"/>
        <v>1</v>
      </c>
      <c r="F63" s="372">
        <f t="shared" si="7"/>
        <v>1</v>
      </c>
      <c r="G63" s="372">
        <f t="shared" si="7"/>
        <v>1</v>
      </c>
      <c r="H63" s="372">
        <f t="shared" si="7"/>
        <v>1</v>
      </c>
      <c r="I63" s="372">
        <f t="shared" si="7"/>
        <v>1</v>
      </c>
      <c r="J63" s="372">
        <f t="shared" si="7"/>
        <v>1</v>
      </c>
      <c r="K63" s="372">
        <f t="shared" si="7"/>
        <v>1</v>
      </c>
      <c r="L63" s="372">
        <f t="shared" si="7"/>
        <v>1</v>
      </c>
      <c r="M63" s="372">
        <f t="shared" si="7"/>
        <v>1</v>
      </c>
      <c r="N63" s="372">
        <f t="shared" si="7"/>
        <v>1</v>
      </c>
      <c r="O63" s="372">
        <f t="shared" si="7"/>
        <v>1</v>
      </c>
      <c r="P63" s="372">
        <f t="shared" si="7"/>
        <v>1</v>
      </c>
      <c r="Q63" s="372">
        <f t="shared" si="7"/>
        <v>1</v>
      </c>
      <c r="R63" s="372">
        <f t="shared" si="7"/>
        <v>1</v>
      </c>
      <c r="U63" s="51"/>
    </row>
    <row r="64" spans="1:21" s="5" customFormat="1" ht="14.4" hidden="1" thickBot="1">
      <c r="A64" s="5" t="str">
        <f>Commodities!AA19</f>
        <v>RSD_DTA3_SH</v>
      </c>
      <c r="B64" s="92" t="str">
        <f>Commodities!$AB$11</f>
        <v>Detached - Area3</v>
      </c>
      <c r="C64" s="51" t="s">
        <v>331</v>
      </c>
      <c r="D64" s="373">
        <f>1-D66</f>
        <v>1</v>
      </c>
      <c r="E64" s="373">
        <f>1-E66</f>
        <v>1</v>
      </c>
      <c r="F64" s="373">
        <v>1</v>
      </c>
      <c r="G64" s="374">
        <v>1</v>
      </c>
      <c r="H64" s="374">
        <f>1-H66-H67</f>
        <v>0</v>
      </c>
      <c r="I64" s="374">
        <v>1</v>
      </c>
      <c r="J64" s="374">
        <v>1</v>
      </c>
      <c r="K64" s="374">
        <v>0.9</v>
      </c>
      <c r="L64" s="374">
        <v>1</v>
      </c>
      <c r="M64" s="374">
        <v>1</v>
      </c>
      <c r="N64" s="374">
        <v>1</v>
      </c>
      <c r="O64" s="374">
        <v>1</v>
      </c>
      <c r="P64" s="374">
        <v>1</v>
      </c>
      <c r="Q64" s="374">
        <v>0.9</v>
      </c>
      <c r="R64" s="374"/>
      <c r="T64" s="51"/>
      <c r="U64" s="51"/>
    </row>
    <row r="65" spans="1:21" s="5" customFormat="1" ht="13.8" hidden="1">
      <c r="A65" s="5" t="str">
        <f>Commodities!AA35</f>
        <v>RSD_DTA3_SC</v>
      </c>
      <c r="B65" s="51"/>
      <c r="C65" s="51" t="s">
        <v>338</v>
      </c>
      <c r="D65" s="373"/>
      <c r="E65" s="373"/>
      <c r="F65" s="373"/>
      <c r="G65" s="374"/>
      <c r="H65" s="374"/>
      <c r="I65" s="374"/>
      <c r="J65" s="374"/>
      <c r="K65" s="374"/>
      <c r="L65" s="374"/>
      <c r="M65" s="374"/>
      <c r="N65" s="374"/>
      <c r="O65" s="374"/>
      <c r="P65" s="374"/>
      <c r="Q65" s="374"/>
      <c r="R65" s="374">
        <v>0.08</v>
      </c>
      <c r="T65" s="51"/>
      <c r="U65" s="51"/>
    </row>
    <row r="66" spans="1:21" s="5" customFormat="1" ht="13.8" hidden="1">
      <c r="A66" s="5" t="str">
        <f>Commodities!AA27</f>
        <v>RSD_DTA3_WH</v>
      </c>
      <c r="B66" s="51"/>
      <c r="C66" s="51" t="s">
        <v>339</v>
      </c>
      <c r="D66" s="373"/>
      <c r="E66" s="373"/>
      <c r="F66" s="373"/>
      <c r="G66" s="374"/>
      <c r="H66" s="374">
        <v>0</v>
      </c>
      <c r="I66" s="374"/>
      <c r="J66" s="374"/>
      <c r="K66" s="374">
        <v>0.1</v>
      </c>
      <c r="L66" s="374"/>
      <c r="M66" s="374"/>
      <c r="N66" s="374"/>
      <c r="O66" s="374"/>
      <c r="P66" s="374"/>
      <c r="Q66" s="374">
        <f>1-Q64</f>
        <v>9.9999999999999978E-2</v>
      </c>
      <c r="R66" s="374">
        <v>0.1</v>
      </c>
      <c r="T66" s="51"/>
      <c r="U66" s="51"/>
    </row>
    <row r="67" spans="1:21" s="5" customFormat="1" ht="13.8" hidden="1">
      <c r="A67" s="5" t="str">
        <f>Commodities!AA43</f>
        <v>RSD_DTA3_CK</v>
      </c>
      <c r="B67" s="51"/>
      <c r="C67" s="51" t="s">
        <v>340</v>
      </c>
      <c r="D67" s="373"/>
      <c r="E67" s="373"/>
      <c r="F67" s="373"/>
      <c r="G67" s="374"/>
      <c r="H67" s="374">
        <v>1</v>
      </c>
      <c r="I67" s="374"/>
      <c r="J67" s="374"/>
      <c r="K67" s="374">
        <f>1-K66-K64</f>
        <v>0</v>
      </c>
      <c r="L67" s="374"/>
      <c r="M67" s="374"/>
      <c r="N67" s="374"/>
      <c r="O67" s="374"/>
      <c r="P67" s="374"/>
      <c r="Q67" s="374"/>
      <c r="R67" s="374">
        <v>0.11</v>
      </c>
      <c r="T67" s="51"/>
      <c r="U67" s="51"/>
    </row>
    <row r="68" spans="1:21" s="5" customFormat="1" ht="13.8" hidden="1">
      <c r="A68" s="5" t="str">
        <f>Commodities!AA51</f>
        <v>RSD_DTA3_LI</v>
      </c>
      <c r="B68" s="51"/>
      <c r="C68" s="51" t="s">
        <v>341</v>
      </c>
      <c r="D68" s="373"/>
      <c r="E68" s="373"/>
      <c r="F68" s="373"/>
      <c r="G68" s="373"/>
      <c r="H68" s="373"/>
      <c r="I68" s="373"/>
      <c r="J68" s="373"/>
      <c r="K68" s="373"/>
      <c r="L68" s="373"/>
      <c r="M68" s="373"/>
      <c r="N68" s="373"/>
      <c r="O68" s="373"/>
      <c r="P68" s="373"/>
      <c r="Q68" s="373"/>
      <c r="R68" s="374">
        <v>0.27</v>
      </c>
      <c r="T68" s="51"/>
      <c r="U68" s="51"/>
    </row>
    <row r="69" spans="1:21" s="5" customFormat="1" ht="13.8" hidden="1">
      <c r="A69" s="5" t="str">
        <f>Commodities!AA59</f>
        <v>RSD_DTA3_RF</v>
      </c>
      <c r="B69" s="51"/>
      <c r="C69" s="51" t="s">
        <v>342</v>
      </c>
      <c r="D69" s="373"/>
      <c r="E69" s="373"/>
      <c r="F69" s="373"/>
      <c r="G69" s="373"/>
      <c r="H69" s="373"/>
      <c r="I69" s="373"/>
      <c r="J69" s="373"/>
      <c r="K69" s="373"/>
      <c r="L69" s="373"/>
      <c r="M69" s="373"/>
      <c r="N69" s="373"/>
      <c r="O69" s="373"/>
      <c r="P69" s="373"/>
      <c r="Q69" s="373"/>
      <c r="R69" s="375">
        <v>0.17</v>
      </c>
      <c r="T69" s="51"/>
      <c r="U69" s="51"/>
    </row>
    <row r="70" spans="1:21" s="5" customFormat="1" ht="13.8" hidden="1">
      <c r="A70" s="5" t="str">
        <f>Commodities!AA67</f>
        <v>RSD_DTA3_CW</v>
      </c>
      <c r="B70" s="51"/>
      <c r="C70" s="51" t="s">
        <v>343</v>
      </c>
      <c r="D70" s="373"/>
      <c r="E70" s="373"/>
      <c r="F70" s="373"/>
      <c r="G70" s="373"/>
      <c r="H70" s="373"/>
      <c r="I70" s="373"/>
      <c r="J70" s="373"/>
      <c r="K70" s="373"/>
      <c r="L70" s="373"/>
      <c r="M70" s="373"/>
      <c r="N70" s="373"/>
      <c r="O70" s="373"/>
      <c r="P70" s="373"/>
      <c r="Q70" s="373"/>
      <c r="R70" s="375">
        <v>7.0000000000000007E-2</v>
      </c>
      <c r="T70" s="51"/>
      <c r="U70" s="51"/>
    </row>
    <row r="71" spans="1:21" s="5" customFormat="1" ht="13.8" hidden="1">
      <c r="A71" s="5" t="str">
        <f>Commodities!AA75</f>
        <v>RSD_DTA3_DW</v>
      </c>
      <c r="B71" s="51"/>
      <c r="C71" s="51" t="s">
        <v>344</v>
      </c>
      <c r="D71" s="373"/>
      <c r="E71" s="373"/>
      <c r="F71" s="373"/>
      <c r="G71" s="373"/>
      <c r="H71" s="373"/>
      <c r="I71" s="373"/>
      <c r="J71" s="373"/>
      <c r="K71" s="373"/>
      <c r="L71" s="373"/>
      <c r="M71" s="373"/>
      <c r="N71" s="373"/>
      <c r="O71" s="373"/>
      <c r="P71" s="373"/>
      <c r="Q71" s="373"/>
      <c r="R71" s="375">
        <v>7.0000000000000001E-3</v>
      </c>
      <c r="T71" s="51"/>
      <c r="U71" s="51"/>
    </row>
    <row r="72" spans="1:21" s="5" customFormat="1" ht="13.8" hidden="1">
      <c r="A72" s="5" t="str">
        <f>Commodities!AA83</f>
        <v>RSD_DTA3_AP</v>
      </c>
      <c r="B72" s="51"/>
      <c r="C72" s="51" t="s">
        <v>345</v>
      </c>
      <c r="D72" s="373"/>
      <c r="E72" s="373"/>
      <c r="F72" s="373"/>
      <c r="G72" s="373"/>
      <c r="H72" s="373"/>
      <c r="I72" s="373"/>
      <c r="J72" s="373"/>
      <c r="K72" s="373"/>
      <c r="L72" s="373"/>
      <c r="M72" s="373"/>
      <c r="N72" s="373"/>
      <c r="O72" s="373"/>
      <c r="P72" s="373"/>
      <c r="Q72" s="373"/>
      <c r="R72" s="375">
        <f>1-SUM(R64:R71)</f>
        <v>0.19299999999999995</v>
      </c>
      <c r="T72" s="51"/>
      <c r="U72" s="51"/>
    </row>
    <row r="73" spans="1:21" s="5" customFormat="1" ht="13.8" hidden="1">
      <c r="B73" s="23" t="s">
        <v>358</v>
      </c>
      <c r="C73" s="51"/>
      <c r="D73" s="372">
        <f t="shared" ref="D73:R73" si="8">IF(SUM(D64:D72)=0,"",
IF(SUM(D64:D72)&lt;&gt;1,"ERR: " &amp;  SUM(D64:D72),SUM(D64:D72)))</f>
        <v>1</v>
      </c>
      <c r="E73" s="372">
        <f t="shared" si="8"/>
        <v>1</v>
      </c>
      <c r="F73" s="372">
        <f t="shared" si="8"/>
        <v>1</v>
      </c>
      <c r="G73" s="372">
        <f t="shared" si="8"/>
        <v>1</v>
      </c>
      <c r="H73" s="372">
        <f t="shared" si="8"/>
        <v>1</v>
      </c>
      <c r="I73" s="372">
        <f t="shared" si="8"/>
        <v>1</v>
      </c>
      <c r="J73" s="372">
        <f t="shared" si="8"/>
        <v>1</v>
      </c>
      <c r="K73" s="372">
        <f t="shared" si="8"/>
        <v>1</v>
      </c>
      <c r="L73" s="372">
        <f t="shared" si="8"/>
        <v>1</v>
      </c>
      <c r="M73" s="372">
        <f t="shared" si="8"/>
        <v>1</v>
      </c>
      <c r="N73" s="372">
        <f t="shared" si="8"/>
        <v>1</v>
      </c>
      <c r="O73" s="372">
        <f t="shared" si="8"/>
        <v>1</v>
      </c>
      <c r="P73" s="372">
        <f t="shared" si="8"/>
        <v>1</v>
      </c>
      <c r="Q73" s="372">
        <f t="shared" si="8"/>
        <v>1</v>
      </c>
      <c r="R73" s="372">
        <f t="shared" si="8"/>
        <v>1</v>
      </c>
      <c r="U73" s="51"/>
    </row>
    <row r="74" spans="1:21" s="5" customFormat="1" ht="14.4" hidden="1" thickBot="1">
      <c r="A74" s="5" t="str">
        <f>Commodities!AA20</f>
        <v>RSD_APA3_SH</v>
      </c>
      <c r="B74" s="92" t="str">
        <f>Commodities!$AB$12</f>
        <v>Apartment - Area3</v>
      </c>
      <c r="C74" s="51" t="s">
        <v>331</v>
      </c>
      <c r="D74" s="373">
        <v>0.9</v>
      </c>
      <c r="E74" s="373">
        <v>0.9</v>
      </c>
      <c r="F74" s="373">
        <v>1</v>
      </c>
      <c r="G74" s="374">
        <v>1</v>
      </c>
      <c r="H74" s="374"/>
      <c r="I74" s="374">
        <v>1</v>
      </c>
      <c r="J74" s="374">
        <v>1</v>
      </c>
      <c r="K74" s="374">
        <v>0.8</v>
      </c>
      <c r="L74" s="374">
        <v>1</v>
      </c>
      <c r="M74" s="374">
        <v>1</v>
      </c>
      <c r="N74" s="374">
        <v>1</v>
      </c>
      <c r="O74" s="374">
        <v>1</v>
      </c>
      <c r="P74" s="374">
        <v>1</v>
      </c>
      <c r="Q74" s="374">
        <v>0.8</v>
      </c>
      <c r="R74" s="374"/>
      <c r="T74" s="51"/>
      <c r="U74" s="51"/>
    </row>
    <row r="75" spans="1:21" s="5" customFormat="1" ht="13.8" hidden="1">
      <c r="A75" s="5" t="str">
        <f>Commodities!AA36</f>
        <v>RSD_APA3_SC</v>
      </c>
      <c r="B75" s="51"/>
      <c r="C75" s="51" t="s">
        <v>338</v>
      </c>
      <c r="D75" s="373"/>
      <c r="E75" s="373"/>
      <c r="F75" s="373"/>
      <c r="G75" s="374"/>
      <c r="H75" s="374"/>
      <c r="I75" s="374"/>
      <c r="J75" s="374"/>
      <c r="K75" s="374"/>
      <c r="L75" s="374"/>
      <c r="M75" s="374"/>
      <c r="N75" s="374"/>
      <c r="O75" s="374"/>
      <c r="P75" s="374"/>
      <c r="Q75" s="374"/>
      <c r="R75" s="374">
        <v>6.5000000000000002E-2</v>
      </c>
      <c r="T75" s="51"/>
      <c r="U75" s="51"/>
    </row>
    <row r="76" spans="1:21" s="5" customFormat="1" ht="13.8" hidden="1">
      <c r="A76" s="5" t="str">
        <f>Commodities!AA28</f>
        <v>RSD_APA3_WH</v>
      </c>
      <c r="B76" s="51"/>
      <c r="C76" s="51" t="s">
        <v>339</v>
      </c>
      <c r="D76" s="373">
        <f>1-D74</f>
        <v>9.9999999999999978E-2</v>
      </c>
      <c r="E76" s="373">
        <f>1-E74</f>
        <v>9.9999999999999978E-2</v>
      </c>
      <c r="F76" s="373"/>
      <c r="G76" s="374"/>
      <c r="H76" s="374">
        <v>0.65</v>
      </c>
      <c r="I76" s="374"/>
      <c r="J76" s="374"/>
      <c r="K76" s="374">
        <v>0.2</v>
      </c>
      <c r="L76" s="374"/>
      <c r="M76" s="374"/>
      <c r="N76" s="374"/>
      <c r="O76" s="374"/>
      <c r="P76" s="374"/>
      <c r="Q76" s="374">
        <f>1-Q74</f>
        <v>0.19999999999999996</v>
      </c>
      <c r="R76" s="374">
        <v>0.1</v>
      </c>
      <c r="T76" s="51"/>
      <c r="U76" s="51"/>
    </row>
    <row r="77" spans="1:21" s="5" customFormat="1" ht="13.8" hidden="1">
      <c r="A77" s="5" t="str">
        <f>Commodities!AA44</f>
        <v>RSD_APA3_CK</v>
      </c>
      <c r="B77" s="51"/>
      <c r="C77" s="51" t="s">
        <v>340</v>
      </c>
      <c r="D77" s="373"/>
      <c r="E77" s="373"/>
      <c r="F77" s="373"/>
      <c r="G77" s="374"/>
      <c r="H77" s="374">
        <v>0.35</v>
      </c>
      <c r="I77" s="374"/>
      <c r="J77" s="374"/>
      <c r="K77" s="374"/>
      <c r="L77" s="374"/>
      <c r="M77" s="374"/>
      <c r="N77" s="374"/>
      <c r="O77" s="374"/>
      <c r="P77" s="374"/>
      <c r="Q77" s="374"/>
      <c r="R77" s="374">
        <v>0.15</v>
      </c>
      <c r="T77" s="51"/>
      <c r="U77" s="51"/>
    </row>
    <row r="78" spans="1:21" s="5" customFormat="1" ht="13.8" hidden="1">
      <c r="A78" s="5" t="str">
        <f>Commodities!AA52</f>
        <v>RSD_APA3_LI</v>
      </c>
      <c r="B78" s="51"/>
      <c r="C78" s="51" t="s">
        <v>341</v>
      </c>
      <c r="D78" s="373"/>
      <c r="E78" s="373"/>
      <c r="F78" s="373"/>
      <c r="G78" s="373"/>
      <c r="H78" s="373"/>
      <c r="I78" s="373"/>
      <c r="J78" s="373"/>
      <c r="K78" s="373"/>
      <c r="L78" s="373"/>
      <c r="M78" s="373"/>
      <c r="N78" s="373"/>
      <c r="O78" s="373"/>
      <c r="P78" s="373"/>
      <c r="Q78" s="373"/>
      <c r="R78" s="374">
        <v>0.27</v>
      </c>
      <c r="T78" s="51"/>
      <c r="U78" s="51"/>
    </row>
    <row r="79" spans="1:21" s="5" customFormat="1" ht="13.8" hidden="1">
      <c r="A79" s="5" t="str">
        <f>Commodities!AA60</f>
        <v>RSD_APA3_RF</v>
      </c>
      <c r="B79" s="51"/>
      <c r="C79" s="51" t="s">
        <v>342</v>
      </c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5">
        <v>0.17</v>
      </c>
      <c r="T79" s="51"/>
      <c r="U79" s="51"/>
    </row>
    <row r="80" spans="1:21" s="5" customFormat="1" ht="13.8" hidden="1">
      <c r="A80" s="5" t="str">
        <f>Commodities!AA68</f>
        <v>RSD_APA3_CW</v>
      </c>
      <c r="B80" s="51"/>
      <c r="C80" s="51" t="s">
        <v>343</v>
      </c>
      <c r="D80" s="373"/>
      <c r="E80" s="373"/>
      <c r="F80" s="373"/>
      <c r="G80" s="373"/>
      <c r="H80" s="373"/>
      <c r="I80" s="373"/>
      <c r="J80" s="373"/>
      <c r="K80" s="373"/>
      <c r="L80" s="373"/>
      <c r="M80" s="373"/>
      <c r="N80" s="373"/>
      <c r="O80" s="373"/>
      <c r="P80" s="373"/>
      <c r="Q80" s="373"/>
      <c r="R80" s="375">
        <v>7.0000000000000007E-2</v>
      </c>
      <c r="T80" s="51"/>
      <c r="U80" s="51"/>
    </row>
    <row r="81" spans="1:21" s="5" customFormat="1" ht="13.8" hidden="1">
      <c r="A81" s="5" t="str">
        <f>Commodities!AA76</f>
        <v>RSD_APA3_DW</v>
      </c>
      <c r="B81" s="51"/>
      <c r="C81" s="51" t="s">
        <v>344</v>
      </c>
      <c r="D81" s="373"/>
      <c r="E81" s="373"/>
      <c r="F81" s="373"/>
      <c r="G81" s="373"/>
      <c r="H81" s="373"/>
      <c r="I81" s="373"/>
      <c r="J81" s="373"/>
      <c r="K81" s="373"/>
      <c r="L81" s="373"/>
      <c r="M81" s="373"/>
      <c r="N81" s="373"/>
      <c r="O81" s="373"/>
      <c r="P81" s="373"/>
      <c r="Q81" s="373"/>
      <c r="R81" s="375">
        <v>7.0000000000000001E-3</v>
      </c>
      <c r="T81" s="51"/>
      <c r="U81" s="51"/>
    </row>
    <row r="82" spans="1:21" s="5" customFormat="1" ht="13.8" hidden="1">
      <c r="A82" s="5" t="str">
        <f>Commodities!AA84</f>
        <v>RSD_APA3_AP</v>
      </c>
      <c r="B82" s="51"/>
      <c r="C82" s="51" t="s">
        <v>345</v>
      </c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5">
        <f>1-SUM(R74:R81)</f>
        <v>0.16800000000000004</v>
      </c>
      <c r="T82" s="51"/>
      <c r="U82" s="51"/>
    </row>
    <row r="83" spans="1:21" s="5" customFormat="1" ht="13.8" hidden="1">
      <c r="B83" s="23" t="s">
        <v>358</v>
      </c>
      <c r="C83" s="24"/>
      <c r="D83" s="372">
        <f t="shared" ref="D83:R83" si="9">IF(SUM(D74:D82)=0,"",
IF(SUM(D74:D82)&lt;&gt;1,"ERR: " &amp;  SUM(D74:D82),SUM(D74:D82)))</f>
        <v>1</v>
      </c>
      <c r="E83" s="372">
        <f t="shared" si="9"/>
        <v>1</v>
      </c>
      <c r="F83" s="372">
        <f t="shared" si="9"/>
        <v>1</v>
      </c>
      <c r="G83" s="372">
        <f t="shared" si="9"/>
        <v>1</v>
      </c>
      <c r="H83" s="372">
        <f t="shared" si="9"/>
        <v>1</v>
      </c>
      <c r="I83" s="372">
        <f t="shared" si="9"/>
        <v>1</v>
      </c>
      <c r="J83" s="372">
        <f t="shared" si="9"/>
        <v>1</v>
      </c>
      <c r="K83" s="372">
        <f t="shared" si="9"/>
        <v>1</v>
      </c>
      <c r="L83" s="372">
        <f t="shared" si="9"/>
        <v>1</v>
      </c>
      <c r="M83" s="372">
        <f t="shared" si="9"/>
        <v>1</v>
      </c>
      <c r="N83" s="372">
        <f t="shared" si="9"/>
        <v>1</v>
      </c>
      <c r="O83" s="372">
        <f t="shared" si="9"/>
        <v>1</v>
      </c>
      <c r="P83" s="372">
        <f t="shared" si="9"/>
        <v>1</v>
      </c>
      <c r="Q83" s="372">
        <f t="shared" si="9"/>
        <v>1</v>
      </c>
      <c r="R83" s="372">
        <f t="shared" si="9"/>
        <v>1</v>
      </c>
      <c r="U83" s="51"/>
    </row>
    <row r="84" spans="1:21" s="5" customFormat="1" ht="14.4" hidden="1" thickBot="1">
      <c r="A84" s="5" t="str">
        <f>Commodities!AA21</f>
        <v>RSD_DTA4_SH</v>
      </c>
      <c r="B84" s="92" t="str">
        <f>Commodities!$AB$13</f>
        <v>Detached - Area4</v>
      </c>
      <c r="C84" s="51" t="s">
        <v>331</v>
      </c>
      <c r="D84" s="373">
        <v>0.88</v>
      </c>
      <c r="E84" s="373">
        <v>0.88</v>
      </c>
      <c r="F84" s="373">
        <v>1</v>
      </c>
      <c r="G84" s="374">
        <v>1</v>
      </c>
      <c r="H84" s="374">
        <v>0</v>
      </c>
      <c r="I84" s="374">
        <v>1</v>
      </c>
      <c r="J84" s="374">
        <v>1</v>
      </c>
      <c r="K84" s="374">
        <v>0.87</v>
      </c>
      <c r="L84" s="374">
        <v>1</v>
      </c>
      <c r="M84" s="374">
        <v>1</v>
      </c>
      <c r="N84" s="374">
        <v>1</v>
      </c>
      <c r="O84" s="374">
        <v>1</v>
      </c>
      <c r="P84" s="374">
        <v>1</v>
      </c>
      <c r="Q84" s="374">
        <v>0.87</v>
      </c>
      <c r="R84" s="374"/>
      <c r="T84" s="51"/>
      <c r="U84" s="51"/>
    </row>
    <row r="85" spans="1:21" s="5" customFormat="1" ht="13.8" hidden="1">
      <c r="A85" s="5" t="str">
        <f>Commodities!AA37</f>
        <v>RSD_DTA4_SC</v>
      </c>
      <c r="B85" s="51"/>
      <c r="C85" s="51" t="s">
        <v>338</v>
      </c>
      <c r="D85" s="373"/>
      <c r="E85" s="373"/>
      <c r="F85" s="373"/>
      <c r="G85" s="374"/>
      <c r="H85" s="374"/>
      <c r="I85" s="374"/>
      <c r="J85" s="374"/>
      <c r="K85" s="374"/>
      <c r="L85" s="374"/>
      <c r="M85" s="374"/>
      <c r="N85" s="374"/>
      <c r="O85" s="374"/>
      <c r="P85" s="374"/>
      <c r="Q85" s="374"/>
      <c r="R85" s="374">
        <v>0.05</v>
      </c>
      <c r="T85" s="51"/>
      <c r="U85" s="51"/>
    </row>
    <row r="86" spans="1:21" s="5" customFormat="1" ht="13.8" hidden="1">
      <c r="A86" s="5" t="str">
        <f>Commodities!AA29</f>
        <v>RSD_DTA4_WH</v>
      </c>
      <c r="B86" s="51"/>
      <c r="C86" s="51" t="s">
        <v>339</v>
      </c>
      <c r="D86" s="373">
        <v>0.12</v>
      </c>
      <c r="E86" s="373">
        <v>0.12</v>
      </c>
      <c r="F86" s="373"/>
      <c r="G86" s="374"/>
      <c r="H86" s="374">
        <v>0.15</v>
      </c>
      <c r="I86" s="374"/>
      <c r="J86" s="374"/>
      <c r="K86" s="374">
        <v>0.13</v>
      </c>
      <c r="L86" s="374"/>
      <c r="M86" s="374"/>
      <c r="N86" s="374"/>
      <c r="O86" s="374"/>
      <c r="P86" s="374"/>
      <c r="Q86" s="374">
        <f>1-Q84</f>
        <v>0.13</v>
      </c>
      <c r="R86" s="374">
        <v>0.1</v>
      </c>
      <c r="T86" s="51"/>
      <c r="U86" s="51"/>
    </row>
    <row r="87" spans="1:21" s="5" customFormat="1" ht="13.8" hidden="1">
      <c r="A87" s="5" t="str">
        <f>Commodities!AA45</f>
        <v>RSD_DTA4_CK</v>
      </c>
      <c r="B87" s="51"/>
      <c r="C87" s="51" t="s">
        <v>340</v>
      </c>
      <c r="D87" s="373"/>
      <c r="E87" s="373"/>
      <c r="F87" s="373"/>
      <c r="G87" s="374"/>
      <c r="H87" s="374">
        <f>1-H86-H84</f>
        <v>0.85</v>
      </c>
      <c r="I87" s="374"/>
      <c r="J87" s="374"/>
      <c r="K87" s="374">
        <f>1-K86-K84</f>
        <v>0</v>
      </c>
      <c r="L87" s="374"/>
      <c r="M87" s="374"/>
      <c r="N87" s="374"/>
      <c r="O87" s="374"/>
      <c r="P87" s="374"/>
      <c r="Q87" s="374"/>
      <c r="R87" s="374">
        <v>0.155</v>
      </c>
      <c r="T87" s="51"/>
      <c r="U87" s="51"/>
    </row>
    <row r="88" spans="1:21" s="5" customFormat="1" ht="13.8" hidden="1">
      <c r="A88" s="5" t="str">
        <f>Commodities!AA53</f>
        <v>RSD_DTA4_LI</v>
      </c>
      <c r="B88" s="51"/>
      <c r="C88" s="51" t="s">
        <v>341</v>
      </c>
      <c r="D88" s="373"/>
      <c r="E88" s="373"/>
      <c r="F88" s="373"/>
      <c r="G88" s="373"/>
      <c r="H88" s="373"/>
      <c r="I88" s="373"/>
      <c r="J88" s="373"/>
      <c r="K88" s="373"/>
      <c r="L88" s="373"/>
      <c r="M88" s="373"/>
      <c r="N88" s="373"/>
      <c r="O88" s="373"/>
      <c r="P88" s="373"/>
      <c r="Q88" s="373"/>
      <c r="R88" s="374">
        <v>0.27</v>
      </c>
      <c r="T88" s="51"/>
      <c r="U88" s="51"/>
    </row>
    <row r="89" spans="1:21" s="5" customFormat="1" ht="13.8" hidden="1">
      <c r="A89" s="5" t="str">
        <f>Commodities!AA61</f>
        <v>RSD_DTA4_RF</v>
      </c>
      <c r="B89" s="51"/>
      <c r="C89" s="51" t="s">
        <v>342</v>
      </c>
      <c r="D89" s="373"/>
      <c r="E89" s="373"/>
      <c r="F89" s="373"/>
      <c r="G89" s="373"/>
      <c r="H89" s="373"/>
      <c r="I89" s="373"/>
      <c r="J89" s="373"/>
      <c r="K89" s="373"/>
      <c r="L89" s="373"/>
      <c r="M89" s="373"/>
      <c r="N89" s="373"/>
      <c r="O89" s="373"/>
      <c r="P89" s="373"/>
      <c r="Q89" s="373"/>
      <c r="R89" s="375">
        <v>0.17</v>
      </c>
      <c r="T89" s="51"/>
      <c r="U89" s="51"/>
    </row>
    <row r="90" spans="1:21" s="5" customFormat="1" ht="13.8" hidden="1">
      <c r="A90" s="5" t="str">
        <f>Commodities!AA69</f>
        <v>RSD_DTA4_CW</v>
      </c>
      <c r="B90" s="51"/>
      <c r="C90" s="51" t="s">
        <v>343</v>
      </c>
      <c r="D90" s="373"/>
      <c r="E90" s="373"/>
      <c r="F90" s="373"/>
      <c r="G90" s="373"/>
      <c r="H90" s="373"/>
      <c r="I90" s="373"/>
      <c r="J90" s="373"/>
      <c r="K90" s="373"/>
      <c r="L90" s="373"/>
      <c r="M90" s="373"/>
      <c r="N90" s="373"/>
      <c r="O90" s="373"/>
      <c r="P90" s="373"/>
      <c r="Q90" s="373"/>
      <c r="R90" s="375">
        <v>7.0000000000000007E-2</v>
      </c>
      <c r="T90" s="51"/>
      <c r="U90" s="51"/>
    </row>
    <row r="91" spans="1:21" s="5" customFormat="1" ht="13.8" hidden="1">
      <c r="A91" s="5" t="str">
        <f>Commodities!AA77</f>
        <v>RSD_DTA4_DW</v>
      </c>
      <c r="B91" s="51"/>
      <c r="C91" s="51" t="s">
        <v>344</v>
      </c>
      <c r="D91" s="373"/>
      <c r="E91" s="373"/>
      <c r="F91" s="373"/>
      <c r="G91" s="373"/>
      <c r="H91" s="373"/>
      <c r="I91" s="373"/>
      <c r="J91" s="373"/>
      <c r="K91" s="373"/>
      <c r="L91" s="373"/>
      <c r="M91" s="373"/>
      <c r="N91" s="373"/>
      <c r="O91" s="373"/>
      <c r="P91" s="373"/>
      <c r="Q91" s="373"/>
      <c r="R91" s="375">
        <v>3.0000000000000001E-3</v>
      </c>
      <c r="T91" s="51"/>
      <c r="U91" s="51"/>
    </row>
    <row r="92" spans="1:21" s="5" customFormat="1" ht="13.8" hidden="1">
      <c r="A92" s="5" t="str">
        <f>Commodities!AA85</f>
        <v>RSD_DTA4_AP</v>
      </c>
      <c r="B92" s="51"/>
      <c r="C92" s="51" t="s">
        <v>345</v>
      </c>
      <c r="D92" s="373"/>
      <c r="E92" s="373"/>
      <c r="F92" s="373"/>
      <c r="G92" s="373"/>
      <c r="H92" s="373"/>
      <c r="I92" s="373"/>
      <c r="J92" s="373"/>
      <c r="K92" s="373"/>
      <c r="L92" s="373"/>
      <c r="M92" s="373"/>
      <c r="N92" s="373"/>
      <c r="O92" s="373"/>
      <c r="P92" s="373"/>
      <c r="Q92" s="373"/>
      <c r="R92" s="375">
        <f>1-SUM(R84:R91)</f>
        <v>0.18199999999999983</v>
      </c>
      <c r="T92" s="51"/>
      <c r="U92" s="51"/>
    </row>
    <row r="93" spans="1:21" s="5" customFormat="1" ht="13.8" hidden="1">
      <c r="B93" s="23" t="s">
        <v>358</v>
      </c>
      <c r="C93" s="51"/>
      <c r="D93" s="372">
        <f t="shared" ref="D93:R93" si="10">IF(SUM(D84:D92)=0,"",
IF(SUM(D84:D92)&lt;&gt;1,"ERR: " &amp;  SUM(D84:D92),SUM(D84:D92)))</f>
        <v>1</v>
      </c>
      <c r="E93" s="372">
        <f t="shared" si="10"/>
        <v>1</v>
      </c>
      <c r="F93" s="372">
        <f t="shared" si="10"/>
        <v>1</v>
      </c>
      <c r="G93" s="372">
        <f t="shared" si="10"/>
        <v>1</v>
      </c>
      <c r="H93" s="372">
        <f t="shared" si="10"/>
        <v>1</v>
      </c>
      <c r="I93" s="372">
        <f t="shared" si="10"/>
        <v>1</v>
      </c>
      <c r="J93" s="372">
        <f t="shared" si="10"/>
        <v>1</v>
      </c>
      <c r="K93" s="372">
        <f t="shared" si="10"/>
        <v>1</v>
      </c>
      <c r="L93" s="372">
        <f t="shared" si="10"/>
        <v>1</v>
      </c>
      <c r="M93" s="372">
        <f t="shared" si="10"/>
        <v>1</v>
      </c>
      <c r="N93" s="372">
        <f t="shared" si="10"/>
        <v>1</v>
      </c>
      <c r="O93" s="372">
        <f t="shared" si="10"/>
        <v>1</v>
      </c>
      <c r="P93" s="372">
        <f t="shared" si="10"/>
        <v>1</v>
      </c>
      <c r="Q93" s="372">
        <f t="shared" si="10"/>
        <v>1</v>
      </c>
      <c r="R93" s="372">
        <f t="shared" si="10"/>
        <v>1</v>
      </c>
      <c r="U93" s="51"/>
    </row>
    <row r="94" spans="1:21" s="5" customFormat="1" ht="14.4" hidden="1" thickBot="1">
      <c r="A94" s="5" t="str">
        <f>Commodities!AA22</f>
        <v>RSD_APA4_SH</v>
      </c>
      <c r="B94" s="92" t="e">
        <f>Commodities!#REF!</f>
        <v>#REF!</v>
      </c>
      <c r="C94" s="51" t="s">
        <v>331</v>
      </c>
      <c r="D94" s="373">
        <v>1</v>
      </c>
      <c r="E94" s="373">
        <v>1</v>
      </c>
      <c r="F94" s="373">
        <v>1</v>
      </c>
      <c r="G94" s="374">
        <v>1</v>
      </c>
      <c r="H94" s="374"/>
      <c r="I94" s="374">
        <v>1</v>
      </c>
      <c r="J94" s="374">
        <v>1</v>
      </c>
      <c r="K94" s="374">
        <v>0.85</v>
      </c>
      <c r="L94" s="374">
        <v>1</v>
      </c>
      <c r="M94" s="374">
        <v>1</v>
      </c>
      <c r="N94" s="374">
        <v>1</v>
      </c>
      <c r="O94" s="374">
        <v>1</v>
      </c>
      <c r="P94" s="374">
        <v>1</v>
      </c>
      <c r="Q94" s="374">
        <v>0.77</v>
      </c>
      <c r="R94" s="374"/>
      <c r="T94" s="51"/>
      <c r="U94" s="51"/>
    </row>
    <row r="95" spans="1:21" s="5" customFormat="1" ht="13.8" hidden="1">
      <c r="A95" s="5" t="str">
        <f>Commodities!AA38</f>
        <v>RSD_APA4_SC</v>
      </c>
      <c r="B95" s="51"/>
      <c r="C95" s="51" t="s">
        <v>338</v>
      </c>
      <c r="D95" s="373"/>
      <c r="E95" s="373"/>
      <c r="F95" s="373"/>
      <c r="G95" s="374"/>
      <c r="H95" s="374"/>
      <c r="I95" s="374"/>
      <c r="J95" s="374"/>
      <c r="K95" s="374"/>
      <c r="L95" s="374"/>
      <c r="M95" s="374"/>
      <c r="N95" s="374"/>
      <c r="O95" s="374"/>
      <c r="P95" s="374"/>
      <c r="Q95" s="374"/>
      <c r="R95" s="374">
        <v>0.05</v>
      </c>
      <c r="T95" s="51"/>
      <c r="U95" s="51"/>
    </row>
    <row r="96" spans="1:21" s="5" customFormat="1" ht="13.8" hidden="1">
      <c r="A96" s="5" t="str">
        <f>Commodities!AA30</f>
        <v>RSD_APA4_WH</v>
      </c>
      <c r="B96" s="51"/>
      <c r="C96" s="51" t="s">
        <v>339</v>
      </c>
      <c r="D96" s="373"/>
      <c r="E96" s="373"/>
      <c r="F96" s="373"/>
      <c r="G96" s="374"/>
      <c r="H96" s="374">
        <v>0.65</v>
      </c>
      <c r="I96" s="374"/>
      <c r="J96" s="374"/>
      <c r="K96" s="374">
        <v>0.15</v>
      </c>
      <c r="L96" s="374"/>
      <c r="M96" s="374"/>
      <c r="N96" s="374"/>
      <c r="O96" s="374"/>
      <c r="P96" s="374"/>
      <c r="Q96" s="374">
        <f>1-Q94</f>
        <v>0.22999999999999998</v>
      </c>
      <c r="R96" s="374">
        <v>0.08</v>
      </c>
      <c r="T96" s="51"/>
      <c r="U96" s="51"/>
    </row>
    <row r="97" spans="1:22" s="5" customFormat="1" ht="13.8" hidden="1">
      <c r="A97" s="5" t="str">
        <f>Commodities!AA46</f>
        <v>RSD_APA4_CK</v>
      </c>
      <c r="B97" s="51"/>
      <c r="C97" s="51" t="s">
        <v>340</v>
      </c>
      <c r="D97" s="373"/>
      <c r="E97" s="373"/>
      <c r="F97" s="373"/>
      <c r="G97" s="374"/>
      <c r="H97" s="374">
        <v>0.35</v>
      </c>
      <c r="I97" s="374"/>
      <c r="J97" s="374"/>
      <c r="K97" s="374">
        <v>0</v>
      </c>
      <c r="L97" s="374"/>
      <c r="M97" s="374"/>
      <c r="N97" s="374"/>
      <c r="O97" s="374"/>
      <c r="P97" s="374"/>
      <c r="Q97" s="374"/>
      <c r="R97" s="374">
        <v>0.15</v>
      </c>
      <c r="T97" s="51"/>
      <c r="U97" s="51"/>
    </row>
    <row r="98" spans="1:22" s="5" customFormat="1" ht="13.8" hidden="1">
      <c r="A98" s="5" t="str">
        <f>Commodities!AA54</f>
        <v>RSD_APA4_LI</v>
      </c>
      <c r="B98" s="51"/>
      <c r="C98" s="51" t="s">
        <v>341</v>
      </c>
      <c r="D98" s="373"/>
      <c r="E98" s="373"/>
      <c r="F98" s="373"/>
      <c r="G98" s="373"/>
      <c r="H98" s="373"/>
      <c r="I98" s="373"/>
      <c r="J98" s="373"/>
      <c r="K98" s="373"/>
      <c r="L98" s="373"/>
      <c r="M98" s="373"/>
      <c r="N98" s="373"/>
      <c r="O98" s="373"/>
      <c r="P98" s="373"/>
      <c r="Q98" s="373"/>
      <c r="R98" s="374">
        <v>0.27</v>
      </c>
      <c r="T98" s="51"/>
      <c r="U98" s="51"/>
    </row>
    <row r="99" spans="1:22" s="5" customFormat="1" ht="13.8" hidden="1">
      <c r="A99" s="5" t="str">
        <f>Commodities!AA62</f>
        <v>RSD_APA4_RF</v>
      </c>
      <c r="B99" s="51"/>
      <c r="C99" s="51" t="s">
        <v>342</v>
      </c>
      <c r="D99" s="373"/>
      <c r="E99" s="373"/>
      <c r="F99" s="373"/>
      <c r="G99" s="373"/>
      <c r="H99" s="373"/>
      <c r="I99" s="373"/>
      <c r="J99" s="373"/>
      <c r="K99" s="373"/>
      <c r="L99" s="373"/>
      <c r="M99" s="373"/>
      <c r="N99" s="373"/>
      <c r="O99" s="373"/>
      <c r="P99" s="373"/>
      <c r="Q99" s="373"/>
      <c r="R99" s="375">
        <v>0.17</v>
      </c>
      <c r="T99" s="51"/>
      <c r="U99" s="51"/>
    </row>
    <row r="100" spans="1:22" s="5" customFormat="1" ht="13.8" hidden="1">
      <c r="A100" s="5" t="str">
        <f>Commodities!AA70</f>
        <v>RSD_APA4_CW</v>
      </c>
      <c r="B100" s="51"/>
      <c r="C100" s="51" t="s">
        <v>343</v>
      </c>
      <c r="D100" s="373"/>
      <c r="E100" s="373"/>
      <c r="F100" s="373"/>
      <c r="G100" s="373"/>
      <c r="H100" s="373"/>
      <c r="I100" s="373"/>
      <c r="J100" s="373"/>
      <c r="K100" s="373"/>
      <c r="L100" s="373"/>
      <c r="M100" s="373"/>
      <c r="N100" s="373"/>
      <c r="O100" s="373"/>
      <c r="P100" s="373"/>
      <c r="Q100" s="373"/>
      <c r="R100" s="375">
        <v>7.0000000000000007E-2</v>
      </c>
      <c r="T100" s="51"/>
      <c r="U100" s="51"/>
    </row>
    <row r="101" spans="1:22" s="5" customFormat="1" ht="13.8" hidden="1">
      <c r="A101" s="5" t="str">
        <f>Commodities!AA78</f>
        <v>RSD_APA4_DW</v>
      </c>
      <c r="B101" s="51"/>
      <c r="C101" s="51" t="s">
        <v>344</v>
      </c>
      <c r="D101" s="373"/>
      <c r="E101" s="373"/>
      <c r="F101" s="373"/>
      <c r="G101" s="373"/>
      <c r="H101" s="373"/>
      <c r="I101" s="373"/>
      <c r="J101" s="373"/>
      <c r="K101" s="373"/>
      <c r="L101" s="373"/>
      <c r="M101" s="373"/>
      <c r="N101" s="373"/>
      <c r="O101" s="373"/>
      <c r="P101" s="373"/>
      <c r="Q101" s="373"/>
      <c r="R101" s="375">
        <v>3.0000000000000001E-3</v>
      </c>
      <c r="T101" s="51"/>
      <c r="U101" s="51"/>
    </row>
    <row r="102" spans="1:22" s="5" customFormat="1" ht="13.8" hidden="1">
      <c r="A102" s="5" t="str">
        <f>Commodities!AA86</f>
        <v>RSD_APA4_AP</v>
      </c>
      <c r="B102" s="51"/>
      <c r="C102" s="51" t="s">
        <v>345</v>
      </c>
      <c r="D102" s="373"/>
      <c r="E102" s="373"/>
      <c r="F102" s="373"/>
      <c r="G102" s="373"/>
      <c r="H102" s="373"/>
      <c r="I102" s="373"/>
      <c r="J102" s="373"/>
      <c r="K102" s="373"/>
      <c r="L102" s="373"/>
      <c r="M102" s="373"/>
      <c r="N102" s="373"/>
      <c r="O102" s="373"/>
      <c r="P102" s="373"/>
      <c r="Q102" s="373"/>
      <c r="R102" s="375">
        <f>1-SUM(R94:R101)</f>
        <v>0.20699999999999996</v>
      </c>
      <c r="T102" s="51"/>
      <c r="U102" s="51"/>
    </row>
    <row r="103" spans="1:22" s="5" customFormat="1" ht="13.8" hidden="1">
      <c r="B103" s="23" t="s">
        <v>358</v>
      </c>
      <c r="C103" s="24"/>
      <c r="D103" s="372">
        <f t="shared" ref="D103:R103" si="11">IF(SUM(D94:D102)=0,"",
IF(SUM(D94:D102)&lt;&gt;1,"ERR: " &amp;  SUM(D94:D102),SUM(D94:D102)))</f>
        <v>1</v>
      </c>
      <c r="E103" s="372">
        <f t="shared" si="11"/>
        <v>1</v>
      </c>
      <c r="F103" s="372">
        <f t="shared" si="11"/>
        <v>1</v>
      </c>
      <c r="G103" s="372">
        <f t="shared" si="11"/>
        <v>1</v>
      </c>
      <c r="H103" s="372">
        <f t="shared" si="11"/>
        <v>1</v>
      </c>
      <c r="I103" s="372">
        <f t="shared" si="11"/>
        <v>1</v>
      </c>
      <c r="J103" s="372">
        <f t="shared" si="11"/>
        <v>1</v>
      </c>
      <c r="K103" s="372">
        <f t="shared" si="11"/>
        <v>1</v>
      </c>
      <c r="L103" s="372">
        <f t="shared" si="11"/>
        <v>1</v>
      </c>
      <c r="M103" s="372">
        <f t="shared" si="11"/>
        <v>1</v>
      </c>
      <c r="N103" s="372">
        <f t="shared" si="11"/>
        <v>1</v>
      </c>
      <c r="O103" s="372">
        <f t="shared" si="11"/>
        <v>1</v>
      </c>
      <c r="P103" s="372">
        <f t="shared" si="11"/>
        <v>1</v>
      </c>
      <c r="Q103" s="372">
        <f t="shared" si="11"/>
        <v>1</v>
      </c>
      <c r="R103" s="372">
        <f t="shared" si="11"/>
        <v>1</v>
      </c>
      <c r="U103" s="51"/>
    </row>
    <row r="104" spans="1:22">
      <c r="U104" s="51" t="str">
        <f t="shared" ref="U104" si="12">S104&amp;T104</f>
        <v/>
      </c>
    </row>
    <row r="107" spans="1:22" ht="17.399999999999999">
      <c r="A107" s="351"/>
      <c r="B107" s="351" t="s">
        <v>349</v>
      </c>
      <c r="C107" s="351"/>
      <c r="D107" s="352"/>
      <c r="E107" s="352"/>
      <c r="F107" s="352"/>
      <c r="G107" s="352"/>
      <c r="H107" s="352"/>
      <c r="I107" s="352"/>
      <c r="J107" s="352"/>
      <c r="K107" s="352"/>
      <c r="L107" s="352"/>
      <c r="M107" s="352"/>
      <c r="N107" s="352"/>
      <c r="O107" s="352"/>
      <c r="P107" s="352"/>
      <c r="Q107" s="352"/>
      <c r="R107" s="352"/>
    </row>
    <row r="108" spans="1:22" s="26" customFormat="1" ht="15.6">
      <c r="A108" s="355"/>
      <c r="B108" s="355" t="s">
        <v>346</v>
      </c>
      <c r="C108" s="355"/>
      <c r="D108" s="356">
        <v>4</v>
      </c>
      <c r="E108" s="356">
        <v>5</v>
      </c>
      <c r="F108" s="356">
        <v>6</v>
      </c>
      <c r="G108" s="356">
        <v>7</v>
      </c>
      <c r="H108" s="356">
        <v>8</v>
      </c>
      <c r="I108" s="356">
        <v>9</v>
      </c>
      <c r="J108" s="356">
        <v>10</v>
      </c>
      <c r="K108" s="356">
        <v>11</v>
      </c>
      <c r="L108" s="356">
        <v>12</v>
      </c>
      <c r="M108" s="356">
        <v>13</v>
      </c>
      <c r="N108" s="356">
        <v>14</v>
      </c>
      <c r="O108" s="356">
        <v>15</v>
      </c>
      <c r="P108" s="356">
        <v>16</v>
      </c>
      <c r="Q108" s="356">
        <v>17</v>
      </c>
      <c r="R108" s="356">
        <v>18</v>
      </c>
    </row>
    <row r="109" spans="1:22" s="5" customFormat="1" ht="14.4" thickBot="1">
      <c r="A109" s="353"/>
      <c r="B109" s="353"/>
      <c r="C109" s="353">
        <f>C5</f>
        <v>0</v>
      </c>
      <c r="D109" s="117" t="str">
        <f>D6</f>
        <v>RSDCOASUB</v>
      </c>
      <c r="E109" s="117" t="str">
        <f>E6</f>
        <v>RSDCOABIC</v>
      </c>
      <c r="F109" s="117" t="str">
        <f>F6</f>
        <v>RSDCOABCO</v>
      </c>
      <c r="G109" s="117" t="str">
        <f>G6</f>
        <v>RSDCOABKB</v>
      </c>
      <c r="H109" s="117" t="str">
        <f t="shared" ref="H109:R109" si="13">H6</f>
        <v>RSDOILLPG</v>
      </c>
      <c r="I109" s="117" t="str">
        <f t="shared" si="13"/>
        <v>RSDOILHFO</v>
      </c>
      <c r="J109" s="117" t="str">
        <f t="shared" si="13"/>
        <v>RSDOILDSL</v>
      </c>
      <c r="K109" s="117" t="str">
        <f t="shared" si="13"/>
        <v>RSDGASNAT</v>
      </c>
      <c r="L109" s="117" t="str">
        <f t="shared" si="13"/>
        <v>RSDBIOLOG</v>
      </c>
      <c r="M109" s="117" t="str">
        <f t="shared" si="13"/>
        <v>RSDBIOCHR</v>
      </c>
      <c r="N109" s="117" t="str">
        <f t="shared" si="13"/>
        <v>RSDBIOBGS</v>
      </c>
      <c r="O109" s="117" t="str">
        <f t="shared" si="13"/>
        <v>RSDRESSOL</v>
      </c>
      <c r="P109" s="117" t="str">
        <f t="shared" si="13"/>
        <v>RSDRESGEO</v>
      </c>
      <c r="Q109" s="117" t="str">
        <f t="shared" si="13"/>
        <v>RSDLTH</v>
      </c>
      <c r="R109" s="117" t="str">
        <f t="shared" si="13"/>
        <v>RSDELC</v>
      </c>
      <c r="S109" s="348" t="s">
        <v>336</v>
      </c>
    </row>
    <row r="110" spans="1:22" s="5" customFormat="1" ht="14.4" thickBot="1">
      <c r="A110" s="124" t="str">
        <f>Commodities!$AA$7&amp;"_"</f>
        <v>RSD_DTA1_</v>
      </c>
      <c r="B110" s="92" t="str">
        <f>Commodities!$AB$7</f>
        <v>Detached - Area1</v>
      </c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2"/>
      <c r="V110" s="46"/>
    </row>
    <row r="111" spans="1:22" s="5" customFormat="1" ht="13.8">
      <c r="A111" s="5" t="s">
        <v>367</v>
      </c>
      <c r="B111" s="362" t="str">
        <f>VLOOKUP(A110&amp;A111,Commodities!$AA$7:$AB$86,2,FALSE)</f>
        <v>Detached - A1 Space Heating</v>
      </c>
      <c r="C111" s="362" t="str">
        <f>A110&amp;A111</f>
        <v>RSD_DTA1_SH</v>
      </c>
      <c r="D111" s="373">
        <f t="shared" ref="D111:R119" si="14">IFERROR(D$5*VLOOKUP(LEFT($A$110,8),$A$10:$R$19,D$108,FALSE)*VLOOKUP(LEFT($A$110,9)&amp;$A111,$A$24:$R$102,D$108,FALSE),"")</f>
        <v>0</v>
      </c>
      <c r="E111" s="373">
        <f t="shared" si="14"/>
        <v>0</v>
      </c>
      <c r="F111" s="373">
        <f t="shared" si="14"/>
        <v>0</v>
      </c>
      <c r="G111" s="373">
        <f t="shared" si="14"/>
        <v>0</v>
      </c>
      <c r="H111" s="373">
        <f t="shared" si="14"/>
        <v>0</v>
      </c>
      <c r="I111" s="373">
        <f t="shared" si="14"/>
        <v>40.821300000000008</v>
      </c>
      <c r="J111" s="373">
        <f t="shared" si="14"/>
        <v>32.971049999999998</v>
      </c>
      <c r="K111" s="373">
        <f t="shared" si="14"/>
        <v>6.8483068920000001</v>
      </c>
      <c r="L111" s="373">
        <f t="shared" si="14"/>
        <v>0.21980700000000003</v>
      </c>
      <c r="M111" s="373">
        <f t="shared" si="14"/>
        <v>0</v>
      </c>
      <c r="N111" s="373">
        <f t="shared" si="14"/>
        <v>0</v>
      </c>
      <c r="O111" s="373">
        <f t="shared" si="14"/>
        <v>0</v>
      </c>
      <c r="P111" s="373">
        <f t="shared" si="14"/>
        <v>0</v>
      </c>
      <c r="Q111" s="373">
        <f t="shared" si="14"/>
        <v>0</v>
      </c>
      <c r="R111" s="373">
        <f t="shared" si="14"/>
        <v>9.8234888399999984E-2</v>
      </c>
      <c r="S111" s="364">
        <f t="shared" ref="S111:S119" si="15">SUM(D111:R111)</f>
        <v>80.958698780399999</v>
      </c>
      <c r="U111" s="357">
        <f>S111/RSD_Stock!E7</f>
        <v>0.1278276540696931</v>
      </c>
      <c r="V111" s="46">
        <f>U111*1000</f>
        <v>127.8276540696931</v>
      </c>
    </row>
    <row r="112" spans="1:22" s="5" customFormat="1" ht="13.8">
      <c r="A112" s="5" t="s">
        <v>368</v>
      </c>
      <c r="B112" s="362" t="str">
        <f>VLOOKUP(A110&amp;A112,Commodities!$AA$7:$AB$86,2,FALSE)</f>
        <v>Detached - A1 Space Cooling</v>
      </c>
      <c r="C112" s="362" t="str">
        <f>A110&amp;A112</f>
        <v>RSD_DTA1_SC</v>
      </c>
      <c r="D112" s="373">
        <f t="shared" si="14"/>
        <v>0</v>
      </c>
      <c r="E112" s="373">
        <f t="shared" si="14"/>
        <v>0</v>
      </c>
      <c r="F112" s="373">
        <f t="shared" si="14"/>
        <v>0</v>
      </c>
      <c r="G112" s="373">
        <f t="shared" si="14"/>
        <v>0</v>
      </c>
      <c r="H112" s="373">
        <f t="shared" si="14"/>
        <v>0</v>
      </c>
      <c r="I112" s="373">
        <f t="shared" si="14"/>
        <v>0</v>
      </c>
      <c r="J112" s="373">
        <f t="shared" si="14"/>
        <v>0</v>
      </c>
      <c r="K112" s="373">
        <f t="shared" si="14"/>
        <v>0</v>
      </c>
      <c r="L112" s="373">
        <f t="shared" si="14"/>
        <v>0</v>
      </c>
      <c r="M112" s="373">
        <f t="shared" si="14"/>
        <v>0</v>
      </c>
      <c r="N112" s="373">
        <f t="shared" si="14"/>
        <v>0</v>
      </c>
      <c r="O112" s="373">
        <f t="shared" si="14"/>
        <v>0</v>
      </c>
      <c r="P112" s="373">
        <f t="shared" si="14"/>
        <v>0</v>
      </c>
      <c r="Q112" s="373">
        <f t="shared" si="14"/>
        <v>0</v>
      </c>
      <c r="R112" s="373">
        <f t="shared" si="14"/>
        <v>1.4735233259999998E-2</v>
      </c>
      <c r="S112" s="364">
        <f t="shared" si="15"/>
        <v>1.4735233259999998E-2</v>
      </c>
      <c r="U112" s="357"/>
      <c r="V112" s="46"/>
    </row>
    <row r="113" spans="1:22" s="5" customFormat="1" ht="13.8">
      <c r="A113" s="5" t="s">
        <v>369</v>
      </c>
      <c r="B113" s="362" t="str">
        <f>VLOOKUP(A110&amp;A113,Commodities!$AA$7:$AB$86,2,FALSE)</f>
        <v>Detached - A1 Water Heating</v>
      </c>
      <c r="C113" s="362" t="str">
        <f>A110&amp;A113</f>
        <v>RSD_DTA1_WH</v>
      </c>
      <c r="D113" s="373">
        <f t="shared" si="14"/>
        <v>0</v>
      </c>
      <c r="E113" s="373">
        <f t="shared" si="14"/>
        <v>0</v>
      </c>
      <c r="F113" s="373">
        <f t="shared" si="14"/>
        <v>0</v>
      </c>
      <c r="G113" s="373">
        <f t="shared" si="14"/>
        <v>0</v>
      </c>
      <c r="H113" s="373">
        <f t="shared" si="14"/>
        <v>28.684813500000001</v>
      </c>
      <c r="I113" s="373">
        <f t="shared" si="14"/>
        <v>0</v>
      </c>
      <c r="J113" s="373">
        <f t="shared" si="14"/>
        <v>0</v>
      </c>
      <c r="K113" s="373">
        <f t="shared" si="14"/>
        <v>2.9349886680000004</v>
      </c>
      <c r="L113" s="373">
        <f t="shared" si="14"/>
        <v>0</v>
      </c>
      <c r="M113" s="373">
        <f t="shared" si="14"/>
        <v>0</v>
      </c>
      <c r="N113" s="373">
        <f t="shared" si="14"/>
        <v>0</v>
      </c>
      <c r="O113" s="373">
        <f t="shared" si="14"/>
        <v>0</v>
      </c>
      <c r="P113" s="373">
        <f t="shared" si="14"/>
        <v>0</v>
      </c>
      <c r="Q113" s="373">
        <f t="shared" si="14"/>
        <v>0</v>
      </c>
      <c r="R113" s="373">
        <f t="shared" si="14"/>
        <v>0</v>
      </c>
      <c r="S113" s="364">
        <f t="shared" si="15"/>
        <v>31.619802168</v>
      </c>
      <c r="U113" s="357">
        <f>S113/RSD_Stock!E7</f>
        <v>4.9925272937585446E-2</v>
      </c>
      <c r="V113" s="46"/>
    </row>
    <row r="114" spans="1:22" s="5" customFormat="1" ht="13.8">
      <c r="A114" s="5" t="s">
        <v>370</v>
      </c>
      <c r="B114" s="362" t="str">
        <f>VLOOKUP(A110&amp;A114,Commodities!$AA$7:$AB$86,2,FALSE)</f>
        <v>Detached - A1 Cooking</v>
      </c>
      <c r="C114" s="362" t="str">
        <f>A110&amp;A114</f>
        <v>RSD_DTA1_CK</v>
      </c>
      <c r="D114" s="373">
        <f t="shared" si="14"/>
        <v>0</v>
      </c>
      <c r="E114" s="373">
        <f t="shared" si="14"/>
        <v>0</v>
      </c>
      <c r="F114" s="373">
        <f t="shared" si="14"/>
        <v>0</v>
      </c>
      <c r="G114" s="373">
        <f t="shared" si="14"/>
        <v>0</v>
      </c>
      <c r="H114" s="373">
        <f t="shared" si="14"/>
        <v>3.1872014999999996</v>
      </c>
      <c r="I114" s="373">
        <f t="shared" si="14"/>
        <v>0</v>
      </c>
      <c r="J114" s="373">
        <f t="shared" si="14"/>
        <v>0</v>
      </c>
      <c r="K114" s="373">
        <f t="shared" si="14"/>
        <v>0</v>
      </c>
      <c r="L114" s="373">
        <f t="shared" si="14"/>
        <v>0</v>
      </c>
      <c r="M114" s="373">
        <f t="shared" si="14"/>
        <v>0</v>
      </c>
      <c r="N114" s="373">
        <f t="shared" si="14"/>
        <v>0</v>
      </c>
      <c r="O114" s="373">
        <f t="shared" si="14"/>
        <v>0</v>
      </c>
      <c r="P114" s="373">
        <f t="shared" si="14"/>
        <v>0</v>
      </c>
      <c r="Q114" s="373">
        <f t="shared" si="14"/>
        <v>0</v>
      </c>
      <c r="R114" s="373">
        <f t="shared" si="14"/>
        <v>0.73676166299999979</v>
      </c>
      <c r="S114" s="364">
        <f t="shared" si="15"/>
        <v>3.9239631629999994</v>
      </c>
      <c r="U114" s="357">
        <f>S114/RSD_Stock!E7</f>
        <v>6.195640657994583E-3</v>
      </c>
      <c r="V114" s="46"/>
    </row>
    <row r="115" spans="1:22" s="5" customFormat="1" ht="13.8">
      <c r="A115" s="5" t="s">
        <v>375</v>
      </c>
      <c r="B115" s="362" t="str">
        <f>VLOOKUP(A110&amp;A115,Commodities!$AA$7:$AB$86,2,FALSE)</f>
        <v>Detached - A1 Lighting</v>
      </c>
      <c r="C115" s="362" t="str">
        <f>A110&amp;A115</f>
        <v>RSD_DTA1_LI</v>
      </c>
      <c r="D115" s="373">
        <f t="shared" si="14"/>
        <v>0</v>
      </c>
      <c r="E115" s="373">
        <f t="shared" si="14"/>
        <v>0</v>
      </c>
      <c r="F115" s="373">
        <f t="shared" si="14"/>
        <v>0</v>
      </c>
      <c r="G115" s="373">
        <f t="shared" si="14"/>
        <v>0</v>
      </c>
      <c r="H115" s="373">
        <f t="shared" si="14"/>
        <v>0</v>
      </c>
      <c r="I115" s="373">
        <f t="shared" si="14"/>
        <v>0</v>
      </c>
      <c r="J115" s="373">
        <f t="shared" si="14"/>
        <v>0</v>
      </c>
      <c r="K115" s="373">
        <f t="shared" si="14"/>
        <v>0</v>
      </c>
      <c r="L115" s="373">
        <f t="shared" si="14"/>
        <v>0</v>
      </c>
      <c r="M115" s="373">
        <f t="shared" si="14"/>
        <v>0</v>
      </c>
      <c r="N115" s="373">
        <f t="shared" si="14"/>
        <v>0</v>
      </c>
      <c r="O115" s="373">
        <f t="shared" si="14"/>
        <v>0</v>
      </c>
      <c r="P115" s="373">
        <f t="shared" si="14"/>
        <v>0</v>
      </c>
      <c r="Q115" s="373">
        <f t="shared" si="14"/>
        <v>0</v>
      </c>
      <c r="R115" s="373">
        <f t="shared" si="14"/>
        <v>1.3261709933999999</v>
      </c>
      <c r="S115" s="364">
        <f t="shared" si="15"/>
        <v>1.3261709933999999</v>
      </c>
      <c r="U115" s="357"/>
      <c r="V115" s="46"/>
    </row>
    <row r="116" spans="1:22" s="5" customFormat="1" ht="13.8">
      <c r="A116" s="5" t="s">
        <v>371</v>
      </c>
      <c r="B116" s="362" t="str">
        <f>VLOOKUP(A110&amp;A116,Commodities!$AA$7:$AB$86,2,FALSE)</f>
        <v>Detached - A1 Refrigerating</v>
      </c>
      <c r="C116" s="362" t="str">
        <f>A110&amp;A116</f>
        <v>RSD_DTA1_RF</v>
      </c>
      <c r="D116" s="373">
        <f t="shared" si="14"/>
        <v>0</v>
      </c>
      <c r="E116" s="373">
        <f t="shared" si="14"/>
        <v>0</v>
      </c>
      <c r="F116" s="373">
        <f t="shared" si="14"/>
        <v>0</v>
      </c>
      <c r="G116" s="373">
        <f t="shared" si="14"/>
        <v>0</v>
      </c>
      <c r="H116" s="373">
        <f t="shared" si="14"/>
        <v>0</v>
      </c>
      <c r="I116" s="373">
        <f t="shared" si="14"/>
        <v>0</v>
      </c>
      <c r="J116" s="373">
        <f t="shared" si="14"/>
        <v>0</v>
      </c>
      <c r="K116" s="373">
        <f t="shared" si="14"/>
        <v>0</v>
      </c>
      <c r="L116" s="373">
        <f t="shared" si="14"/>
        <v>0</v>
      </c>
      <c r="M116" s="373">
        <f t="shared" si="14"/>
        <v>0</v>
      </c>
      <c r="N116" s="373">
        <f t="shared" si="14"/>
        <v>0</v>
      </c>
      <c r="O116" s="373">
        <f t="shared" si="14"/>
        <v>0</v>
      </c>
      <c r="P116" s="373">
        <f t="shared" si="14"/>
        <v>0</v>
      </c>
      <c r="Q116" s="373">
        <f t="shared" si="14"/>
        <v>0</v>
      </c>
      <c r="R116" s="373">
        <f t="shared" si="14"/>
        <v>0.83499655139999984</v>
      </c>
      <c r="S116" s="364">
        <f t="shared" si="15"/>
        <v>0.83499655139999984</v>
      </c>
      <c r="U116" s="357"/>
      <c r="V116" s="46"/>
    </row>
    <row r="117" spans="1:22" s="5" customFormat="1" ht="13.8">
      <c r="A117" s="5" t="s">
        <v>372</v>
      </c>
      <c r="B117" s="362" t="str">
        <f>VLOOKUP(A110&amp;A117,Commodities!$AA$7:$AB$86,2,FALSE)</f>
        <v>Detached - A1 Cloth Washing</v>
      </c>
      <c r="C117" s="362" t="str">
        <f>A110&amp;A117</f>
        <v>RSD_DTA1_CW</v>
      </c>
      <c r="D117" s="373">
        <f t="shared" si="14"/>
        <v>0</v>
      </c>
      <c r="E117" s="373">
        <f t="shared" si="14"/>
        <v>0</v>
      </c>
      <c r="F117" s="373">
        <f t="shared" si="14"/>
        <v>0</v>
      </c>
      <c r="G117" s="373">
        <f t="shared" si="14"/>
        <v>0</v>
      </c>
      <c r="H117" s="373">
        <f t="shared" si="14"/>
        <v>0</v>
      </c>
      <c r="I117" s="373">
        <f t="shared" si="14"/>
        <v>0</v>
      </c>
      <c r="J117" s="373">
        <f t="shared" si="14"/>
        <v>0</v>
      </c>
      <c r="K117" s="373">
        <f t="shared" si="14"/>
        <v>0</v>
      </c>
      <c r="L117" s="373">
        <f t="shared" si="14"/>
        <v>0</v>
      </c>
      <c r="M117" s="373">
        <f t="shared" si="14"/>
        <v>0</v>
      </c>
      <c r="N117" s="373">
        <f t="shared" si="14"/>
        <v>0</v>
      </c>
      <c r="O117" s="373">
        <f t="shared" si="14"/>
        <v>0</v>
      </c>
      <c r="P117" s="373">
        <f t="shared" si="14"/>
        <v>0</v>
      </c>
      <c r="Q117" s="373">
        <f t="shared" si="14"/>
        <v>0</v>
      </c>
      <c r="R117" s="373">
        <f t="shared" si="14"/>
        <v>0.36838083149999989</v>
      </c>
      <c r="S117" s="364">
        <f t="shared" si="15"/>
        <v>0.36838083149999989</v>
      </c>
      <c r="U117" s="357"/>
      <c r="V117" s="46"/>
    </row>
    <row r="118" spans="1:22" s="5" customFormat="1" ht="13.8">
      <c r="A118" s="5" t="s">
        <v>373</v>
      </c>
      <c r="B118" s="362" t="str">
        <f>VLOOKUP(A110&amp;A118,Commodities!$AA$7:$AB$86,2,FALSE)</f>
        <v>Detached - A1 Dish Washing</v>
      </c>
      <c r="C118" s="362" t="str">
        <f>A110&amp;A118</f>
        <v>RSD_DTA1_DW</v>
      </c>
      <c r="D118" s="373">
        <f t="shared" si="14"/>
        <v>0</v>
      </c>
      <c r="E118" s="373">
        <f t="shared" si="14"/>
        <v>0</v>
      </c>
      <c r="F118" s="373">
        <f t="shared" si="14"/>
        <v>0</v>
      </c>
      <c r="G118" s="373">
        <f t="shared" si="14"/>
        <v>0</v>
      </c>
      <c r="H118" s="373">
        <f t="shared" si="14"/>
        <v>0</v>
      </c>
      <c r="I118" s="373">
        <f t="shared" si="14"/>
        <v>0</v>
      </c>
      <c r="J118" s="373">
        <f t="shared" si="14"/>
        <v>0</v>
      </c>
      <c r="K118" s="373">
        <f t="shared" si="14"/>
        <v>0</v>
      </c>
      <c r="L118" s="373">
        <f t="shared" si="14"/>
        <v>0</v>
      </c>
      <c r="M118" s="373">
        <f t="shared" si="14"/>
        <v>0</v>
      </c>
      <c r="N118" s="373">
        <f t="shared" si="14"/>
        <v>0</v>
      </c>
      <c r="O118" s="373">
        <f t="shared" si="14"/>
        <v>0</v>
      </c>
      <c r="P118" s="373">
        <f t="shared" si="14"/>
        <v>0</v>
      </c>
      <c r="Q118" s="373">
        <f t="shared" si="14"/>
        <v>0</v>
      </c>
      <c r="R118" s="373">
        <f t="shared" si="14"/>
        <v>4.9117444199999992E-3</v>
      </c>
      <c r="S118" s="364">
        <f t="shared" si="15"/>
        <v>4.9117444199999992E-3</v>
      </c>
      <c r="U118" s="357"/>
      <c r="V118" s="46"/>
    </row>
    <row r="119" spans="1:22" s="5" customFormat="1" ht="13.8">
      <c r="A119" s="5" t="s">
        <v>374</v>
      </c>
      <c r="B119" s="362" t="str">
        <f>VLOOKUP(A110&amp;A119,Commodities!$AA$7:$AB$86,2,FALSE)</f>
        <v>Detached - A1 Other Appliances</v>
      </c>
      <c r="C119" s="362" t="str">
        <f>A110&amp;A119</f>
        <v>RSD_DTA1_AP</v>
      </c>
      <c r="D119" s="373">
        <f t="shared" si="14"/>
        <v>0</v>
      </c>
      <c r="E119" s="373">
        <f t="shared" si="14"/>
        <v>0</v>
      </c>
      <c r="F119" s="373">
        <f t="shared" si="14"/>
        <v>0</v>
      </c>
      <c r="G119" s="373">
        <f t="shared" si="14"/>
        <v>0</v>
      </c>
      <c r="H119" s="373">
        <f t="shared" si="14"/>
        <v>0</v>
      </c>
      <c r="I119" s="373">
        <f t="shared" si="14"/>
        <v>0</v>
      </c>
      <c r="J119" s="373">
        <f t="shared" si="14"/>
        <v>0</v>
      </c>
      <c r="K119" s="373">
        <f t="shared" si="14"/>
        <v>0</v>
      </c>
      <c r="L119" s="373">
        <f t="shared" si="14"/>
        <v>0</v>
      </c>
      <c r="M119" s="373">
        <f t="shared" si="14"/>
        <v>0</v>
      </c>
      <c r="N119" s="373">
        <f t="shared" si="14"/>
        <v>0</v>
      </c>
      <c r="O119" s="373">
        <f t="shared" si="14"/>
        <v>0</v>
      </c>
      <c r="P119" s="373">
        <f t="shared" si="14"/>
        <v>0</v>
      </c>
      <c r="Q119" s="373">
        <f t="shared" si="14"/>
        <v>0</v>
      </c>
      <c r="R119" s="373">
        <f t="shared" si="14"/>
        <v>1.52755251462</v>
      </c>
      <c r="S119" s="364">
        <f t="shared" si="15"/>
        <v>1.52755251462</v>
      </c>
      <c r="U119" s="357"/>
      <c r="V119" s="46"/>
    </row>
    <row r="120" spans="1:22" s="5" customFormat="1" ht="14.4" thickBot="1">
      <c r="A120" s="124" t="str">
        <f>Commodities!$AA$8&amp;"_"</f>
        <v>RSD_APA1_</v>
      </c>
      <c r="B120" s="92" t="str">
        <f>Commodities!$AB$8</f>
        <v>Apartment - Area1</v>
      </c>
      <c r="C120" s="92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2"/>
      <c r="U120" s="357"/>
      <c r="V120" s="46"/>
    </row>
    <row r="121" spans="1:22" s="5" customFormat="1" ht="13.8">
      <c r="A121" s="5" t="s">
        <v>367</v>
      </c>
      <c r="B121" s="362" t="str">
        <f>VLOOKUP(A120&amp;A121,Commodities!$AA$7:$AB$86,2,FALSE)</f>
        <v>Apartment - A1 Space Heating</v>
      </c>
      <c r="C121" s="362" t="str">
        <f>A120&amp;A121</f>
        <v>RSD_APA1_SH</v>
      </c>
      <c r="D121" s="373">
        <f t="shared" ref="D121:R129" si="16">IFERROR(D$5*VLOOKUP(LEFT($A$120,8),$A$10:$R$19,D$108,FALSE)*VLOOKUP(LEFT($A$120,9)&amp;$A121,$A$24:$R$102,D$108,FALSE),"")</f>
        <v>0</v>
      </c>
      <c r="E121" s="373">
        <f t="shared" si="16"/>
        <v>0</v>
      </c>
      <c r="F121" s="373">
        <f t="shared" si="16"/>
        <v>0</v>
      </c>
      <c r="G121" s="373">
        <f t="shared" si="16"/>
        <v>0</v>
      </c>
      <c r="H121" s="373">
        <f t="shared" si="16"/>
        <v>0</v>
      </c>
      <c r="I121" s="373">
        <f t="shared" si="16"/>
        <v>0</v>
      </c>
      <c r="J121" s="373">
        <f t="shared" si="16"/>
        <v>0</v>
      </c>
      <c r="K121" s="373">
        <f t="shared" si="16"/>
        <v>44.024830020000003</v>
      </c>
      <c r="L121" s="373">
        <f t="shared" si="16"/>
        <v>0</v>
      </c>
      <c r="M121" s="373">
        <f t="shared" si="16"/>
        <v>0</v>
      </c>
      <c r="N121" s="373">
        <f t="shared" si="16"/>
        <v>0</v>
      </c>
      <c r="O121" s="373">
        <f t="shared" si="16"/>
        <v>0</v>
      </c>
      <c r="P121" s="373">
        <f t="shared" si="16"/>
        <v>0</v>
      </c>
      <c r="Q121" s="373">
        <f t="shared" si="16"/>
        <v>5.5344262499999992</v>
      </c>
      <c r="R121" s="373">
        <f t="shared" si="16"/>
        <v>0</v>
      </c>
      <c r="S121" s="364">
        <f t="shared" ref="S121:S129" si="17">SUM(D121:R121)</f>
        <v>49.559256270000006</v>
      </c>
      <c r="U121" s="357">
        <f>S121/RSD_Stock!E8</f>
        <v>7.67008012072974E-2</v>
      </c>
      <c r="V121" s="46">
        <f>U121*1000</f>
        <v>76.700801207297403</v>
      </c>
    </row>
    <row r="122" spans="1:22" s="5" customFormat="1" ht="13.8">
      <c r="A122" s="5" t="s">
        <v>368</v>
      </c>
      <c r="B122" s="362" t="str">
        <f>VLOOKUP(A120&amp;A122,Commodities!$AA$7:$AB$86,2,FALSE)</f>
        <v>Apartment - A1 Space Cooling</v>
      </c>
      <c r="C122" s="362" t="str">
        <f>A120&amp;A122</f>
        <v>RSD_APA1_SC</v>
      </c>
      <c r="D122" s="373">
        <f t="shared" si="16"/>
        <v>0</v>
      </c>
      <c r="E122" s="373">
        <f t="shared" si="16"/>
        <v>0</v>
      </c>
      <c r="F122" s="373">
        <f t="shared" si="16"/>
        <v>0</v>
      </c>
      <c r="G122" s="373">
        <f t="shared" si="16"/>
        <v>0</v>
      </c>
      <c r="H122" s="373">
        <f t="shared" si="16"/>
        <v>0</v>
      </c>
      <c r="I122" s="373">
        <f t="shared" si="16"/>
        <v>0</v>
      </c>
      <c r="J122" s="373">
        <f t="shared" si="16"/>
        <v>0</v>
      </c>
      <c r="K122" s="373">
        <f t="shared" si="16"/>
        <v>0</v>
      </c>
      <c r="L122" s="373">
        <f t="shared" si="16"/>
        <v>0</v>
      </c>
      <c r="M122" s="373">
        <f t="shared" si="16"/>
        <v>0</v>
      </c>
      <c r="N122" s="373">
        <f t="shared" si="16"/>
        <v>0</v>
      </c>
      <c r="O122" s="373">
        <f t="shared" si="16"/>
        <v>0</v>
      </c>
      <c r="P122" s="373">
        <f t="shared" si="16"/>
        <v>0</v>
      </c>
      <c r="Q122" s="373">
        <f t="shared" si="16"/>
        <v>0</v>
      </c>
      <c r="R122" s="373">
        <f t="shared" si="16"/>
        <v>1.5032914740000002E-2</v>
      </c>
      <c r="S122" s="364">
        <f t="shared" si="17"/>
        <v>1.5032914740000002E-2</v>
      </c>
      <c r="T122" s="46"/>
      <c r="U122" s="357"/>
      <c r="V122" s="46"/>
    </row>
    <row r="123" spans="1:22" s="5" customFormat="1" ht="13.8">
      <c r="A123" s="5" t="s">
        <v>369</v>
      </c>
      <c r="B123" s="362" t="str">
        <f>VLOOKUP(A120&amp;A123,Commodities!$AA$7:$AB$86,2,FALSE)</f>
        <v>Apartment - A1 Water Heating</v>
      </c>
      <c r="C123" s="362" t="str">
        <f>A120&amp;A123</f>
        <v>RSD_APA1_WH</v>
      </c>
      <c r="D123" s="373">
        <f t="shared" si="16"/>
        <v>0</v>
      </c>
      <c r="E123" s="373">
        <f t="shared" si="16"/>
        <v>0</v>
      </c>
      <c r="F123" s="373">
        <f t="shared" si="16"/>
        <v>0</v>
      </c>
      <c r="G123" s="373">
        <f t="shared" si="16"/>
        <v>0</v>
      </c>
      <c r="H123" s="373">
        <f t="shared" si="16"/>
        <v>0</v>
      </c>
      <c r="I123" s="373">
        <f t="shared" si="16"/>
        <v>0</v>
      </c>
      <c r="J123" s="373">
        <f t="shared" si="16"/>
        <v>0</v>
      </c>
      <c r="K123" s="373">
        <f t="shared" si="16"/>
        <v>41.383340218800001</v>
      </c>
      <c r="L123" s="373">
        <f t="shared" si="16"/>
        <v>0</v>
      </c>
      <c r="M123" s="373">
        <f t="shared" si="16"/>
        <v>0</v>
      </c>
      <c r="N123" s="373">
        <f t="shared" si="16"/>
        <v>0</v>
      </c>
      <c r="O123" s="373">
        <f t="shared" si="16"/>
        <v>0</v>
      </c>
      <c r="P123" s="373">
        <f t="shared" si="16"/>
        <v>0</v>
      </c>
      <c r="Q123" s="373">
        <f t="shared" si="16"/>
        <v>1.8448087499999999</v>
      </c>
      <c r="R123" s="373">
        <f t="shared" si="16"/>
        <v>0</v>
      </c>
      <c r="S123" s="364">
        <f t="shared" si="17"/>
        <v>43.228148968799999</v>
      </c>
      <c r="U123" s="357">
        <f>S123/RSD_Stock!E8</f>
        <v>6.69024095630434E-2</v>
      </c>
      <c r="V123" s="46"/>
    </row>
    <row r="124" spans="1:22" s="5" customFormat="1" ht="13.8">
      <c r="A124" s="5" t="s">
        <v>370</v>
      </c>
      <c r="B124" s="362" t="str">
        <f>VLOOKUP(A120&amp;A124,Commodities!$AA$7:$AB$86,2,FALSE)</f>
        <v>Apartment - A1 Cooking</v>
      </c>
      <c r="C124" s="362" t="str">
        <f>A120&amp;A124</f>
        <v>RSD_APA1_CK</v>
      </c>
      <c r="D124" s="373">
        <f t="shared" si="16"/>
        <v>0</v>
      </c>
      <c r="E124" s="373">
        <f t="shared" si="16"/>
        <v>0</v>
      </c>
      <c r="F124" s="373">
        <f t="shared" si="16"/>
        <v>0</v>
      </c>
      <c r="G124" s="373">
        <f t="shared" si="16"/>
        <v>0</v>
      </c>
      <c r="H124" s="373">
        <f t="shared" si="16"/>
        <v>0</v>
      </c>
      <c r="I124" s="373">
        <f t="shared" si="16"/>
        <v>0</v>
      </c>
      <c r="J124" s="373">
        <f t="shared" si="16"/>
        <v>0</v>
      </c>
      <c r="K124" s="373">
        <f t="shared" si="16"/>
        <v>2.6414898012000023</v>
      </c>
      <c r="L124" s="373">
        <f t="shared" si="16"/>
        <v>0</v>
      </c>
      <c r="M124" s="373">
        <f t="shared" si="16"/>
        <v>0</v>
      </c>
      <c r="N124" s="373">
        <f t="shared" si="16"/>
        <v>0</v>
      </c>
      <c r="O124" s="373">
        <f t="shared" si="16"/>
        <v>0</v>
      </c>
      <c r="P124" s="373">
        <f t="shared" si="16"/>
        <v>0</v>
      </c>
      <c r="Q124" s="373">
        <f t="shared" si="16"/>
        <v>0</v>
      </c>
      <c r="R124" s="373">
        <f t="shared" si="16"/>
        <v>0.75164573700000004</v>
      </c>
      <c r="S124" s="364">
        <f t="shared" si="17"/>
        <v>3.3931355382000024</v>
      </c>
      <c r="U124" s="357">
        <f>S124/RSD_Stock!E8</f>
        <v>5.2514148510827601E-3</v>
      </c>
      <c r="V124" s="46"/>
    </row>
    <row r="125" spans="1:22" s="5" customFormat="1" ht="13.8">
      <c r="A125" s="5" t="s">
        <v>375</v>
      </c>
      <c r="B125" s="362" t="str">
        <f>VLOOKUP(A120&amp;A125,Commodities!$AA$7:$AB$86,2,FALSE)</f>
        <v>Apartment - A1 Lighting</v>
      </c>
      <c r="C125" s="362" t="str">
        <f>A120&amp;A125</f>
        <v>RSD_APA1_LI</v>
      </c>
      <c r="D125" s="373">
        <f t="shared" si="16"/>
        <v>0</v>
      </c>
      <c r="E125" s="373">
        <f t="shared" si="16"/>
        <v>0</v>
      </c>
      <c r="F125" s="373">
        <f t="shared" si="16"/>
        <v>0</v>
      </c>
      <c r="G125" s="373">
        <f t="shared" si="16"/>
        <v>0</v>
      </c>
      <c r="H125" s="373">
        <f t="shared" si="16"/>
        <v>0</v>
      </c>
      <c r="I125" s="373">
        <f t="shared" si="16"/>
        <v>0</v>
      </c>
      <c r="J125" s="373">
        <f t="shared" si="16"/>
        <v>0</v>
      </c>
      <c r="K125" s="373">
        <f t="shared" si="16"/>
        <v>0</v>
      </c>
      <c r="L125" s="373">
        <f t="shared" si="16"/>
        <v>0</v>
      </c>
      <c r="M125" s="373">
        <f t="shared" si="16"/>
        <v>0</v>
      </c>
      <c r="N125" s="373">
        <f t="shared" si="16"/>
        <v>0</v>
      </c>
      <c r="O125" s="373">
        <f t="shared" si="16"/>
        <v>0</v>
      </c>
      <c r="P125" s="373">
        <f t="shared" si="16"/>
        <v>0</v>
      </c>
      <c r="Q125" s="373">
        <f t="shared" si="16"/>
        <v>0</v>
      </c>
      <c r="R125" s="373">
        <f t="shared" si="16"/>
        <v>1.3529623266000002</v>
      </c>
      <c r="S125" s="364">
        <f t="shared" si="17"/>
        <v>1.3529623266000002</v>
      </c>
      <c r="U125" s="357"/>
      <c r="V125" s="46"/>
    </row>
    <row r="126" spans="1:22" s="5" customFormat="1" ht="13.8">
      <c r="A126" s="5" t="s">
        <v>371</v>
      </c>
      <c r="B126" s="362" t="str">
        <f>VLOOKUP(A120&amp;A126,Commodities!$AA$7:$AB$86,2,FALSE)</f>
        <v>Apartment - A1 Refrigerating</v>
      </c>
      <c r="C126" s="362" t="str">
        <f>A120&amp;A126</f>
        <v>RSD_APA1_RF</v>
      </c>
      <c r="D126" s="373">
        <f t="shared" si="16"/>
        <v>0</v>
      </c>
      <c r="E126" s="373">
        <f t="shared" si="16"/>
        <v>0</v>
      </c>
      <c r="F126" s="373">
        <f t="shared" si="16"/>
        <v>0</v>
      </c>
      <c r="G126" s="373">
        <f t="shared" si="16"/>
        <v>0</v>
      </c>
      <c r="H126" s="373">
        <f t="shared" si="16"/>
        <v>0</v>
      </c>
      <c r="I126" s="373">
        <f t="shared" si="16"/>
        <v>0</v>
      </c>
      <c r="J126" s="373">
        <f t="shared" si="16"/>
        <v>0</v>
      </c>
      <c r="K126" s="373">
        <f t="shared" si="16"/>
        <v>0</v>
      </c>
      <c r="L126" s="373">
        <f t="shared" si="16"/>
        <v>0</v>
      </c>
      <c r="M126" s="373">
        <f t="shared" si="16"/>
        <v>0</v>
      </c>
      <c r="N126" s="373">
        <f t="shared" si="16"/>
        <v>0</v>
      </c>
      <c r="O126" s="373">
        <f t="shared" si="16"/>
        <v>0</v>
      </c>
      <c r="P126" s="373">
        <f t="shared" si="16"/>
        <v>0</v>
      </c>
      <c r="Q126" s="373">
        <f t="shared" si="16"/>
        <v>0</v>
      </c>
      <c r="R126" s="373">
        <f t="shared" si="16"/>
        <v>0.85186516860000017</v>
      </c>
      <c r="S126" s="364">
        <f t="shared" si="17"/>
        <v>0.85186516860000017</v>
      </c>
      <c r="U126" s="357"/>
      <c r="V126" s="46"/>
    </row>
    <row r="127" spans="1:22" s="5" customFormat="1" ht="13.8">
      <c r="A127" s="5" t="s">
        <v>372</v>
      </c>
      <c r="B127" s="362" t="str">
        <f>VLOOKUP(A120&amp;A127,Commodities!$AA$7:$AB$86,2,FALSE)</f>
        <v>Apartment - A1 Cloth Washing</v>
      </c>
      <c r="C127" s="362" t="str">
        <f>A120&amp;A127</f>
        <v>RSD_APA1_CW</v>
      </c>
      <c r="D127" s="373">
        <f t="shared" si="16"/>
        <v>0</v>
      </c>
      <c r="E127" s="373">
        <f t="shared" si="16"/>
        <v>0</v>
      </c>
      <c r="F127" s="373">
        <f t="shared" si="16"/>
        <v>0</v>
      </c>
      <c r="G127" s="373">
        <f t="shared" si="16"/>
        <v>0</v>
      </c>
      <c r="H127" s="373">
        <f t="shared" si="16"/>
        <v>0</v>
      </c>
      <c r="I127" s="373">
        <f t="shared" si="16"/>
        <v>0</v>
      </c>
      <c r="J127" s="373">
        <f t="shared" si="16"/>
        <v>0</v>
      </c>
      <c r="K127" s="373">
        <f t="shared" si="16"/>
        <v>0</v>
      </c>
      <c r="L127" s="373">
        <f t="shared" si="16"/>
        <v>0</v>
      </c>
      <c r="M127" s="373">
        <f t="shared" si="16"/>
        <v>0</v>
      </c>
      <c r="N127" s="373">
        <f t="shared" si="16"/>
        <v>0</v>
      </c>
      <c r="O127" s="373">
        <f t="shared" si="16"/>
        <v>0</v>
      </c>
      <c r="P127" s="373">
        <f t="shared" si="16"/>
        <v>0</v>
      </c>
      <c r="Q127" s="373">
        <f t="shared" si="16"/>
        <v>0</v>
      </c>
      <c r="R127" s="373">
        <f t="shared" si="16"/>
        <v>0.37582286850000002</v>
      </c>
      <c r="S127" s="364">
        <f t="shared" si="17"/>
        <v>0.37582286850000002</v>
      </c>
      <c r="U127" s="357"/>
      <c r="V127" s="46"/>
    </row>
    <row r="128" spans="1:22" s="5" customFormat="1" ht="13.8">
      <c r="A128" s="5" t="s">
        <v>373</v>
      </c>
      <c r="B128" s="362" t="str">
        <f>VLOOKUP(A120&amp;A128,Commodities!$AA$7:$AB$86,2,FALSE)</f>
        <v>Apartment - A1 Dish Washing</v>
      </c>
      <c r="C128" s="362" t="str">
        <f>A120&amp;A128</f>
        <v>RSD_APA1_DW</v>
      </c>
      <c r="D128" s="373">
        <f t="shared" si="16"/>
        <v>0</v>
      </c>
      <c r="E128" s="373">
        <f t="shared" si="16"/>
        <v>0</v>
      </c>
      <c r="F128" s="373">
        <f t="shared" si="16"/>
        <v>0</v>
      </c>
      <c r="G128" s="373">
        <f t="shared" si="16"/>
        <v>0</v>
      </c>
      <c r="H128" s="373">
        <f t="shared" si="16"/>
        <v>0</v>
      </c>
      <c r="I128" s="373">
        <f t="shared" si="16"/>
        <v>0</v>
      </c>
      <c r="J128" s="373">
        <f t="shared" si="16"/>
        <v>0</v>
      </c>
      <c r="K128" s="373">
        <f t="shared" si="16"/>
        <v>0</v>
      </c>
      <c r="L128" s="373">
        <f t="shared" si="16"/>
        <v>0</v>
      </c>
      <c r="M128" s="373">
        <f t="shared" si="16"/>
        <v>0</v>
      </c>
      <c r="N128" s="373">
        <f t="shared" si="16"/>
        <v>0</v>
      </c>
      <c r="O128" s="373">
        <f t="shared" si="16"/>
        <v>0</v>
      </c>
      <c r="P128" s="373">
        <f t="shared" si="16"/>
        <v>0</v>
      </c>
      <c r="Q128" s="373">
        <f t="shared" si="16"/>
        <v>0</v>
      </c>
      <c r="R128" s="373">
        <f t="shared" si="16"/>
        <v>5.0109715800000006E-3</v>
      </c>
      <c r="S128" s="364">
        <f t="shared" si="17"/>
        <v>5.0109715800000006E-3</v>
      </c>
      <c r="U128" s="357"/>
      <c r="V128" s="46"/>
    </row>
    <row r="129" spans="1:22" s="5" customFormat="1" ht="13.8">
      <c r="A129" s="5" t="s">
        <v>374</v>
      </c>
      <c r="B129" s="362" t="str">
        <f>VLOOKUP(A120&amp;A129,Commodities!$AA$7:$AB$86,2,FALSE)</f>
        <v>Apartment - A1 Other Appliances</v>
      </c>
      <c r="C129" s="362" t="str">
        <f>A120&amp;A129</f>
        <v>RSD_APA1_AP</v>
      </c>
      <c r="D129" s="373">
        <f t="shared" si="16"/>
        <v>0</v>
      </c>
      <c r="E129" s="373">
        <f t="shared" si="16"/>
        <v>0</v>
      </c>
      <c r="F129" s="373">
        <f t="shared" si="16"/>
        <v>0</v>
      </c>
      <c r="G129" s="373">
        <f t="shared" si="16"/>
        <v>0</v>
      </c>
      <c r="H129" s="373">
        <f t="shared" si="16"/>
        <v>0</v>
      </c>
      <c r="I129" s="373">
        <f t="shared" si="16"/>
        <v>0</v>
      </c>
      <c r="J129" s="373">
        <f t="shared" si="16"/>
        <v>0</v>
      </c>
      <c r="K129" s="373">
        <f t="shared" si="16"/>
        <v>0</v>
      </c>
      <c r="L129" s="373">
        <f t="shared" si="16"/>
        <v>0</v>
      </c>
      <c r="M129" s="373">
        <f t="shared" si="16"/>
        <v>0</v>
      </c>
      <c r="N129" s="373">
        <f t="shared" si="16"/>
        <v>0</v>
      </c>
      <c r="O129" s="373">
        <f t="shared" si="16"/>
        <v>0</v>
      </c>
      <c r="P129" s="373">
        <f t="shared" si="16"/>
        <v>0</v>
      </c>
      <c r="Q129" s="373">
        <f t="shared" si="16"/>
        <v>0</v>
      </c>
      <c r="R129" s="373">
        <f t="shared" si="16"/>
        <v>1.65863159298</v>
      </c>
      <c r="S129" s="364">
        <f t="shared" si="17"/>
        <v>1.65863159298</v>
      </c>
      <c r="U129" s="357"/>
      <c r="V129" s="46"/>
    </row>
    <row r="130" spans="1:22" s="5" customFormat="1" ht="14.4" hidden="1" thickBot="1">
      <c r="A130" s="124" t="str">
        <f>Commodities!$AA$9&amp;"_"</f>
        <v>RSD_DTA2_</v>
      </c>
      <c r="B130" s="92" t="str">
        <f>Commodities!$AB$9</f>
        <v>Detached - Area2</v>
      </c>
      <c r="C130" s="92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2"/>
      <c r="U130" s="357"/>
      <c r="V130" s="46"/>
    </row>
    <row r="131" spans="1:22" s="5" customFormat="1" ht="13.8" hidden="1">
      <c r="A131" s="5" t="s">
        <v>367</v>
      </c>
      <c r="B131" s="362" t="str">
        <f>VLOOKUP(A130&amp;A131,Commodities!$AA$7:$AB$86,2,FALSE)</f>
        <v>Detached - A2 Space Heating</v>
      </c>
      <c r="C131" s="362" t="str">
        <f>A130&amp;A131</f>
        <v>RSD_DTA2_SH</v>
      </c>
      <c r="D131" s="373" t="str">
        <f>IFERROR(#REF!*VLOOKUP(LEFT($A$130,8),$A$10:$R$19,D$108,FALSE)*VLOOKUP(LEFT($A$130,9)&amp;$A131,$A$24:$R$102,D$108,FALSE),"")</f>
        <v/>
      </c>
      <c r="E131" s="373">
        <f t="shared" ref="E131:R139" si="18">IFERROR(E$5*VLOOKUP(LEFT($A$130,8),$A$10:$R$19,E$108,FALSE)*VLOOKUP(LEFT($A$130,9)&amp;$A131,$A$24:$R$102,E$108,FALSE),"")</f>
        <v>0</v>
      </c>
      <c r="F131" s="373">
        <f t="shared" si="18"/>
        <v>0</v>
      </c>
      <c r="G131" s="373">
        <f t="shared" si="18"/>
        <v>0</v>
      </c>
      <c r="H131" s="373">
        <f t="shared" si="18"/>
        <v>0</v>
      </c>
      <c r="I131" s="373">
        <f t="shared" si="18"/>
        <v>0</v>
      </c>
      <c r="J131" s="373">
        <f t="shared" si="18"/>
        <v>0</v>
      </c>
      <c r="K131" s="373">
        <f t="shared" si="18"/>
        <v>0</v>
      </c>
      <c r="L131" s="373">
        <f t="shared" si="18"/>
        <v>0</v>
      </c>
      <c r="M131" s="373">
        <f t="shared" si="18"/>
        <v>0</v>
      </c>
      <c r="N131" s="373">
        <f t="shared" si="18"/>
        <v>0</v>
      </c>
      <c r="O131" s="373">
        <f t="shared" si="18"/>
        <v>0</v>
      </c>
      <c r="P131" s="373">
        <f t="shared" si="18"/>
        <v>0</v>
      </c>
      <c r="Q131" s="373">
        <f t="shared" si="18"/>
        <v>0</v>
      </c>
      <c r="R131" s="373">
        <f t="shared" si="18"/>
        <v>0</v>
      </c>
      <c r="S131" s="364">
        <f t="shared" ref="S131:S139" si="19">SUM(D131:R131)</f>
        <v>0</v>
      </c>
      <c r="U131" s="357" t="e">
        <f>S131/RSD_Stock!E9</f>
        <v>#DIV/0!</v>
      </c>
      <c r="V131" s="46" t="e">
        <f>U131*1000</f>
        <v>#DIV/0!</v>
      </c>
    </row>
    <row r="132" spans="1:22" s="5" customFormat="1" ht="13.8" hidden="1">
      <c r="A132" s="5" t="s">
        <v>368</v>
      </c>
      <c r="B132" s="362" t="str">
        <f>VLOOKUP(A130&amp;A132,Commodities!$AA$7:$AB$86,2,FALSE)</f>
        <v>Detached - A2 Space Cooling</v>
      </c>
      <c r="C132" s="362" t="str">
        <f>A130&amp;A132</f>
        <v>RSD_DTA2_SC</v>
      </c>
      <c r="D132" s="373" t="str">
        <f>IFERROR(#REF!*VLOOKUP(LEFT($A$130,8),$A$10:$R$19,D$108,FALSE)*VLOOKUP(LEFT($A$130,9)&amp;$A132,$A$24:$R$102,D$108,FALSE),"")</f>
        <v/>
      </c>
      <c r="E132" s="373">
        <f t="shared" si="18"/>
        <v>0</v>
      </c>
      <c r="F132" s="373">
        <f t="shared" si="18"/>
        <v>0</v>
      </c>
      <c r="G132" s="373">
        <f t="shared" si="18"/>
        <v>0</v>
      </c>
      <c r="H132" s="373">
        <f t="shared" si="18"/>
        <v>0</v>
      </c>
      <c r="I132" s="373">
        <f t="shared" si="18"/>
        <v>0</v>
      </c>
      <c r="J132" s="373">
        <f t="shared" si="18"/>
        <v>0</v>
      </c>
      <c r="K132" s="373">
        <f t="shared" si="18"/>
        <v>0</v>
      </c>
      <c r="L132" s="373">
        <f t="shared" si="18"/>
        <v>0</v>
      </c>
      <c r="M132" s="373">
        <f t="shared" si="18"/>
        <v>0</v>
      </c>
      <c r="N132" s="373">
        <f t="shared" si="18"/>
        <v>0</v>
      </c>
      <c r="O132" s="373">
        <f t="shared" si="18"/>
        <v>0</v>
      </c>
      <c r="P132" s="373">
        <f t="shared" si="18"/>
        <v>0</v>
      </c>
      <c r="Q132" s="373">
        <f t="shared" si="18"/>
        <v>0</v>
      </c>
      <c r="R132" s="373">
        <f t="shared" si="18"/>
        <v>0</v>
      </c>
      <c r="S132" s="364">
        <f t="shared" si="19"/>
        <v>0</v>
      </c>
      <c r="U132" s="357"/>
      <c r="V132" s="46"/>
    </row>
    <row r="133" spans="1:22" s="5" customFormat="1" ht="13.8" hidden="1">
      <c r="A133" s="5" t="s">
        <v>369</v>
      </c>
      <c r="B133" s="362" t="str">
        <f>VLOOKUP(A130&amp;A133,Commodities!$AA$7:$AB$86,2,FALSE)</f>
        <v>Detached - A2 Water Heating</v>
      </c>
      <c r="C133" s="362" t="str">
        <f>A130&amp;A133</f>
        <v>RSD_DTA2_WH</v>
      </c>
      <c r="D133" s="373" t="str">
        <f>IFERROR(#REF!*VLOOKUP(LEFT($A$130,8),$A$10:$R$19,D$108,FALSE)*VLOOKUP(LEFT($A$130,9)&amp;$A133,$A$24:$R$102,D$108,FALSE),"")</f>
        <v/>
      </c>
      <c r="E133" s="373">
        <f t="shared" si="18"/>
        <v>0</v>
      </c>
      <c r="F133" s="373">
        <f t="shared" si="18"/>
        <v>0</v>
      </c>
      <c r="G133" s="373">
        <f t="shared" si="18"/>
        <v>0</v>
      </c>
      <c r="H133" s="373">
        <f t="shared" si="18"/>
        <v>0</v>
      </c>
      <c r="I133" s="373">
        <f t="shared" si="18"/>
        <v>0</v>
      </c>
      <c r="J133" s="373">
        <f t="shared" si="18"/>
        <v>0</v>
      </c>
      <c r="K133" s="373">
        <f t="shared" si="18"/>
        <v>0</v>
      </c>
      <c r="L133" s="373">
        <f t="shared" si="18"/>
        <v>0</v>
      </c>
      <c r="M133" s="373">
        <f t="shared" si="18"/>
        <v>0</v>
      </c>
      <c r="N133" s="373">
        <f t="shared" si="18"/>
        <v>0</v>
      </c>
      <c r="O133" s="373">
        <f t="shared" si="18"/>
        <v>0</v>
      </c>
      <c r="P133" s="373">
        <f t="shared" si="18"/>
        <v>0</v>
      </c>
      <c r="Q133" s="373">
        <f t="shared" si="18"/>
        <v>0</v>
      </c>
      <c r="R133" s="373">
        <f t="shared" si="18"/>
        <v>0</v>
      </c>
      <c r="S133" s="364">
        <f t="shared" si="19"/>
        <v>0</v>
      </c>
      <c r="U133" s="357" t="e">
        <f>S133/RSD_Stock!E9</f>
        <v>#DIV/0!</v>
      </c>
      <c r="V133" s="46"/>
    </row>
    <row r="134" spans="1:22" s="5" customFormat="1" ht="13.8" hidden="1">
      <c r="A134" s="5" t="s">
        <v>370</v>
      </c>
      <c r="B134" s="362" t="str">
        <f>VLOOKUP(A130&amp;A134,Commodities!$AA$7:$AB$86,2,FALSE)</f>
        <v>Detached - A2 Cooking</v>
      </c>
      <c r="C134" s="362" t="str">
        <f>A130&amp;A134</f>
        <v>RSD_DTA2_CK</v>
      </c>
      <c r="D134" s="373" t="str">
        <f>IFERROR(#REF!*VLOOKUP(LEFT($A$130,8),$A$10:$R$19,D$108,FALSE)*VLOOKUP(LEFT($A$130,9)&amp;$A134,$A$24:$R$102,D$108,FALSE),"")</f>
        <v/>
      </c>
      <c r="E134" s="373">
        <f t="shared" si="18"/>
        <v>0</v>
      </c>
      <c r="F134" s="373">
        <f t="shared" si="18"/>
        <v>0</v>
      </c>
      <c r="G134" s="373">
        <f t="shared" si="18"/>
        <v>0</v>
      </c>
      <c r="H134" s="373">
        <f t="shared" si="18"/>
        <v>0</v>
      </c>
      <c r="I134" s="373">
        <f t="shared" si="18"/>
        <v>0</v>
      </c>
      <c r="J134" s="373">
        <f t="shared" si="18"/>
        <v>0</v>
      </c>
      <c r="K134" s="373">
        <f t="shared" si="18"/>
        <v>0</v>
      </c>
      <c r="L134" s="373">
        <f t="shared" si="18"/>
        <v>0</v>
      </c>
      <c r="M134" s="373">
        <f t="shared" si="18"/>
        <v>0</v>
      </c>
      <c r="N134" s="373">
        <f t="shared" si="18"/>
        <v>0</v>
      </c>
      <c r="O134" s="373">
        <f t="shared" si="18"/>
        <v>0</v>
      </c>
      <c r="P134" s="373">
        <f t="shared" si="18"/>
        <v>0</v>
      </c>
      <c r="Q134" s="373">
        <f t="shared" si="18"/>
        <v>0</v>
      </c>
      <c r="R134" s="373">
        <f t="shared" si="18"/>
        <v>0</v>
      </c>
      <c r="S134" s="364">
        <f t="shared" si="19"/>
        <v>0</v>
      </c>
      <c r="U134" s="357" t="e">
        <f>S134/RSD_Stock!E9</f>
        <v>#DIV/0!</v>
      </c>
      <c r="V134" s="46"/>
    </row>
    <row r="135" spans="1:22" s="5" customFormat="1" ht="13.8" hidden="1">
      <c r="A135" s="5" t="s">
        <v>375</v>
      </c>
      <c r="B135" s="362" t="str">
        <f>VLOOKUP(A130&amp;A135,Commodities!$AA$7:$AB$86,2,FALSE)</f>
        <v>Detached - A2 Lighting</v>
      </c>
      <c r="C135" s="362" t="str">
        <f>A130&amp;A135</f>
        <v>RSD_DTA2_LI</v>
      </c>
      <c r="D135" s="373" t="str">
        <f>IFERROR(#REF!*VLOOKUP(LEFT($A$130,8),$A$10:$R$19,D$108,FALSE)*VLOOKUP(LEFT($A$130,9)&amp;$A135,$A$24:$R$102,D$108,FALSE),"")</f>
        <v/>
      </c>
      <c r="E135" s="373">
        <f t="shared" si="18"/>
        <v>0</v>
      </c>
      <c r="F135" s="373">
        <f t="shared" si="18"/>
        <v>0</v>
      </c>
      <c r="G135" s="373">
        <f t="shared" si="18"/>
        <v>0</v>
      </c>
      <c r="H135" s="373">
        <f t="shared" si="18"/>
        <v>0</v>
      </c>
      <c r="I135" s="373">
        <f t="shared" si="18"/>
        <v>0</v>
      </c>
      <c r="J135" s="373">
        <f t="shared" si="18"/>
        <v>0</v>
      </c>
      <c r="K135" s="373">
        <f t="shared" si="18"/>
        <v>0</v>
      </c>
      <c r="L135" s="373">
        <f t="shared" si="18"/>
        <v>0</v>
      </c>
      <c r="M135" s="373">
        <f t="shared" si="18"/>
        <v>0</v>
      </c>
      <c r="N135" s="373">
        <f t="shared" si="18"/>
        <v>0</v>
      </c>
      <c r="O135" s="373">
        <f t="shared" si="18"/>
        <v>0</v>
      </c>
      <c r="P135" s="373">
        <f t="shared" si="18"/>
        <v>0</v>
      </c>
      <c r="Q135" s="373">
        <f t="shared" si="18"/>
        <v>0</v>
      </c>
      <c r="R135" s="373">
        <f t="shared" si="18"/>
        <v>0</v>
      </c>
      <c r="S135" s="364">
        <f t="shared" si="19"/>
        <v>0</v>
      </c>
      <c r="U135" s="357"/>
      <c r="V135" s="46"/>
    </row>
    <row r="136" spans="1:22" s="5" customFormat="1" ht="13.8" hidden="1">
      <c r="A136" s="5" t="s">
        <v>371</v>
      </c>
      <c r="B136" s="362" t="str">
        <f>VLOOKUP(A130&amp;A136,Commodities!$AA$7:$AB$86,2,FALSE)</f>
        <v>Detached - A2 Refrigerating</v>
      </c>
      <c r="C136" s="362" t="str">
        <f>A130&amp;A136</f>
        <v>RSD_DTA2_RF</v>
      </c>
      <c r="D136" s="373" t="str">
        <f>IFERROR(#REF!*VLOOKUP(LEFT($A$130,8),$A$10:$R$19,D$108,FALSE)*VLOOKUP(LEFT($A$130,9)&amp;$A136,$A$24:$R$102,D$108,FALSE),"")</f>
        <v/>
      </c>
      <c r="E136" s="373">
        <f t="shared" si="18"/>
        <v>0</v>
      </c>
      <c r="F136" s="373">
        <f t="shared" si="18"/>
        <v>0</v>
      </c>
      <c r="G136" s="373">
        <f t="shared" si="18"/>
        <v>0</v>
      </c>
      <c r="H136" s="373">
        <f t="shared" si="18"/>
        <v>0</v>
      </c>
      <c r="I136" s="373">
        <f t="shared" si="18"/>
        <v>0</v>
      </c>
      <c r="J136" s="373">
        <f t="shared" si="18"/>
        <v>0</v>
      </c>
      <c r="K136" s="373">
        <f t="shared" si="18"/>
        <v>0</v>
      </c>
      <c r="L136" s="373">
        <f t="shared" si="18"/>
        <v>0</v>
      </c>
      <c r="M136" s="373">
        <f t="shared" si="18"/>
        <v>0</v>
      </c>
      <c r="N136" s="373">
        <f t="shared" si="18"/>
        <v>0</v>
      </c>
      <c r="O136" s="373">
        <f t="shared" si="18"/>
        <v>0</v>
      </c>
      <c r="P136" s="373">
        <f t="shared" si="18"/>
        <v>0</v>
      </c>
      <c r="Q136" s="373">
        <f t="shared" si="18"/>
        <v>0</v>
      </c>
      <c r="R136" s="373">
        <f t="shared" si="18"/>
        <v>0</v>
      </c>
      <c r="S136" s="364">
        <f t="shared" si="19"/>
        <v>0</v>
      </c>
      <c r="U136" s="357"/>
      <c r="V136" s="46"/>
    </row>
    <row r="137" spans="1:22" s="5" customFormat="1" ht="13.8" hidden="1">
      <c r="A137" s="5" t="s">
        <v>372</v>
      </c>
      <c r="B137" s="362" t="str">
        <f>VLOOKUP(A130&amp;A137,Commodities!$AA$7:$AB$86,2,FALSE)</f>
        <v>Detached - A2 Cloth Washing</v>
      </c>
      <c r="C137" s="362" t="str">
        <f>A130&amp;A137</f>
        <v>RSD_DTA2_CW</v>
      </c>
      <c r="D137" s="373" t="str">
        <f>IFERROR(#REF!*VLOOKUP(LEFT($A$130,8),$A$10:$R$19,D$108,FALSE)*VLOOKUP(LEFT($A$130,9)&amp;$A137,$A$24:$R$102,D$108,FALSE),"")</f>
        <v/>
      </c>
      <c r="E137" s="373">
        <f t="shared" si="18"/>
        <v>0</v>
      </c>
      <c r="F137" s="373">
        <f t="shared" si="18"/>
        <v>0</v>
      </c>
      <c r="G137" s="373">
        <f t="shared" si="18"/>
        <v>0</v>
      </c>
      <c r="H137" s="373">
        <f t="shared" si="18"/>
        <v>0</v>
      </c>
      <c r="I137" s="373">
        <f t="shared" si="18"/>
        <v>0</v>
      </c>
      <c r="J137" s="373">
        <f t="shared" si="18"/>
        <v>0</v>
      </c>
      <c r="K137" s="373">
        <f t="shared" si="18"/>
        <v>0</v>
      </c>
      <c r="L137" s="373">
        <f t="shared" si="18"/>
        <v>0</v>
      </c>
      <c r="M137" s="373">
        <f t="shared" si="18"/>
        <v>0</v>
      </c>
      <c r="N137" s="373">
        <f t="shared" si="18"/>
        <v>0</v>
      </c>
      <c r="O137" s="373">
        <f t="shared" si="18"/>
        <v>0</v>
      </c>
      <c r="P137" s="373">
        <f t="shared" si="18"/>
        <v>0</v>
      </c>
      <c r="Q137" s="373">
        <f t="shared" si="18"/>
        <v>0</v>
      </c>
      <c r="R137" s="373">
        <f t="shared" si="18"/>
        <v>0</v>
      </c>
      <c r="S137" s="364">
        <f t="shared" si="19"/>
        <v>0</v>
      </c>
      <c r="U137" s="357"/>
      <c r="V137" s="46"/>
    </row>
    <row r="138" spans="1:22" s="5" customFormat="1" ht="13.8" hidden="1">
      <c r="A138" s="5" t="s">
        <v>373</v>
      </c>
      <c r="B138" s="362" t="str">
        <f>VLOOKUP(A130&amp;A138,Commodities!$AA$7:$AB$86,2,FALSE)</f>
        <v>Detached - A2 Dish Washing</v>
      </c>
      <c r="C138" s="362" t="str">
        <f>A130&amp;A138</f>
        <v>RSD_DTA2_DW</v>
      </c>
      <c r="D138" s="373" t="str">
        <f>IFERROR(#REF!*VLOOKUP(LEFT($A$130,8),$A$10:$R$19,D$108,FALSE)*VLOOKUP(LEFT($A$130,9)&amp;$A138,$A$24:$R$102,D$108,FALSE),"")</f>
        <v/>
      </c>
      <c r="E138" s="373">
        <f t="shared" si="18"/>
        <v>0</v>
      </c>
      <c r="F138" s="373">
        <f t="shared" si="18"/>
        <v>0</v>
      </c>
      <c r="G138" s="373">
        <f t="shared" si="18"/>
        <v>0</v>
      </c>
      <c r="H138" s="373">
        <f t="shared" si="18"/>
        <v>0</v>
      </c>
      <c r="I138" s="373">
        <f t="shared" si="18"/>
        <v>0</v>
      </c>
      <c r="J138" s="373">
        <f t="shared" si="18"/>
        <v>0</v>
      </c>
      <c r="K138" s="373">
        <f t="shared" si="18"/>
        <v>0</v>
      </c>
      <c r="L138" s="373">
        <f t="shared" si="18"/>
        <v>0</v>
      </c>
      <c r="M138" s="373">
        <f t="shared" si="18"/>
        <v>0</v>
      </c>
      <c r="N138" s="373">
        <f t="shared" si="18"/>
        <v>0</v>
      </c>
      <c r="O138" s="373">
        <f t="shared" si="18"/>
        <v>0</v>
      </c>
      <c r="P138" s="373">
        <f t="shared" si="18"/>
        <v>0</v>
      </c>
      <c r="Q138" s="373">
        <f t="shared" si="18"/>
        <v>0</v>
      </c>
      <c r="R138" s="373">
        <f t="shared" si="18"/>
        <v>0</v>
      </c>
      <c r="S138" s="364">
        <f t="shared" si="19"/>
        <v>0</v>
      </c>
      <c r="U138" s="357"/>
      <c r="V138" s="46"/>
    </row>
    <row r="139" spans="1:22" s="5" customFormat="1" ht="13.8" hidden="1">
      <c r="A139" s="5" t="s">
        <v>374</v>
      </c>
      <c r="B139" s="362" t="str">
        <f>VLOOKUP(A130&amp;A139,Commodities!$AA$7:$AB$86,2,FALSE)</f>
        <v>Detached - A2 Other Appliances</v>
      </c>
      <c r="C139" s="362" t="str">
        <f>A130&amp;A139</f>
        <v>RSD_DTA2_AP</v>
      </c>
      <c r="D139" s="373" t="str">
        <f>IFERROR(#REF!*VLOOKUP(LEFT($A$130,8),$A$10:$R$19,D$108,FALSE)*VLOOKUP(LEFT($A$130,9)&amp;$A139,$A$24:$R$102,D$108,FALSE),"")</f>
        <v/>
      </c>
      <c r="E139" s="373">
        <f t="shared" si="18"/>
        <v>0</v>
      </c>
      <c r="F139" s="373">
        <f t="shared" si="18"/>
        <v>0</v>
      </c>
      <c r="G139" s="373">
        <f t="shared" si="18"/>
        <v>0</v>
      </c>
      <c r="H139" s="373">
        <f t="shared" si="18"/>
        <v>0</v>
      </c>
      <c r="I139" s="373">
        <f t="shared" si="18"/>
        <v>0</v>
      </c>
      <c r="J139" s="373">
        <f t="shared" si="18"/>
        <v>0</v>
      </c>
      <c r="K139" s="373">
        <f t="shared" si="18"/>
        <v>0</v>
      </c>
      <c r="L139" s="373">
        <f t="shared" si="18"/>
        <v>0</v>
      </c>
      <c r="M139" s="373">
        <f t="shared" si="18"/>
        <v>0</v>
      </c>
      <c r="N139" s="373">
        <f t="shared" si="18"/>
        <v>0</v>
      </c>
      <c r="O139" s="373">
        <f t="shared" si="18"/>
        <v>0</v>
      </c>
      <c r="P139" s="373">
        <f t="shared" si="18"/>
        <v>0</v>
      </c>
      <c r="Q139" s="373">
        <f t="shared" si="18"/>
        <v>0</v>
      </c>
      <c r="R139" s="373">
        <f t="shared" si="18"/>
        <v>0</v>
      </c>
      <c r="S139" s="364">
        <f t="shared" si="19"/>
        <v>0</v>
      </c>
      <c r="U139" s="357"/>
      <c r="V139" s="46"/>
    </row>
    <row r="140" spans="1:22" s="5" customFormat="1" ht="14.4" hidden="1" thickBot="1">
      <c r="A140" s="124" t="str">
        <f>Commodities!$AA$10&amp;"_"</f>
        <v>RSD_APA2_</v>
      </c>
      <c r="B140" s="92" t="str">
        <f>Commodities!$AB$10</f>
        <v>Apartment - Area2</v>
      </c>
      <c r="C140" s="92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2"/>
      <c r="U140" s="357"/>
      <c r="V140" s="46"/>
    </row>
    <row r="141" spans="1:22" s="5" customFormat="1" ht="13.8" hidden="1">
      <c r="A141" s="5" t="s">
        <v>367</v>
      </c>
      <c r="B141" s="362" t="str">
        <f>VLOOKUP(A140&amp;A141,Commodities!$AA$7:$AB$86,2,FALSE)</f>
        <v>Apartment - A2 Space Heating</v>
      </c>
      <c r="C141" s="362" t="str">
        <f>A140&amp;A141</f>
        <v>RSD_APA2_SH</v>
      </c>
      <c r="D141" s="373" t="str">
        <f>IFERROR(#REF!*VLOOKUP(LEFT($A$140,8),$A$10:$R$19,D$108,FALSE)*VLOOKUP(LEFT($A$140,9)&amp;$A141,$A$24:$R$102,D$108,FALSE),"")</f>
        <v/>
      </c>
      <c r="E141" s="373">
        <f t="shared" ref="E141:R149" si="20">IFERROR(E$5*VLOOKUP(LEFT($A$140,8),$A$10:$R$19,E$108,FALSE)*VLOOKUP(LEFT($A$140,9)&amp;$A141,$A$24:$R$102,E$108,FALSE),"")</f>
        <v>0</v>
      </c>
      <c r="F141" s="373">
        <f t="shared" si="20"/>
        <v>0</v>
      </c>
      <c r="G141" s="373">
        <f t="shared" si="20"/>
        <v>0</v>
      </c>
      <c r="H141" s="373">
        <f t="shared" si="20"/>
        <v>0</v>
      </c>
      <c r="I141" s="373">
        <f t="shared" si="20"/>
        <v>0</v>
      </c>
      <c r="J141" s="373">
        <f t="shared" si="20"/>
        <v>0</v>
      </c>
      <c r="K141" s="373">
        <f t="shared" si="20"/>
        <v>0</v>
      </c>
      <c r="L141" s="373">
        <f t="shared" si="20"/>
        <v>0</v>
      </c>
      <c r="M141" s="373">
        <f t="shared" si="20"/>
        <v>0</v>
      </c>
      <c r="N141" s="373">
        <f t="shared" si="20"/>
        <v>0</v>
      </c>
      <c r="O141" s="373">
        <f t="shared" si="20"/>
        <v>0</v>
      </c>
      <c r="P141" s="373">
        <f t="shared" si="20"/>
        <v>0</v>
      </c>
      <c r="Q141" s="373">
        <f t="shared" si="20"/>
        <v>0</v>
      </c>
      <c r="R141" s="373">
        <f t="shared" si="20"/>
        <v>0</v>
      </c>
      <c r="S141" s="364">
        <f t="shared" ref="S141:S149" si="21">SUM(D141:R141)</f>
        <v>0</v>
      </c>
      <c r="U141" s="357" t="e">
        <f>S141/RSD_Stock!E10</f>
        <v>#DIV/0!</v>
      </c>
      <c r="V141" s="46" t="e">
        <f>U141*1000</f>
        <v>#DIV/0!</v>
      </c>
    </row>
    <row r="142" spans="1:22" s="5" customFormat="1" ht="13.8" hidden="1">
      <c r="A142" s="5" t="s">
        <v>368</v>
      </c>
      <c r="B142" s="362" t="str">
        <f>VLOOKUP(A140&amp;A142,Commodities!$AA$7:$AB$86,2,FALSE)</f>
        <v>Apartment - A2 Space Cooling</v>
      </c>
      <c r="C142" s="362" t="str">
        <f>A140&amp;A142</f>
        <v>RSD_APA2_SC</v>
      </c>
      <c r="D142" s="373" t="str">
        <f>IFERROR(#REF!*VLOOKUP(LEFT($A$140,8),$A$10:$R$19,D$108,FALSE)*VLOOKUP(LEFT($A$140,9)&amp;$A142,$A$24:$R$102,D$108,FALSE),"")</f>
        <v/>
      </c>
      <c r="E142" s="373">
        <f t="shared" si="20"/>
        <v>0</v>
      </c>
      <c r="F142" s="373">
        <f t="shared" si="20"/>
        <v>0</v>
      </c>
      <c r="G142" s="373">
        <f t="shared" si="20"/>
        <v>0</v>
      </c>
      <c r="H142" s="373">
        <f t="shared" si="20"/>
        <v>0</v>
      </c>
      <c r="I142" s="373">
        <f t="shared" si="20"/>
        <v>0</v>
      </c>
      <c r="J142" s="373">
        <f t="shared" si="20"/>
        <v>0</v>
      </c>
      <c r="K142" s="373">
        <f t="shared" si="20"/>
        <v>0</v>
      </c>
      <c r="L142" s="373">
        <f t="shared" si="20"/>
        <v>0</v>
      </c>
      <c r="M142" s="373">
        <f t="shared" si="20"/>
        <v>0</v>
      </c>
      <c r="N142" s="373">
        <f t="shared" si="20"/>
        <v>0</v>
      </c>
      <c r="O142" s="373">
        <f t="shared" si="20"/>
        <v>0</v>
      </c>
      <c r="P142" s="373">
        <f t="shared" si="20"/>
        <v>0</v>
      </c>
      <c r="Q142" s="373">
        <f t="shared" si="20"/>
        <v>0</v>
      </c>
      <c r="R142" s="373">
        <f t="shared" si="20"/>
        <v>0</v>
      </c>
      <c r="S142" s="364">
        <f t="shared" si="21"/>
        <v>0</v>
      </c>
      <c r="U142" s="357"/>
      <c r="V142" s="46"/>
    </row>
    <row r="143" spans="1:22" s="5" customFormat="1" ht="13.8" hidden="1">
      <c r="A143" s="5" t="s">
        <v>369</v>
      </c>
      <c r="B143" s="362" t="str">
        <f>VLOOKUP(A140&amp;A143,Commodities!$AA$7:$AB$86,2,FALSE)</f>
        <v>Apartment - A2 Water Heating</v>
      </c>
      <c r="C143" s="362" t="str">
        <f>A140&amp;A143</f>
        <v>RSD_APA2_WH</v>
      </c>
      <c r="D143" s="373" t="str">
        <f>IFERROR(#REF!*VLOOKUP(LEFT($A$140,8),$A$10:$R$19,D$108,FALSE)*VLOOKUP(LEFT($A$140,9)&amp;$A143,$A$24:$R$102,D$108,FALSE),"")</f>
        <v/>
      </c>
      <c r="E143" s="373">
        <f t="shared" si="20"/>
        <v>0</v>
      </c>
      <c r="F143" s="373">
        <f t="shared" si="20"/>
        <v>0</v>
      </c>
      <c r="G143" s="373">
        <f t="shared" si="20"/>
        <v>0</v>
      </c>
      <c r="H143" s="373">
        <f t="shared" si="20"/>
        <v>0</v>
      </c>
      <c r="I143" s="373">
        <f t="shared" si="20"/>
        <v>0</v>
      </c>
      <c r="J143" s="373">
        <f t="shared" si="20"/>
        <v>0</v>
      </c>
      <c r="K143" s="373">
        <f t="shared" si="20"/>
        <v>0</v>
      </c>
      <c r="L143" s="373">
        <f t="shared" si="20"/>
        <v>0</v>
      </c>
      <c r="M143" s="373">
        <f t="shared" si="20"/>
        <v>0</v>
      </c>
      <c r="N143" s="373">
        <f t="shared" si="20"/>
        <v>0</v>
      </c>
      <c r="O143" s="373">
        <f t="shared" si="20"/>
        <v>0</v>
      </c>
      <c r="P143" s="373">
        <f t="shared" si="20"/>
        <v>0</v>
      </c>
      <c r="Q143" s="373">
        <f t="shared" si="20"/>
        <v>0</v>
      </c>
      <c r="R143" s="373">
        <f t="shared" si="20"/>
        <v>0</v>
      </c>
      <c r="S143" s="364">
        <f t="shared" si="21"/>
        <v>0</v>
      </c>
      <c r="U143" s="357" t="e">
        <f>S143/RSD_Stock!E10</f>
        <v>#DIV/0!</v>
      </c>
      <c r="V143" s="46"/>
    </row>
    <row r="144" spans="1:22" s="5" customFormat="1" ht="13.8" hidden="1">
      <c r="A144" s="5" t="s">
        <v>370</v>
      </c>
      <c r="B144" s="362" t="str">
        <f>VLOOKUP(A140&amp;A144,Commodities!$AA$7:$AB$86,2,FALSE)</f>
        <v>Apartment - A2 Cooking</v>
      </c>
      <c r="C144" s="362" t="str">
        <f>A140&amp;A144</f>
        <v>RSD_APA2_CK</v>
      </c>
      <c r="D144" s="373" t="str">
        <f>IFERROR(#REF!*VLOOKUP(LEFT($A$140,8),$A$10:$R$19,D$108,FALSE)*VLOOKUP(LEFT($A$140,9)&amp;$A144,$A$24:$R$102,D$108,FALSE),"")</f>
        <v/>
      </c>
      <c r="E144" s="373">
        <f t="shared" si="20"/>
        <v>0</v>
      </c>
      <c r="F144" s="373">
        <f t="shared" si="20"/>
        <v>0</v>
      </c>
      <c r="G144" s="373">
        <f t="shared" si="20"/>
        <v>0</v>
      </c>
      <c r="H144" s="373">
        <f t="shared" si="20"/>
        <v>0</v>
      </c>
      <c r="I144" s="373">
        <f t="shared" si="20"/>
        <v>0</v>
      </c>
      <c r="J144" s="373">
        <f t="shared" si="20"/>
        <v>0</v>
      </c>
      <c r="K144" s="373">
        <f t="shared" si="20"/>
        <v>0</v>
      </c>
      <c r="L144" s="373">
        <f t="shared" si="20"/>
        <v>0</v>
      </c>
      <c r="M144" s="373">
        <f t="shared" si="20"/>
        <v>0</v>
      </c>
      <c r="N144" s="373">
        <f t="shared" si="20"/>
        <v>0</v>
      </c>
      <c r="O144" s="373">
        <f t="shared" si="20"/>
        <v>0</v>
      </c>
      <c r="P144" s="373">
        <f t="shared" si="20"/>
        <v>0</v>
      </c>
      <c r="Q144" s="373">
        <f t="shared" si="20"/>
        <v>0</v>
      </c>
      <c r="R144" s="373">
        <f t="shared" si="20"/>
        <v>0</v>
      </c>
      <c r="S144" s="364">
        <f t="shared" si="21"/>
        <v>0</v>
      </c>
      <c r="U144" s="357" t="e">
        <f>S144/RSD_Stock!E10</f>
        <v>#DIV/0!</v>
      </c>
      <c r="V144" s="46"/>
    </row>
    <row r="145" spans="1:22" s="5" customFormat="1" ht="13.8" hidden="1">
      <c r="A145" s="5" t="s">
        <v>375</v>
      </c>
      <c r="B145" s="362" t="str">
        <f>VLOOKUP(A140&amp;A145,Commodities!$AA$7:$AB$86,2,FALSE)</f>
        <v>Apartment - A2 Lighting</v>
      </c>
      <c r="C145" s="362" t="str">
        <f>A140&amp;A145</f>
        <v>RSD_APA2_LI</v>
      </c>
      <c r="D145" s="373" t="str">
        <f>IFERROR(#REF!*VLOOKUP(LEFT($A$140,8),$A$10:$R$19,D$108,FALSE)*VLOOKUP(LEFT($A$140,9)&amp;$A145,$A$24:$R$102,D$108,FALSE),"")</f>
        <v/>
      </c>
      <c r="E145" s="373">
        <f t="shared" si="20"/>
        <v>0</v>
      </c>
      <c r="F145" s="373">
        <f t="shared" si="20"/>
        <v>0</v>
      </c>
      <c r="G145" s="373">
        <f t="shared" si="20"/>
        <v>0</v>
      </c>
      <c r="H145" s="373">
        <f t="shared" si="20"/>
        <v>0</v>
      </c>
      <c r="I145" s="373">
        <f t="shared" si="20"/>
        <v>0</v>
      </c>
      <c r="J145" s="373">
        <f t="shared" si="20"/>
        <v>0</v>
      </c>
      <c r="K145" s="373">
        <f t="shared" si="20"/>
        <v>0</v>
      </c>
      <c r="L145" s="373">
        <f t="shared" si="20"/>
        <v>0</v>
      </c>
      <c r="M145" s="373">
        <f t="shared" si="20"/>
        <v>0</v>
      </c>
      <c r="N145" s="373">
        <f t="shared" si="20"/>
        <v>0</v>
      </c>
      <c r="O145" s="373">
        <f t="shared" si="20"/>
        <v>0</v>
      </c>
      <c r="P145" s="373">
        <f t="shared" si="20"/>
        <v>0</v>
      </c>
      <c r="Q145" s="373">
        <f t="shared" si="20"/>
        <v>0</v>
      </c>
      <c r="R145" s="373">
        <f t="shared" si="20"/>
        <v>0</v>
      </c>
      <c r="S145" s="364">
        <f t="shared" si="21"/>
        <v>0</v>
      </c>
      <c r="U145" s="357"/>
      <c r="V145" s="46"/>
    </row>
    <row r="146" spans="1:22" s="5" customFormat="1" ht="13.8" hidden="1">
      <c r="A146" s="5" t="s">
        <v>371</v>
      </c>
      <c r="B146" s="362" t="str">
        <f>VLOOKUP(A140&amp;A146,Commodities!$AA$7:$AB$86,2,FALSE)</f>
        <v>Apartment - A2 Refrigerating</v>
      </c>
      <c r="C146" s="362" t="str">
        <f>A140&amp;A146</f>
        <v>RSD_APA2_RF</v>
      </c>
      <c r="D146" s="373" t="str">
        <f>IFERROR(#REF!*VLOOKUP(LEFT($A$140,8),$A$10:$R$19,D$108,FALSE)*VLOOKUP(LEFT($A$140,9)&amp;$A146,$A$24:$R$102,D$108,FALSE),"")</f>
        <v/>
      </c>
      <c r="E146" s="373">
        <f t="shared" si="20"/>
        <v>0</v>
      </c>
      <c r="F146" s="373">
        <f t="shared" si="20"/>
        <v>0</v>
      </c>
      <c r="G146" s="373">
        <f t="shared" si="20"/>
        <v>0</v>
      </c>
      <c r="H146" s="373">
        <f t="shared" si="20"/>
        <v>0</v>
      </c>
      <c r="I146" s="373">
        <f t="shared" si="20"/>
        <v>0</v>
      </c>
      <c r="J146" s="373">
        <f t="shared" si="20"/>
        <v>0</v>
      </c>
      <c r="K146" s="373">
        <f t="shared" si="20"/>
        <v>0</v>
      </c>
      <c r="L146" s="373">
        <f t="shared" si="20"/>
        <v>0</v>
      </c>
      <c r="M146" s="373">
        <f t="shared" si="20"/>
        <v>0</v>
      </c>
      <c r="N146" s="373">
        <f t="shared" si="20"/>
        <v>0</v>
      </c>
      <c r="O146" s="373">
        <f t="shared" si="20"/>
        <v>0</v>
      </c>
      <c r="P146" s="373">
        <f t="shared" si="20"/>
        <v>0</v>
      </c>
      <c r="Q146" s="373">
        <f t="shared" si="20"/>
        <v>0</v>
      </c>
      <c r="R146" s="373">
        <f t="shared" si="20"/>
        <v>0</v>
      </c>
      <c r="S146" s="364">
        <f t="shared" si="21"/>
        <v>0</v>
      </c>
      <c r="U146" s="357"/>
      <c r="V146" s="46"/>
    </row>
    <row r="147" spans="1:22" ht="13.8" hidden="1">
      <c r="A147" s="5" t="s">
        <v>372</v>
      </c>
      <c r="B147" s="362" t="str">
        <f>VLOOKUP(A140&amp;A147,Commodities!$AA$7:$AB$86,2,FALSE)</f>
        <v>Apartment - A2 Cloth Washing</v>
      </c>
      <c r="C147" s="362" t="str">
        <f>A140&amp;A147</f>
        <v>RSD_APA2_CW</v>
      </c>
      <c r="D147" s="373" t="str">
        <f>IFERROR(#REF!*VLOOKUP(LEFT($A$140,8),$A$10:$R$19,D$108,FALSE)*VLOOKUP(LEFT($A$140,9)&amp;$A147,$A$24:$R$102,D$108,FALSE),"")</f>
        <v/>
      </c>
      <c r="E147" s="373">
        <f t="shared" si="20"/>
        <v>0</v>
      </c>
      <c r="F147" s="373">
        <f t="shared" si="20"/>
        <v>0</v>
      </c>
      <c r="G147" s="373">
        <f t="shared" si="20"/>
        <v>0</v>
      </c>
      <c r="H147" s="373">
        <f t="shared" si="20"/>
        <v>0</v>
      </c>
      <c r="I147" s="373">
        <f t="shared" si="20"/>
        <v>0</v>
      </c>
      <c r="J147" s="373">
        <f t="shared" si="20"/>
        <v>0</v>
      </c>
      <c r="K147" s="373">
        <f t="shared" si="20"/>
        <v>0</v>
      </c>
      <c r="L147" s="373">
        <f t="shared" si="20"/>
        <v>0</v>
      </c>
      <c r="M147" s="373">
        <f t="shared" si="20"/>
        <v>0</v>
      </c>
      <c r="N147" s="373">
        <f t="shared" si="20"/>
        <v>0</v>
      </c>
      <c r="O147" s="373">
        <f t="shared" si="20"/>
        <v>0</v>
      </c>
      <c r="P147" s="373">
        <f t="shared" si="20"/>
        <v>0</v>
      </c>
      <c r="Q147" s="373">
        <f t="shared" si="20"/>
        <v>0</v>
      </c>
      <c r="R147" s="373">
        <f t="shared" si="20"/>
        <v>0</v>
      </c>
      <c r="S147" s="364">
        <f t="shared" si="21"/>
        <v>0</v>
      </c>
      <c r="U147" s="84"/>
      <c r="V147" s="164"/>
    </row>
    <row r="148" spans="1:22" ht="13.8" hidden="1">
      <c r="A148" s="5" t="s">
        <v>373</v>
      </c>
      <c r="B148" s="362" t="str">
        <f>VLOOKUP(A140&amp;A148,Commodities!$AA$7:$AB$86,2,FALSE)</f>
        <v>Apartment - A2 Dish Washing</v>
      </c>
      <c r="C148" s="362" t="str">
        <f>A140&amp;A148</f>
        <v>RSD_APA2_DW</v>
      </c>
      <c r="D148" s="373" t="str">
        <f>IFERROR(#REF!*VLOOKUP(LEFT($A$140,8),$A$10:$R$19,D$108,FALSE)*VLOOKUP(LEFT($A$140,9)&amp;$A148,$A$24:$R$102,D$108,FALSE),"")</f>
        <v/>
      </c>
      <c r="E148" s="373">
        <f t="shared" si="20"/>
        <v>0</v>
      </c>
      <c r="F148" s="373">
        <f t="shared" si="20"/>
        <v>0</v>
      </c>
      <c r="G148" s="373">
        <f t="shared" si="20"/>
        <v>0</v>
      </c>
      <c r="H148" s="373">
        <f t="shared" si="20"/>
        <v>0</v>
      </c>
      <c r="I148" s="373">
        <f t="shared" si="20"/>
        <v>0</v>
      </c>
      <c r="J148" s="373">
        <f t="shared" si="20"/>
        <v>0</v>
      </c>
      <c r="K148" s="373">
        <f t="shared" si="20"/>
        <v>0</v>
      </c>
      <c r="L148" s="373">
        <f t="shared" si="20"/>
        <v>0</v>
      </c>
      <c r="M148" s="373">
        <f t="shared" si="20"/>
        <v>0</v>
      </c>
      <c r="N148" s="373">
        <f t="shared" si="20"/>
        <v>0</v>
      </c>
      <c r="O148" s="373">
        <f t="shared" si="20"/>
        <v>0</v>
      </c>
      <c r="P148" s="373">
        <f t="shared" si="20"/>
        <v>0</v>
      </c>
      <c r="Q148" s="373">
        <f t="shared" si="20"/>
        <v>0</v>
      </c>
      <c r="R148" s="373">
        <f t="shared" si="20"/>
        <v>0</v>
      </c>
      <c r="S148" s="364">
        <f t="shared" si="21"/>
        <v>0</v>
      </c>
      <c r="U148" s="84"/>
      <c r="V148" s="164"/>
    </row>
    <row r="149" spans="1:22" ht="13.8" hidden="1">
      <c r="A149" s="5" t="s">
        <v>374</v>
      </c>
      <c r="B149" s="362" t="str">
        <f>VLOOKUP(A140&amp;A149,Commodities!$AA$7:$AB$86,2,FALSE)</f>
        <v>Apartment - A2 Other Appliances</v>
      </c>
      <c r="C149" s="362" t="str">
        <f>A140&amp;A149</f>
        <v>RSD_APA2_AP</v>
      </c>
      <c r="D149" s="373" t="str">
        <f>IFERROR(#REF!*VLOOKUP(LEFT($A$140,8),$A$10:$R$19,D$108,FALSE)*VLOOKUP(LEFT($A$140,9)&amp;$A149,$A$24:$R$102,D$108,FALSE),"")</f>
        <v/>
      </c>
      <c r="E149" s="373">
        <f t="shared" si="20"/>
        <v>0</v>
      </c>
      <c r="F149" s="373">
        <f t="shared" si="20"/>
        <v>0</v>
      </c>
      <c r="G149" s="373">
        <f t="shared" si="20"/>
        <v>0</v>
      </c>
      <c r="H149" s="373">
        <f t="shared" si="20"/>
        <v>0</v>
      </c>
      <c r="I149" s="373">
        <f t="shared" si="20"/>
        <v>0</v>
      </c>
      <c r="J149" s="373">
        <f t="shared" si="20"/>
        <v>0</v>
      </c>
      <c r="K149" s="373">
        <f t="shared" si="20"/>
        <v>0</v>
      </c>
      <c r="L149" s="373">
        <f t="shared" si="20"/>
        <v>0</v>
      </c>
      <c r="M149" s="373">
        <f t="shared" si="20"/>
        <v>0</v>
      </c>
      <c r="N149" s="373">
        <f t="shared" si="20"/>
        <v>0</v>
      </c>
      <c r="O149" s="373">
        <f t="shared" si="20"/>
        <v>0</v>
      </c>
      <c r="P149" s="373">
        <f t="shared" si="20"/>
        <v>0</v>
      </c>
      <c r="Q149" s="373">
        <f t="shared" si="20"/>
        <v>0</v>
      </c>
      <c r="R149" s="373">
        <f t="shared" si="20"/>
        <v>0</v>
      </c>
      <c r="S149" s="364">
        <f t="shared" si="21"/>
        <v>0</v>
      </c>
      <c r="U149" s="84"/>
      <c r="V149" s="164"/>
    </row>
    <row r="150" spans="1:22" s="5" customFormat="1" ht="14.4" hidden="1" thickBot="1">
      <c r="A150" s="124" t="str">
        <f>Commodities!$AA$11&amp;"_"</f>
        <v>RSD_DTA3_</v>
      </c>
      <c r="B150" s="92" t="str">
        <f>Commodities!$AB$11</f>
        <v>Detached - Area3</v>
      </c>
      <c r="C150" s="92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2"/>
      <c r="U150" s="357"/>
      <c r="V150" s="46"/>
    </row>
    <row r="151" spans="1:22" ht="13.8" hidden="1">
      <c r="A151" s="5" t="s">
        <v>367</v>
      </c>
      <c r="B151" s="362" t="str">
        <f>VLOOKUP(A150&amp;A151,Commodities!$AA$7:$AB$86,2,FALSE)</f>
        <v>Detached - A3 Space Heating</v>
      </c>
      <c r="C151" s="362" t="str">
        <f>A150&amp;A151</f>
        <v>RSD_DTA3_SH</v>
      </c>
      <c r="D151" s="373" t="str">
        <f>IFERROR(#REF!*VLOOKUP(LEFT($A$150,8),$A$10:$R$19,D$108,FALSE)*VLOOKUP(LEFT($A$150,9)&amp;$A151,$A$24:$R$102,D$108,FALSE),"")</f>
        <v/>
      </c>
      <c r="E151" s="373">
        <f t="shared" ref="E151:R159" si="22">IFERROR(E$5*VLOOKUP(LEFT($A$150,8),$A$10:$R$19,E$108,FALSE)*VLOOKUP(LEFT($A$150,9)&amp;$A151,$A$24:$R$102,E$108,FALSE),"")</f>
        <v>0</v>
      </c>
      <c r="F151" s="373">
        <f t="shared" si="22"/>
        <v>0</v>
      </c>
      <c r="G151" s="373">
        <f t="shared" si="22"/>
        <v>0</v>
      </c>
      <c r="H151" s="373">
        <f t="shared" si="22"/>
        <v>0</v>
      </c>
      <c r="I151" s="373">
        <f t="shared" si="22"/>
        <v>0</v>
      </c>
      <c r="J151" s="373">
        <f t="shared" si="22"/>
        <v>0</v>
      </c>
      <c r="K151" s="373">
        <f t="shared" si="22"/>
        <v>0</v>
      </c>
      <c r="L151" s="373">
        <f t="shared" si="22"/>
        <v>0</v>
      </c>
      <c r="M151" s="373">
        <f t="shared" si="22"/>
        <v>0</v>
      </c>
      <c r="N151" s="373">
        <f t="shared" si="22"/>
        <v>0</v>
      </c>
      <c r="O151" s="373">
        <f t="shared" si="22"/>
        <v>0</v>
      </c>
      <c r="P151" s="373">
        <f t="shared" si="22"/>
        <v>0</v>
      </c>
      <c r="Q151" s="373">
        <f t="shared" si="22"/>
        <v>0</v>
      </c>
      <c r="R151" s="373">
        <f t="shared" si="22"/>
        <v>0</v>
      </c>
      <c r="S151" s="364">
        <f t="shared" ref="S151:S159" si="23">SUM(D151:R151)</f>
        <v>0</v>
      </c>
      <c r="U151" s="357" t="e">
        <f>S151/RSD_Stock!E11</f>
        <v>#DIV/0!</v>
      </c>
      <c r="V151" s="46" t="e">
        <f>U151*1000</f>
        <v>#DIV/0!</v>
      </c>
    </row>
    <row r="152" spans="1:22" ht="13.8" hidden="1">
      <c r="A152" s="5" t="s">
        <v>368</v>
      </c>
      <c r="B152" s="362" t="str">
        <f>VLOOKUP(A150&amp;A152,Commodities!$AA$7:$AB$86,2,FALSE)</f>
        <v>Detached - A3 Space Cooling</v>
      </c>
      <c r="C152" s="362" t="str">
        <f>A150&amp;A152</f>
        <v>RSD_DTA3_SC</v>
      </c>
      <c r="D152" s="373" t="str">
        <f>IFERROR(#REF!*VLOOKUP(LEFT($A$150,8),$A$10:$R$19,D$108,FALSE)*VLOOKUP(LEFT($A$150,9)&amp;$A152,$A$24:$R$102,D$108,FALSE),"")</f>
        <v/>
      </c>
      <c r="E152" s="373">
        <f t="shared" si="22"/>
        <v>0</v>
      </c>
      <c r="F152" s="373">
        <f t="shared" si="22"/>
        <v>0</v>
      </c>
      <c r="G152" s="373">
        <f t="shared" si="22"/>
        <v>0</v>
      </c>
      <c r="H152" s="373">
        <f t="shared" si="22"/>
        <v>0</v>
      </c>
      <c r="I152" s="373">
        <f t="shared" si="22"/>
        <v>0</v>
      </c>
      <c r="J152" s="373">
        <f t="shared" si="22"/>
        <v>0</v>
      </c>
      <c r="K152" s="373">
        <f t="shared" si="22"/>
        <v>0</v>
      </c>
      <c r="L152" s="373">
        <f t="shared" si="22"/>
        <v>0</v>
      </c>
      <c r="M152" s="373">
        <f t="shared" si="22"/>
        <v>0</v>
      </c>
      <c r="N152" s="373">
        <f t="shared" si="22"/>
        <v>0</v>
      </c>
      <c r="O152" s="373">
        <f t="shared" si="22"/>
        <v>0</v>
      </c>
      <c r="P152" s="373">
        <f t="shared" si="22"/>
        <v>0</v>
      </c>
      <c r="Q152" s="373">
        <f t="shared" si="22"/>
        <v>0</v>
      </c>
      <c r="R152" s="373">
        <f t="shared" si="22"/>
        <v>0</v>
      </c>
      <c r="S152" s="364">
        <f t="shared" si="23"/>
        <v>0</v>
      </c>
      <c r="U152" s="84"/>
      <c r="V152" s="164"/>
    </row>
    <row r="153" spans="1:22" ht="13.8" hidden="1">
      <c r="A153" s="5" t="s">
        <v>369</v>
      </c>
      <c r="B153" s="362" t="str">
        <f>VLOOKUP(A150&amp;A153,Commodities!$AA$7:$AB$86,2,FALSE)</f>
        <v>Detached - A3 Water Heating</v>
      </c>
      <c r="C153" s="362" t="str">
        <f>A150&amp;A153</f>
        <v>RSD_DTA3_WH</v>
      </c>
      <c r="D153" s="373" t="str">
        <f>IFERROR(#REF!*VLOOKUP(LEFT($A$150,8),$A$10:$R$19,D$108,FALSE)*VLOOKUP(LEFT($A$150,9)&amp;$A153,$A$24:$R$102,D$108,FALSE),"")</f>
        <v/>
      </c>
      <c r="E153" s="373">
        <f t="shared" si="22"/>
        <v>0</v>
      </c>
      <c r="F153" s="373">
        <f t="shared" si="22"/>
        <v>0</v>
      </c>
      <c r="G153" s="373">
        <f t="shared" si="22"/>
        <v>0</v>
      </c>
      <c r="H153" s="373">
        <f t="shared" si="22"/>
        <v>0</v>
      </c>
      <c r="I153" s="373">
        <f t="shared" si="22"/>
        <v>0</v>
      </c>
      <c r="J153" s="373">
        <f t="shared" si="22"/>
        <v>0</v>
      </c>
      <c r="K153" s="373">
        <f t="shared" si="22"/>
        <v>0</v>
      </c>
      <c r="L153" s="373">
        <f t="shared" si="22"/>
        <v>0</v>
      </c>
      <c r="M153" s="373">
        <f t="shared" si="22"/>
        <v>0</v>
      </c>
      <c r="N153" s="373">
        <f t="shared" si="22"/>
        <v>0</v>
      </c>
      <c r="O153" s="373">
        <f t="shared" si="22"/>
        <v>0</v>
      </c>
      <c r="P153" s="373">
        <f t="shared" si="22"/>
        <v>0</v>
      </c>
      <c r="Q153" s="373">
        <f t="shared" si="22"/>
        <v>0</v>
      </c>
      <c r="R153" s="373">
        <f t="shared" si="22"/>
        <v>0</v>
      </c>
      <c r="S153" s="364">
        <f t="shared" si="23"/>
        <v>0</v>
      </c>
      <c r="U153" s="357" t="e">
        <f>S153/RSD_Stock!E11</f>
        <v>#DIV/0!</v>
      </c>
      <c r="V153" s="164"/>
    </row>
    <row r="154" spans="1:22" ht="13.8" hidden="1">
      <c r="A154" s="5" t="s">
        <v>370</v>
      </c>
      <c r="B154" s="362" t="str">
        <f>VLOOKUP(A150&amp;A154,Commodities!$AA$7:$AB$86,2,FALSE)</f>
        <v>Detached - A3 Cooking</v>
      </c>
      <c r="C154" s="362" t="str">
        <f>A150&amp;A154</f>
        <v>RSD_DTA3_CK</v>
      </c>
      <c r="D154" s="373" t="str">
        <f>IFERROR(#REF!*VLOOKUP(LEFT($A$150,8),$A$10:$R$19,D$108,FALSE)*VLOOKUP(LEFT($A$150,9)&amp;$A154,$A$24:$R$102,D$108,FALSE),"")</f>
        <v/>
      </c>
      <c r="E154" s="373">
        <f t="shared" si="22"/>
        <v>0</v>
      </c>
      <c r="F154" s="373">
        <f t="shared" si="22"/>
        <v>0</v>
      </c>
      <c r="G154" s="373">
        <f t="shared" si="22"/>
        <v>0</v>
      </c>
      <c r="H154" s="373">
        <f t="shared" si="22"/>
        <v>0</v>
      </c>
      <c r="I154" s="373">
        <f t="shared" si="22"/>
        <v>0</v>
      </c>
      <c r="J154" s="373">
        <f t="shared" si="22"/>
        <v>0</v>
      </c>
      <c r="K154" s="373">
        <f t="shared" si="22"/>
        <v>0</v>
      </c>
      <c r="L154" s="373">
        <f t="shared" si="22"/>
        <v>0</v>
      </c>
      <c r="M154" s="373">
        <f t="shared" si="22"/>
        <v>0</v>
      </c>
      <c r="N154" s="373">
        <f t="shared" si="22"/>
        <v>0</v>
      </c>
      <c r="O154" s="373">
        <f t="shared" si="22"/>
        <v>0</v>
      </c>
      <c r="P154" s="373">
        <f t="shared" si="22"/>
        <v>0</v>
      </c>
      <c r="Q154" s="373">
        <f t="shared" si="22"/>
        <v>0</v>
      </c>
      <c r="R154" s="373">
        <f t="shared" si="22"/>
        <v>0</v>
      </c>
      <c r="S154" s="364">
        <f t="shared" si="23"/>
        <v>0</v>
      </c>
      <c r="U154" s="357" t="e">
        <f>S154/RSD_Stock!E11</f>
        <v>#DIV/0!</v>
      </c>
      <c r="V154" s="164"/>
    </row>
    <row r="155" spans="1:22" ht="13.8" hidden="1">
      <c r="A155" s="5" t="s">
        <v>375</v>
      </c>
      <c r="B155" s="362" t="str">
        <f>VLOOKUP(A150&amp;A154,Commodities!$AA$7:$AB$86,2,FALSE)</f>
        <v>Detached - A3 Cooking</v>
      </c>
      <c r="C155" s="362" t="str">
        <f>A150&amp;A155</f>
        <v>RSD_DTA3_LI</v>
      </c>
      <c r="D155" s="373" t="str">
        <f>IFERROR(#REF!*VLOOKUP(LEFT($A$150,8),$A$10:$R$19,D$108,FALSE)*VLOOKUP(LEFT($A$150,9)&amp;$A155,$A$24:$R$102,D$108,FALSE),"")</f>
        <v/>
      </c>
      <c r="E155" s="373">
        <f t="shared" si="22"/>
        <v>0</v>
      </c>
      <c r="F155" s="373">
        <f t="shared" si="22"/>
        <v>0</v>
      </c>
      <c r="G155" s="373">
        <f t="shared" si="22"/>
        <v>0</v>
      </c>
      <c r="H155" s="373">
        <f t="shared" si="22"/>
        <v>0</v>
      </c>
      <c r="I155" s="373">
        <f t="shared" si="22"/>
        <v>0</v>
      </c>
      <c r="J155" s="373">
        <f t="shared" si="22"/>
        <v>0</v>
      </c>
      <c r="K155" s="373">
        <f t="shared" si="22"/>
        <v>0</v>
      </c>
      <c r="L155" s="373">
        <f t="shared" si="22"/>
        <v>0</v>
      </c>
      <c r="M155" s="373">
        <f t="shared" si="22"/>
        <v>0</v>
      </c>
      <c r="N155" s="373">
        <f t="shared" si="22"/>
        <v>0</v>
      </c>
      <c r="O155" s="373">
        <f t="shared" si="22"/>
        <v>0</v>
      </c>
      <c r="P155" s="373">
        <f t="shared" si="22"/>
        <v>0</v>
      </c>
      <c r="Q155" s="373">
        <f t="shared" si="22"/>
        <v>0</v>
      </c>
      <c r="R155" s="373">
        <f t="shared" si="22"/>
        <v>0</v>
      </c>
      <c r="S155" s="364">
        <f t="shared" si="23"/>
        <v>0</v>
      </c>
      <c r="U155" s="84"/>
      <c r="V155" s="164"/>
    </row>
    <row r="156" spans="1:22" ht="13.8" hidden="1">
      <c r="A156" s="5" t="s">
        <v>371</v>
      </c>
      <c r="B156" s="362" t="str">
        <f>VLOOKUP(A150&amp;A156,Commodities!$AA$7:$AB$86,2,FALSE)</f>
        <v>Detached - A3 Refrigerating</v>
      </c>
      <c r="C156" s="362" t="str">
        <f>A150&amp;A156</f>
        <v>RSD_DTA3_RF</v>
      </c>
      <c r="D156" s="373" t="str">
        <f>IFERROR(#REF!*VLOOKUP(LEFT($A$150,8),$A$10:$R$19,D$108,FALSE)*VLOOKUP(LEFT($A$150,9)&amp;$A156,$A$24:$R$102,D$108,FALSE),"")</f>
        <v/>
      </c>
      <c r="E156" s="373">
        <f t="shared" si="22"/>
        <v>0</v>
      </c>
      <c r="F156" s="373">
        <f t="shared" si="22"/>
        <v>0</v>
      </c>
      <c r="G156" s="373">
        <f t="shared" si="22"/>
        <v>0</v>
      </c>
      <c r="H156" s="373">
        <f t="shared" si="22"/>
        <v>0</v>
      </c>
      <c r="I156" s="373">
        <f t="shared" si="22"/>
        <v>0</v>
      </c>
      <c r="J156" s="373">
        <f t="shared" si="22"/>
        <v>0</v>
      </c>
      <c r="K156" s="373">
        <f t="shared" si="22"/>
        <v>0</v>
      </c>
      <c r="L156" s="373">
        <f t="shared" si="22"/>
        <v>0</v>
      </c>
      <c r="M156" s="373">
        <f t="shared" si="22"/>
        <v>0</v>
      </c>
      <c r="N156" s="373">
        <f t="shared" si="22"/>
        <v>0</v>
      </c>
      <c r="O156" s="373">
        <f t="shared" si="22"/>
        <v>0</v>
      </c>
      <c r="P156" s="373">
        <f t="shared" si="22"/>
        <v>0</v>
      </c>
      <c r="Q156" s="373">
        <f t="shared" si="22"/>
        <v>0</v>
      </c>
      <c r="R156" s="373">
        <f t="shared" si="22"/>
        <v>0</v>
      </c>
      <c r="S156" s="364">
        <f t="shared" si="23"/>
        <v>0</v>
      </c>
      <c r="U156" s="84"/>
      <c r="V156" s="164"/>
    </row>
    <row r="157" spans="1:22" ht="13.8" hidden="1">
      <c r="A157" s="5" t="s">
        <v>372</v>
      </c>
      <c r="B157" s="362" t="str">
        <f>VLOOKUP(A150&amp;A157,Commodities!$AA$7:$AB$86,2,FALSE)</f>
        <v>Detached - A3 Cloth Washing</v>
      </c>
      <c r="C157" s="362" t="str">
        <f>A150&amp;A157</f>
        <v>RSD_DTA3_CW</v>
      </c>
      <c r="D157" s="373" t="str">
        <f>IFERROR(#REF!*VLOOKUP(LEFT($A$150,8),$A$10:$R$19,D$108,FALSE)*VLOOKUP(LEFT($A$150,9)&amp;$A157,$A$24:$R$102,D$108,FALSE),"")</f>
        <v/>
      </c>
      <c r="E157" s="373">
        <f t="shared" si="22"/>
        <v>0</v>
      </c>
      <c r="F157" s="373">
        <f t="shared" si="22"/>
        <v>0</v>
      </c>
      <c r="G157" s="373">
        <f t="shared" si="22"/>
        <v>0</v>
      </c>
      <c r="H157" s="373">
        <f t="shared" si="22"/>
        <v>0</v>
      </c>
      <c r="I157" s="373">
        <f t="shared" si="22"/>
        <v>0</v>
      </c>
      <c r="J157" s="373">
        <f t="shared" si="22"/>
        <v>0</v>
      </c>
      <c r="K157" s="373">
        <f t="shared" si="22"/>
        <v>0</v>
      </c>
      <c r="L157" s="373">
        <f t="shared" si="22"/>
        <v>0</v>
      </c>
      <c r="M157" s="373">
        <f t="shared" si="22"/>
        <v>0</v>
      </c>
      <c r="N157" s="373">
        <f t="shared" si="22"/>
        <v>0</v>
      </c>
      <c r="O157" s="373">
        <f t="shared" si="22"/>
        <v>0</v>
      </c>
      <c r="P157" s="373">
        <f t="shared" si="22"/>
        <v>0</v>
      </c>
      <c r="Q157" s="373">
        <f t="shared" si="22"/>
        <v>0</v>
      </c>
      <c r="R157" s="373">
        <f t="shared" si="22"/>
        <v>0</v>
      </c>
      <c r="S157" s="364">
        <f t="shared" si="23"/>
        <v>0</v>
      </c>
      <c r="U157" s="84"/>
      <c r="V157" s="164"/>
    </row>
    <row r="158" spans="1:22" ht="13.8" hidden="1">
      <c r="A158" s="5" t="s">
        <v>373</v>
      </c>
      <c r="B158" s="362" t="str">
        <f>VLOOKUP(A150&amp;A158,Commodities!$AA$7:$AB$86,2,FALSE)</f>
        <v>Detached - A3 Dish Washing</v>
      </c>
      <c r="C158" s="362" t="str">
        <f>A150&amp;A158</f>
        <v>RSD_DTA3_DW</v>
      </c>
      <c r="D158" s="373" t="str">
        <f>IFERROR(#REF!*VLOOKUP(LEFT($A$150,8),$A$10:$R$19,D$108,FALSE)*VLOOKUP(LEFT($A$150,9)&amp;$A158,$A$24:$R$102,D$108,FALSE),"")</f>
        <v/>
      </c>
      <c r="E158" s="373">
        <f t="shared" si="22"/>
        <v>0</v>
      </c>
      <c r="F158" s="373">
        <f t="shared" si="22"/>
        <v>0</v>
      </c>
      <c r="G158" s="373">
        <f t="shared" si="22"/>
        <v>0</v>
      </c>
      <c r="H158" s="373">
        <f t="shared" si="22"/>
        <v>0</v>
      </c>
      <c r="I158" s="373">
        <f t="shared" si="22"/>
        <v>0</v>
      </c>
      <c r="J158" s="373">
        <f t="shared" si="22"/>
        <v>0</v>
      </c>
      <c r="K158" s="373">
        <f t="shared" si="22"/>
        <v>0</v>
      </c>
      <c r="L158" s="373">
        <f t="shared" si="22"/>
        <v>0</v>
      </c>
      <c r="M158" s="373">
        <f t="shared" si="22"/>
        <v>0</v>
      </c>
      <c r="N158" s="373">
        <f t="shared" si="22"/>
        <v>0</v>
      </c>
      <c r="O158" s="373">
        <f t="shared" si="22"/>
        <v>0</v>
      </c>
      <c r="P158" s="373">
        <f t="shared" si="22"/>
        <v>0</v>
      </c>
      <c r="Q158" s="373">
        <f t="shared" si="22"/>
        <v>0</v>
      </c>
      <c r="R158" s="373">
        <f t="shared" si="22"/>
        <v>0</v>
      </c>
      <c r="S158" s="364">
        <f t="shared" si="23"/>
        <v>0</v>
      </c>
      <c r="U158" s="84"/>
      <c r="V158" s="164"/>
    </row>
    <row r="159" spans="1:22" ht="13.8" hidden="1">
      <c r="A159" s="5" t="s">
        <v>374</v>
      </c>
      <c r="B159" s="362" t="str">
        <f>VLOOKUP(A150&amp;A159,Commodities!$AA$7:$AB$86,2,FALSE)</f>
        <v>Detached - A3 Other Appliances</v>
      </c>
      <c r="C159" s="362" t="str">
        <f>A150&amp;A159</f>
        <v>RSD_DTA3_AP</v>
      </c>
      <c r="D159" s="373" t="str">
        <f>IFERROR(#REF!*VLOOKUP(LEFT($A$150,8),$A$10:$R$19,D$108,FALSE)*VLOOKUP(LEFT($A$150,9)&amp;$A159,$A$24:$R$102,D$108,FALSE),"")</f>
        <v/>
      </c>
      <c r="E159" s="373">
        <f t="shared" si="22"/>
        <v>0</v>
      </c>
      <c r="F159" s="373">
        <f t="shared" si="22"/>
        <v>0</v>
      </c>
      <c r="G159" s="373">
        <f t="shared" si="22"/>
        <v>0</v>
      </c>
      <c r="H159" s="373">
        <f t="shared" si="22"/>
        <v>0</v>
      </c>
      <c r="I159" s="373">
        <f t="shared" si="22"/>
        <v>0</v>
      </c>
      <c r="J159" s="373">
        <f t="shared" si="22"/>
        <v>0</v>
      </c>
      <c r="K159" s="373">
        <f t="shared" si="22"/>
        <v>0</v>
      </c>
      <c r="L159" s="373">
        <f t="shared" si="22"/>
        <v>0</v>
      </c>
      <c r="M159" s="373">
        <f t="shared" si="22"/>
        <v>0</v>
      </c>
      <c r="N159" s="373">
        <f t="shared" si="22"/>
        <v>0</v>
      </c>
      <c r="O159" s="373">
        <f t="shared" si="22"/>
        <v>0</v>
      </c>
      <c r="P159" s="373">
        <f t="shared" si="22"/>
        <v>0</v>
      </c>
      <c r="Q159" s="373">
        <f t="shared" si="22"/>
        <v>0</v>
      </c>
      <c r="R159" s="373">
        <f t="shared" si="22"/>
        <v>0</v>
      </c>
      <c r="S159" s="364">
        <f t="shared" si="23"/>
        <v>0</v>
      </c>
      <c r="U159" s="84"/>
      <c r="V159" s="164"/>
    </row>
    <row r="160" spans="1:22" s="5" customFormat="1" ht="14.4" hidden="1" thickBot="1">
      <c r="A160" s="124" t="str">
        <f>Commodities!$AA$12&amp;"_"</f>
        <v>RSD_APA3_</v>
      </c>
      <c r="B160" s="92" t="str">
        <f>Commodities!$AB$12</f>
        <v>Apartment - Area3</v>
      </c>
      <c r="C160" s="92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2"/>
      <c r="U160" s="357"/>
      <c r="V160" s="46"/>
    </row>
    <row r="161" spans="1:22" ht="13.8" hidden="1">
      <c r="A161" s="5" t="s">
        <v>367</v>
      </c>
      <c r="B161" s="362" t="str">
        <f>VLOOKUP(A160&amp;A161,Commodities!$AA$7:$AB$86,2,FALSE)</f>
        <v>Apartment-A3 Space Heating</v>
      </c>
      <c r="C161" s="362" t="str">
        <f>A160&amp;A161</f>
        <v>RSD_APA3_SH</v>
      </c>
      <c r="D161" s="373" t="str">
        <f>IFERROR(#REF!*VLOOKUP(LEFT($A$160,8),$A$10:$R$19,D$108,FALSE)*VLOOKUP(LEFT($A$160,9)&amp;$A161,$A$24:$R$102,D$108,FALSE),"")</f>
        <v/>
      </c>
      <c r="E161" s="373">
        <f t="shared" ref="E161:R169" si="24">IFERROR(E$5*VLOOKUP(LEFT($A$160,8),$A$10:$R$19,E$108,FALSE)*VLOOKUP(LEFT($A$160,9)&amp;$A161,$A$24:$R$102,E$108,FALSE),"")</f>
        <v>0</v>
      </c>
      <c r="F161" s="373">
        <f t="shared" si="24"/>
        <v>0</v>
      </c>
      <c r="G161" s="373">
        <f t="shared" si="24"/>
        <v>0</v>
      </c>
      <c r="H161" s="373">
        <f t="shared" si="24"/>
        <v>0</v>
      </c>
      <c r="I161" s="373">
        <f t="shared" si="24"/>
        <v>0</v>
      </c>
      <c r="J161" s="373">
        <f t="shared" si="24"/>
        <v>0</v>
      </c>
      <c r="K161" s="373">
        <f t="shared" si="24"/>
        <v>0</v>
      </c>
      <c r="L161" s="373">
        <f t="shared" si="24"/>
        <v>0</v>
      </c>
      <c r="M161" s="373">
        <f t="shared" si="24"/>
        <v>0</v>
      </c>
      <c r="N161" s="373">
        <f t="shared" si="24"/>
        <v>0</v>
      </c>
      <c r="O161" s="373">
        <f t="shared" si="24"/>
        <v>0</v>
      </c>
      <c r="P161" s="373">
        <f t="shared" si="24"/>
        <v>0</v>
      </c>
      <c r="Q161" s="373">
        <f t="shared" si="24"/>
        <v>0</v>
      </c>
      <c r="R161" s="373">
        <f t="shared" si="24"/>
        <v>0</v>
      </c>
      <c r="S161" s="364">
        <f t="shared" ref="S161:S169" si="25">SUM(D161:R161)</f>
        <v>0</v>
      </c>
      <c r="U161" s="357" t="e">
        <f>S161/RSD_Stock!E12</f>
        <v>#DIV/0!</v>
      </c>
      <c r="V161" s="46" t="e">
        <f>U161*1000</f>
        <v>#DIV/0!</v>
      </c>
    </row>
    <row r="162" spans="1:22" ht="13.8" hidden="1">
      <c r="A162" s="5" t="s">
        <v>368</v>
      </c>
      <c r="B162" s="362" t="str">
        <f>VLOOKUP(A160&amp;A162,Commodities!$AA$7:$AB$86,2,FALSE)</f>
        <v>Detached - A4 Space Cooling</v>
      </c>
      <c r="C162" s="362" t="str">
        <f>A160&amp;A162</f>
        <v>RSD_APA3_SC</v>
      </c>
      <c r="D162" s="373" t="str">
        <f>IFERROR(#REF!*VLOOKUP(LEFT($A$160,8),$A$10:$R$19,D$108,FALSE)*VLOOKUP(LEFT($A$160,9)&amp;$A162,$A$24:$R$102,D$108,FALSE),"")</f>
        <v/>
      </c>
      <c r="E162" s="373">
        <f t="shared" si="24"/>
        <v>0</v>
      </c>
      <c r="F162" s="373">
        <f t="shared" si="24"/>
        <v>0</v>
      </c>
      <c r="G162" s="373">
        <f t="shared" si="24"/>
        <v>0</v>
      </c>
      <c r="H162" s="373">
        <f t="shared" si="24"/>
        <v>0</v>
      </c>
      <c r="I162" s="373">
        <f t="shared" si="24"/>
        <v>0</v>
      </c>
      <c r="J162" s="373">
        <f t="shared" si="24"/>
        <v>0</v>
      </c>
      <c r="K162" s="373">
        <f t="shared" si="24"/>
        <v>0</v>
      </c>
      <c r="L162" s="373">
        <f t="shared" si="24"/>
        <v>0</v>
      </c>
      <c r="M162" s="373">
        <f t="shared" si="24"/>
        <v>0</v>
      </c>
      <c r="N162" s="373">
        <f t="shared" si="24"/>
        <v>0</v>
      </c>
      <c r="O162" s="373">
        <f t="shared" si="24"/>
        <v>0</v>
      </c>
      <c r="P162" s="373">
        <f t="shared" si="24"/>
        <v>0</v>
      </c>
      <c r="Q162" s="373">
        <f t="shared" si="24"/>
        <v>0</v>
      </c>
      <c r="R162" s="373">
        <f t="shared" si="24"/>
        <v>0</v>
      </c>
      <c r="S162" s="364">
        <f t="shared" si="25"/>
        <v>0</v>
      </c>
      <c r="U162" s="84"/>
      <c r="V162" s="164"/>
    </row>
    <row r="163" spans="1:22" ht="13.8" hidden="1">
      <c r="A163" s="5" t="s">
        <v>369</v>
      </c>
      <c r="B163" s="362" t="str">
        <f>VLOOKUP(A160&amp;A163,Commodities!$AA$7:$AB$86,2,FALSE)</f>
        <v>Apartment-A3 Water Heating</v>
      </c>
      <c r="C163" s="362" t="str">
        <f>A160&amp;A163</f>
        <v>RSD_APA3_WH</v>
      </c>
      <c r="D163" s="373" t="str">
        <f>IFERROR(#REF!*VLOOKUP(LEFT($A$160,8),$A$10:$R$19,D$108,FALSE)*VLOOKUP(LEFT($A$160,9)&amp;$A163,$A$24:$R$102,D$108,FALSE),"")</f>
        <v/>
      </c>
      <c r="E163" s="373">
        <f t="shared" si="24"/>
        <v>0</v>
      </c>
      <c r="F163" s="373">
        <f t="shared" si="24"/>
        <v>0</v>
      </c>
      <c r="G163" s="373">
        <f t="shared" si="24"/>
        <v>0</v>
      </c>
      <c r="H163" s="373">
        <f t="shared" si="24"/>
        <v>0</v>
      </c>
      <c r="I163" s="373">
        <f t="shared" si="24"/>
        <v>0</v>
      </c>
      <c r="J163" s="373">
        <f t="shared" si="24"/>
        <v>0</v>
      </c>
      <c r="K163" s="373">
        <f t="shared" si="24"/>
        <v>0</v>
      </c>
      <c r="L163" s="373">
        <f t="shared" si="24"/>
        <v>0</v>
      </c>
      <c r="M163" s="373">
        <f t="shared" si="24"/>
        <v>0</v>
      </c>
      <c r="N163" s="373">
        <f t="shared" si="24"/>
        <v>0</v>
      </c>
      <c r="O163" s="373">
        <f t="shared" si="24"/>
        <v>0</v>
      </c>
      <c r="P163" s="373">
        <f t="shared" si="24"/>
        <v>0</v>
      </c>
      <c r="Q163" s="373">
        <f t="shared" si="24"/>
        <v>0</v>
      </c>
      <c r="R163" s="373">
        <f t="shared" si="24"/>
        <v>0</v>
      </c>
      <c r="S163" s="364">
        <f t="shared" si="25"/>
        <v>0</v>
      </c>
      <c r="U163" s="357" t="e">
        <f>S163/RSD_Stock!E12</f>
        <v>#DIV/0!</v>
      </c>
      <c r="V163" s="164"/>
    </row>
    <row r="164" spans="1:22" ht="13.8" hidden="1">
      <c r="A164" s="5" t="s">
        <v>370</v>
      </c>
      <c r="B164" s="362" t="str">
        <f>VLOOKUP(A160&amp;A164,Commodities!$AA$7:$AB$86,2,FALSE)</f>
        <v>Apartment-A3 Cooking</v>
      </c>
      <c r="C164" s="362" t="str">
        <f>A160&amp;A164</f>
        <v>RSD_APA3_CK</v>
      </c>
      <c r="D164" s="373" t="str">
        <f>IFERROR(#REF!*VLOOKUP(LEFT($A$160,8),$A$10:$R$19,D$108,FALSE)*VLOOKUP(LEFT($A$160,9)&amp;$A164,$A$24:$R$102,D$108,FALSE),"")</f>
        <v/>
      </c>
      <c r="E164" s="373">
        <f t="shared" si="24"/>
        <v>0</v>
      </c>
      <c r="F164" s="373">
        <f t="shared" si="24"/>
        <v>0</v>
      </c>
      <c r="G164" s="373">
        <f t="shared" si="24"/>
        <v>0</v>
      </c>
      <c r="H164" s="373">
        <f t="shared" si="24"/>
        <v>0</v>
      </c>
      <c r="I164" s="373">
        <f t="shared" si="24"/>
        <v>0</v>
      </c>
      <c r="J164" s="373">
        <f t="shared" si="24"/>
        <v>0</v>
      </c>
      <c r="K164" s="373">
        <f t="shared" si="24"/>
        <v>0</v>
      </c>
      <c r="L164" s="373">
        <f t="shared" si="24"/>
        <v>0</v>
      </c>
      <c r="M164" s="373">
        <f t="shared" si="24"/>
        <v>0</v>
      </c>
      <c r="N164" s="373">
        <f t="shared" si="24"/>
        <v>0</v>
      </c>
      <c r="O164" s="373">
        <f t="shared" si="24"/>
        <v>0</v>
      </c>
      <c r="P164" s="373">
        <f t="shared" si="24"/>
        <v>0</v>
      </c>
      <c r="Q164" s="373">
        <f t="shared" si="24"/>
        <v>0</v>
      </c>
      <c r="R164" s="373">
        <f t="shared" si="24"/>
        <v>0</v>
      </c>
      <c r="S164" s="364">
        <f t="shared" si="25"/>
        <v>0</v>
      </c>
      <c r="U164" s="357" t="e">
        <f>S164/RSD_Stock!E12</f>
        <v>#DIV/0!</v>
      </c>
      <c r="V164" s="164"/>
    </row>
    <row r="165" spans="1:22" ht="13.8" hidden="1">
      <c r="A165" s="5" t="s">
        <v>375</v>
      </c>
      <c r="B165" s="362" t="str">
        <f>VLOOKUP(A160&amp;A165,Commodities!$AA$7:$AB$86,2,FALSE)</f>
        <v>Detached - A3 Lighting</v>
      </c>
      <c r="C165" s="362" t="str">
        <f>A160&amp;A165</f>
        <v>RSD_APA3_LI</v>
      </c>
      <c r="D165" s="373" t="str">
        <f>IFERROR(#REF!*VLOOKUP(LEFT($A$160,8),$A$10:$R$19,D$108,FALSE)*VLOOKUP(LEFT($A$160,9)&amp;$A165,$A$24:$R$102,D$108,FALSE),"")</f>
        <v/>
      </c>
      <c r="E165" s="373">
        <f t="shared" si="24"/>
        <v>0</v>
      </c>
      <c r="F165" s="373">
        <f t="shared" si="24"/>
        <v>0</v>
      </c>
      <c r="G165" s="373">
        <f t="shared" si="24"/>
        <v>0</v>
      </c>
      <c r="H165" s="373">
        <f t="shared" si="24"/>
        <v>0</v>
      </c>
      <c r="I165" s="373">
        <f t="shared" si="24"/>
        <v>0</v>
      </c>
      <c r="J165" s="373">
        <f t="shared" si="24"/>
        <v>0</v>
      </c>
      <c r="K165" s="373">
        <f t="shared" si="24"/>
        <v>0</v>
      </c>
      <c r="L165" s="373">
        <f t="shared" si="24"/>
        <v>0</v>
      </c>
      <c r="M165" s="373">
        <f t="shared" si="24"/>
        <v>0</v>
      </c>
      <c r="N165" s="373">
        <f t="shared" si="24"/>
        <v>0</v>
      </c>
      <c r="O165" s="373">
        <f t="shared" si="24"/>
        <v>0</v>
      </c>
      <c r="P165" s="373">
        <f t="shared" si="24"/>
        <v>0</v>
      </c>
      <c r="Q165" s="373">
        <f t="shared" si="24"/>
        <v>0</v>
      </c>
      <c r="R165" s="373">
        <f t="shared" si="24"/>
        <v>0</v>
      </c>
      <c r="S165" s="364">
        <f t="shared" si="25"/>
        <v>0</v>
      </c>
      <c r="U165" s="84"/>
      <c r="V165" s="164"/>
    </row>
    <row r="166" spans="1:22" ht="13.8" hidden="1">
      <c r="A166" s="5" t="s">
        <v>371</v>
      </c>
      <c r="B166" s="362" t="str">
        <f>VLOOKUP(A160&amp;A166,Commodities!$AA$7:$AB$86,2,FALSE)</f>
        <v>Apartment-A3 Refrigerating</v>
      </c>
      <c r="C166" s="362" t="str">
        <f>A160&amp;A166</f>
        <v>RSD_APA3_RF</v>
      </c>
      <c r="D166" s="373" t="str">
        <f>IFERROR(#REF!*VLOOKUP(LEFT($A$160,8),$A$10:$R$19,D$108,FALSE)*VLOOKUP(LEFT($A$160,9)&amp;$A166,$A$24:$R$102,D$108,FALSE),"")</f>
        <v/>
      </c>
      <c r="E166" s="373">
        <f t="shared" si="24"/>
        <v>0</v>
      </c>
      <c r="F166" s="373">
        <f t="shared" si="24"/>
        <v>0</v>
      </c>
      <c r="G166" s="373">
        <f t="shared" si="24"/>
        <v>0</v>
      </c>
      <c r="H166" s="373">
        <f t="shared" si="24"/>
        <v>0</v>
      </c>
      <c r="I166" s="373">
        <f t="shared" si="24"/>
        <v>0</v>
      </c>
      <c r="J166" s="373">
        <f t="shared" si="24"/>
        <v>0</v>
      </c>
      <c r="K166" s="373">
        <f t="shared" si="24"/>
        <v>0</v>
      </c>
      <c r="L166" s="373">
        <f t="shared" si="24"/>
        <v>0</v>
      </c>
      <c r="M166" s="373">
        <f t="shared" si="24"/>
        <v>0</v>
      </c>
      <c r="N166" s="373">
        <f t="shared" si="24"/>
        <v>0</v>
      </c>
      <c r="O166" s="373">
        <f t="shared" si="24"/>
        <v>0</v>
      </c>
      <c r="P166" s="373">
        <f t="shared" si="24"/>
        <v>0</v>
      </c>
      <c r="Q166" s="373">
        <f t="shared" si="24"/>
        <v>0</v>
      </c>
      <c r="R166" s="373">
        <f t="shared" si="24"/>
        <v>0</v>
      </c>
      <c r="S166" s="364">
        <f t="shared" si="25"/>
        <v>0</v>
      </c>
      <c r="U166" s="84"/>
      <c r="V166" s="164"/>
    </row>
    <row r="167" spans="1:22" ht="13.8" hidden="1">
      <c r="A167" s="5" t="s">
        <v>372</v>
      </c>
      <c r="B167" s="362" t="str">
        <f>VLOOKUP(A160&amp;A167,Commodities!$AA$7:$AB$86,2,FALSE)</f>
        <v>Apartment-A3 Cloth Washing</v>
      </c>
      <c r="C167" s="362" t="str">
        <f>A160&amp;A167</f>
        <v>RSD_APA3_CW</v>
      </c>
      <c r="D167" s="373" t="str">
        <f>IFERROR(#REF!*VLOOKUP(LEFT($A$160,8),$A$10:$R$19,D$108,FALSE)*VLOOKUP(LEFT($A$160,9)&amp;$A167,$A$24:$R$102,D$108,FALSE),"")</f>
        <v/>
      </c>
      <c r="E167" s="373">
        <f t="shared" si="24"/>
        <v>0</v>
      </c>
      <c r="F167" s="373">
        <f t="shared" si="24"/>
        <v>0</v>
      </c>
      <c r="G167" s="373">
        <f t="shared" si="24"/>
        <v>0</v>
      </c>
      <c r="H167" s="373">
        <f t="shared" si="24"/>
        <v>0</v>
      </c>
      <c r="I167" s="373">
        <f t="shared" si="24"/>
        <v>0</v>
      </c>
      <c r="J167" s="373">
        <f t="shared" si="24"/>
        <v>0</v>
      </c>
      <c r="K167" s="373">
        <f t="shared" si="24"/>
        <v>0</v>
      </c>
      <c r="L167" s="373">
        <f t="shared" si="24"/>
        <v>0</v>
      </c>
      <c r="M167" s="373">
        <f t="shared" si="24"/>
        <v>0</v>
      </c>
      <c r="N167" s="373">
        <f t="shared" si="24"/>
        <v>0</v>
      </c>
      <c r="O167" s="373">
        <f t="shared" si="24"/>
        <v>0</v>
      </c>
      <c r="P167" s="373">
        <f t="shared" si="24"/>
        <v>0</v>
      </c>
      <c r="Q167" s="373">
        <f t="shared" si="24"/>
        <v>0</v>
      </c>
      <c r="R167" s="373">
        <f t="shared" si="24"/>
        <v>0</v>
      </c>
      <c r="S167" s="364">
        <f t="shared" si="25"/>
        <v>0</v>
      </c>
      <c r="U167" s="84"/>
      <c r="V167" s="164"/>
    </row>
    <row r="168" spans="1:22" ht="13.8" hidden="1">
      <c r="A168" s="5" t="s">
        <v>373</v>
      </c>
      <c r="B168" s="362" t="str">
        <f>VLOOKUP(A160&amp;A168,Commodities!$AA$7:$AB$86,2,FALSE)</f>
        <v>Apartment-A3 Dish Washing</v>
      </c>
      <c r="C168" s="362" t="str">
        <f>A160&amp;A168</f>
        <v>RSD_APA3_DW</v>
      </c>
      <c r="D168" s="373" t="str">
        <f>IFERROR(#REF!*VLOOKUP(LEFT($A$160,8),$A$10:$R$19,D$108,FALSE)*VLOOKUP(LEFT($A$160,9)&amp;$A168,$A$24:$R$102,D$108,FALSE),"")</f>
        <v/>
      </c>
      <c r="E168" s="373">
        <f t="shared" si="24"/>
        <v>0</v>
      </c>
      <c r="F168" s="373">
        <f t="shared" si="24"/>
        <v>0</v>
      </c>
      <c r="G168" s="373">
        <f t="shared" si="24"/>
        <v>0</v>
      </c>
      <c r="H168" s="373">
        <f t="shared" si="24"/>
        <v>0</v>
      </c>
      <c r="I168" s="373">
        <f t="shared" si="24"/>
        <v>0</v>
      </c>
      <c r="J168" s="373">
        <f t="shared" si="24"/>
        <v>0</v>
      </c>
      <c r="K168" s="373">
        <f t="shared" si="24"/>
        <v>0</v>
      </c>
      <c r="L168" s="373">
        <f t="shared" si="24"/>
        <v>0</v>
      </c>
      <c r="M168" s="373">
        <f t="shared" si="24"/>
        <v>0</v>
      </c>
      <c r="N168" s="373">
        <f t="shared" si="24"/>
        <v>0</v>
      </c>
      <c r="O168" s="373">
        <f t="shared" si="24"/>
        <v>0</v>
      </c>
      <c r="P168" s="373">
        <f t="shared" si="24"/>
        <v>0</v>
      </c>
      <c r="Q168" s="373">
        <f t="shared" si="24"/>
        <v>0</v>
      </c>
      <c r="R168" s="373">
        <f t="shared" si="24"/>
        <v>0</v>
      </c>
      <c r="S168" s="364">
        <f t="shared" si="25"/>
        <v>0</v>
      </c>
      <c r="U168" s="84"/>
      <c r="V168" s="164"/>
    </row>
    <row r="169" spans="1:22" ht="13.8" hidden="1">
      <c r="A169" s="5" t="s">
        <v>374</v>
      </c>
      <c r="B169" s="362" t="str">
        <f>VLOOKUP(A160&amp;A169,Commodities!$AA$7:$AB$86,2,FALSE)</f>
        <v>Apartment-A3 Other Appliances</v>
      </c>
      <c r="C169" s="362" t="str">
        <f>A160&amp;A169</f>
        <v>RSD_APA3_AP</v>
      </c>
      <c r="D169" s="373" t="str">
        <f>IFERROR(#REF!*VLOOKUP(LEFT($A$160,8),$A$10:$R$19,D$108,FALSE)*VLOOKUP(LEFT($A$160,9)&amp;$A169,$A$24:$R$102,D$108,FALSE),"")</f>
        <v/>
      </c>
      <c r="E169" s="373">
        <f t="shared" si="24"/>
        <v>0</v>
      </c>
      <c r="F169" s="373">
        <f t="shared" si="24"/>
        <v>0</v>
      </c>
      <c r="G169" s="373">
        <f t="shared" si="24"/>
        <v>0</v>
      </c>
      <c r="H169" s="373">
        <f t="shared" si="24"/>
        <v>0</v>
      </c>
      <c r="I169" s="373">
        <f t="shared" si="24"/>
        <v>0</v>
      </c>
      <c r="J169" s="373">
        <f t="shared" si="24"/>
        <v>0</v>
      </c>
      <c r="K169" s="373">
        <f t="shared" si="24"/>
        <v>0</v>
      </c>
      <c r="L169" s="373">
        <f t="shared" si="24"/>
        <v>0</v>
      </c>
      <c r="M169" s="373">
        <f t="shared" si="24"/>
        <v>0</v>
      </c>
      <c r="N169" s="373">
        <f t="shared" si="24"/>
        <v>0</v>
      </c>
      <c r="O169" s="373">
        <f t="shared" si="24"/>
        <v>0</v>
      </c>
      <c r="P169" s="373">
        <f t="shared" si="24"/>
        <v>0</v>
      </c>
      <c r="Q169" s="373">
        <f t="shared" si="24"/>
        <v>0</v>
      </c>
      <c r="R169" s="373">
        <f t="shared" si="24"/>
        <v>0</v>
      </c>
      <c r="S169" s="364">
        <f t="shared" si="25"/>
        <v>0</v>
      </c>
      <c r="U169" s="84"/>
      <c r="V169" s="164"/>
    </row>
    <row r="170" spans="1:22" s="5" customFormat="1" ht="14.4" hidden="1" thickBot="1">
      <c r="A170" s="124" t="str">
        <f>Commodities!$AA$13&amp;"_"</f>
        <v>RSD_DTA4_</v>
      </c>
      <c r="B170" s="92" t="str">
        <f>Commodities!$AB$13</f>
        <v>Detached - Area4</v>
      </c>
      <c r="C170" s="92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2"/>
      <c r="U170" s="357"/>
      <c r="V170" s="46"/>
    </row>
    <row r="171" spans="1:22" ht="13.8" hidden="1">
      <c r="A171" s="5" t="s">
        <v>367</v>
      </c>
      <c r="B171" s="362" t="str">
        <f>VLOOKUP(A170&amp;A171,Commodities!$AA$7:$AB$86,2,FALSE)</f>
        <v>Detached - A4 Space Heating</v>
      </c>
      <c r="C171" s="362" t="str">
        <f>A170&amp;A171</f>
        <v>RSD_DTA4_SH</v>
      </c>
      <c r="D171" s="373" t="str">
        <f>IFERROR(#REF!*VLOOKUP(LEFT($A$170,8),$A$10:$R$19,D$108,FALSE)*VLOOKUP(LEFT($A$170,9)&amp;$A171,$A$24:$R$102,D$108,FALSE),"")</f>
        <v/>
      </c>
      <c r="E171" s="373">
        <f t="shared" ref="E171:R179" si="26">IFERROR(E$5*VLOOKUP(LEFT($A$170,8),$A$10:$R$19,E$108,FALSE)*VLOOKUP(LEFT($A$170,9)&amp;$A171,$A$24:$R$102,E$108,FALSE),"")</f>
        <v>0</v>
      </c>
      <c r="F171" s="373">
        <f t="shared" si="26"/>
        <v>0</v>
      </c>
      <c r="G171" s="373">
        <f t="shared" si="26"/>
        <v>0</v>
      </c>
      <c r="H171" s="373">
        <f t="shared" si="26"/>
        <v>0</v>
      </c>
      <c r="I171" s="373">
        <f t="shared" si="26"/>
        <v>0</v>
      </c>
      <c r="J171" s="373">
        <f t="shared" si="26"/>
        <v>0</v>
      </c>
      <c r="K171" s="373">
        <f t="shared" si="26"/>
        <v>0</v>
      </c>
      <c r="L171" s="373">
        <f t="shared" si="26"/>
        <v>0</v>
      </c>
      <c r="M171" s="373">
        <f t="shared" si="26"/>
        <v>0</v>
      </c>
      <c r="N171" s="373">
        <f t="shared" si="26"/>
        <v>0</v>
      </c>
      <c r="O171" s="373">
        <f t="shared" si="26"/>
        <v>0</v>
      </c>
      <c r="P171" s="373">
        <f t="shared" si="26"/>
        <v>0</v>
      </c>
      <c r="Q171" s="373">
        <f t="shared" si="26"/>
        <v>0</v>
      </c>
      <c r="R171" s="373">
        <f t="shared" si="26"/>
        <v>0</v>
      </c>
      <c r="S171" s="364">
        <f t="shared" ref="S171:S179" si="27">SUM(D171:R171)</f>
        <v>0</v>
      </c>
      <c r="U171" s="357" t="e">
        <f>S171/RSD_Stock!E13</f>
        <v>#DIV/0!</v>
      </c>
      <c r="V171" s="46" t="e">
        <f>U171*1000</f>
        <v>#DIV/0!</v>
      </c>
    </row>
    <row r="172" spans="1:22" ht="13.8" hidden="1">
      <c r="A172" s="5" t="s">
        <v>368</v>
      </c>
      <c r="B172" s="362" t="str">
        <f>VLOOKUP(A170&amp;A172,Commodities!$AA$7:$AB$86,2,FALSE)</f>
        <v>Apartment-A4 Space Cooling</v>
      </c>
      <c r="C172" s="362" t="str">
        <f>A170&amp;A172</f>
        <v>RSD_DTA4_SC</v>
      </c>
      <c r="D172" s="373" t="str">
        <f>IFERROR(#REF!*VLOOKUP(LEFT($A$170,8),$A$10:$R$19,D$108,FALSE)*VLOOKUP(LEFT($A$170,9)&amp;$A172,$A$24:$R$102,D$108,FALSE),"")</f>
        <v/>
      </c>
      <c r="E172" s="373">
        <f t="shared" si="26"/>
        <v>0</v>
      </c>
      <c r="F172" s="373">
        <f t="shared" si="26"/>
        <v>0</v>
      </c>
      <c r="G172" s="373">
        <f t="shared" si="26"/>
        <v>0</v>
      </c>
      <c r="H172" s="373">
        <f t="shared" si="26"/>
        <v>0</v>
      </c>
      <c r="I172" s="373">
        <f t="shared" si="26"/>
        <v>0</v>
      </c>
      <c r="J172" s="373">
        <f t="shared" si="26"/>
        <v>0</v>
      </c>
      <c r="K172" s="373">
        <f t="shared" si="26"/>
        <v>0</v>
      </c>
      <c r="L172" s="373">
        <f t="shared" si="26"/>
        <v>0</v>
      </c>
      <c r="M172" s="373">
        <f t="shared" si="26"/>
        <v>0</v>
      </c>
      <c r="N172" s="373">
        <f t="shared" si="26"/>
        <v>0</v>
      </c>
      <c r="O172" s="373">
        <f t="shared" si="26"/>
        <v>0</v>
      </c>
      <c r="P172" s="373">
        <f t="shared" si="26"/>
        <v>0</v>
      </c>
      <c r="Q172" s="373">
        <f t="shared" si="26"/>
        <v>0</v>
      </c>
      <c r="R172" s="373">
        <f t="shared" si="26"/>
        <v>0</v>
      </c>
      <c r="S172" s="364">
        <f t="shared" si="27"/>
        <v>0</v>
      </c>
      <c r="U172" s="84"/>
      <c r="V172" s="164"/>
    </row>
    <row r="173" spans="1:22" ht="13.8" hidden="1">
      <c r="A173" s="5" t="s">
        <v>369</v>
      </c>
      <c r="B173" s="362" t="str">
        <f>VLOOKUP(A170&amp;A173,Commodities!$AA$7:$AB$86,2,FALSE)</f>
        <v>Detached - A4 Water Heating</v>
      </c>
      <c r="C173" s="362" t="str">
        <f>A170&amp;A173</f>
        <v>RSD_DTA4_WH</v>
      </c>
      <c r="D173" s="373" t="str">
        <f>IFERROR(#REF!*VLOOKUP(LEFT($A$170,8),$A$10:$R$19,D$108,FALSE)*VLOOKUP(LEFT($A$170,9)&amp;$A173,$A$24:$R$102,D$108,FALSE),"")</f>
        <v/>
      </c>
      <c r="E173" s="373">
        <f t="shared" si="26"/>
        <v>0</v>
      </c>
      <c r="F173" s="373">
        <f t="shared" si="26"/>
        <v>0</v>
      </c>
      <c r="G173" s="373">
        <f t="shared" si="26"/>
        <v>0</v>
      </c>
      <c r="H173" s="373">
        <f t="shared" si="26"/>
        <v>0</v>
      </c>
      <c r="I173" s="373">
        <f t="shared" si="26"/>
        <v>0</v>
      </c>
      <c r="J173" s="373">
        <f t="shared" si="26"/>
        <v>0</v>
      </c>
      <c r="K173" s="373">
        <f t="shared" si="26"/>
        <v>0</v>
      </c>
      <c r="L173" s="373">
        <f t="shared" si="26"/>
        <v>0</v>
      </c>
      <c r="M173" s="373">
        <f t="shared" si="26"/>
        <v>0</v>
      </c>
      <c r="N173" s="373">
        <f t="shared" si="26"/>
        <v>0</v>
      </c>
      <c r="O173" s="373">
        <f t="shared" si="26"/>
        <v>0</v>
      </c>
      <c r="P173" s="373">
        <f t="shared" si="26"/>
        <v>0</v>
      </c>
      <c r="Q173" s="373">
        <f t="shared" si="26"/>
        <v>0</v>
      </c>
      <c r="R173" s="373">
        <f t="shared" si="26"/>
        <v>0</v>
      </c>
      <c r="S173" s="364">
        <f t="shared" si="27"/>
        <v>0</v>
      </c>
      <c r="U173" s="357" t="e">
        <f>S173/RSD_Stock!E13</f>
        <v>#DIV/0!</v>
      </c>
      <c r="V173" s="164"/>
    </row>
    <row r="174" spans="1:22" ht="13.8" hidden="1">
      <c r="A174" s="5" t="s">
        <v>370</v>
      </c>
      <c r="B174" s="362" t="str">
        <f>VLOOKUP(A170&amp;A174,Commodities!$AA$7:$AB$86,2,FALSE)</f>
        <v>Detached - A4 Cooking</v>
      </c>
      <c r="C174" s="362" t="str">
        <f>A170&amp;A174</f>
        <v>RSD_DTA4_CK</v>
      </c>
      <c r="D174" s="373" t="str">
        <f>IFERROR(#REF!*VLOOKUP(LEFT($A$170,8),$A$10:$R$19,D$108,FALSE)*VLOOKUP(LEFT($A$170,9)&amp;$A174,$A$24:$R$102,D$108,FALSE),"")</f>
        <v/>
      </c>
      <c r="E174" s="373">
        <f t="shared" si="26"/>
        <v>0</v>
      </c>
      <c r="F174" s="373">
        <f t="shared" si="26"/>
        <v>0</v>
      </c>
      <c r="G174" s="373">
        <f t="shared" si="26"/>
        <v>0</v>
      </c>
      <c r="H174" s="373">
        <f t="shared" si="26"/>
        <v>0</v>
      </c>
      <c r="I174" s="373">
        <f t="shared" si="26"/>
        <v>0</v>
      </c>
      <c r="J174" s="373">
        <f t="shared" si="26"/>
        <v>0</v>
      </c>
      <c r="K174" s="373">
        <f t="shared" si="26"/>
        <v>0</v>
      </c>
      <c r="L174" s="373">
        <f t="shared" si="26"/>
        <v>0</v>
      </c>
      <c r="M174" s="373">
        <f t="shared" si="26"/>
        <v>0</v>
      </c>
      <c r="N174" s="373">
        <f t="shared" si="26"/>
        <v>0</v>
      </c>
      <c r="O174" s="373">
        <f t="shared" si="26"/>
        <v>0</v>
      </c>
      <c r="P174" s="373">
        <f t="shared" si="26"/>
        <v>0</v>
      </c>
      <c r="Q174" s="373">
        <f t="shared" si="26"/>
        <v>0</v>
      </c>
      <c r="R174" s="373">
        <f t="shared" si="26"/>
        <v>0</v>
      </c>
      <c r="S174" s="364">
        <f t="shared" si="27"/>
        <v>0</v>
      </c>
      <c r="U174" s="357" t="e">
        <f>S174/RSD_Stock!E13</f>
        <v>#DIV/0!</v>
      </c>
      <c r="V174" s="164"/>
    </row>
    <row r="175" spans="1:22" ht="13.8" hidden="1">
      <c r="A175" s="5" t="s">
        <v>375</v>
      </c>
      <c r="B175" s="362" t="str">
        <f>VLOOKUP(A170&amp;A175,Commodities!$AA$7:$AB$86,2,FALSE)</f>
        <v>Detached - A4 Lighting</v>
      </c>
      <c r="C175" s="362" t="str">
        <f>A170&amp;A175</f>
        <v>RSD_DTA4_LI</v>
      </c>
      <c r="D175" s="373" t="str">
        <f>IFERROR(#REF!*VLOOKUP(LEFT($A$170,8),$A$10:$R$19,D$108,FALSE)*VLOOKUP(LEFT($A$170,9)&amp;$A175,$A$24:$R$102,D$108,FALSE),"")</f>
        <v/>
      </c>
      <c r="E175" s="373">
        <f t="shared" si="26"/>
        <v>0</v>
      </c>
      <c r="F175" s="373">
        <f t="shared" si="26"/>
        <v>0</v>
      </c>
      <c r="G175" s="373">
        <f t="shared" si="26"/>
        <v>0</v>
      </c>
      <c r="H175" s="373">
        <f t="shared" si="26"/>
        <v>0</v>
      </c>
      <c r="I175" s="373">
        <f t="shared" si="26"/>
        <v>0</v>
      </c>
      <c r="J175" s="373">
        <f t="shared" si="26"/>
        <v>0</v>
      </c>
      <c r="K175" s="373">
        <f t="shared" si="26"/>
        <v>0</v>
      </c>
      <c r="L175" s="373">
        <f t="shared" si="26"/>
        <v>0</v>
      </c>
      <c r="M175" s="373">
        <f t="shared" si="26"/>
        <v>0</v>
      </c>
      <c r="N175" s="373">
        <f t="shared" si="26"/>
        <v>0</v>
      </c>
      <c r="O175" s="373">
        <f t="shared" si="26"/>
        <v>0</v>
      </c>
      <c r="P175" s="373">
        <f t="shared" si="26"/>
        <v>0</v>
      </c>
      <c r="Q175" s="373">
        <f t="shared" si="26"/>
        <v>0</v>
      </c>
      <c r="R175" s="373">
        <f t="shared" si="26"/>
        <v>0</v>
      </c>
      <c r="S175" s="364">
        <f t="shared" si="27"/>
        <v>0</v>
      </c>
      <c r="U175" s="84"/>
      <c r="V175" s="164"/>
    </row>
    <row r="176" spans="1:22" ht="13.8" hidden="1">
      <c r="A176" s="5" t="s">
        <v>371</v>
      </c>
      <c r="B176" s="362" t="str">
        <f>VLOOKUP(A170&amp;A176,Commodities!$AA$7:$AB$86,2,FALSE)</f>
        <v>Detached - A4 Refrigerating</v>
      </c>
      <c r="C176" s="362" t="str">
        <f>A170&amp;A176</f>
        <v>RSD_DTA4_RF</v>
      </c>
      <c r="D176" s="373" t="str">
        <f>IFERROR(#REF!*VLOOKUP(LEFT($A$170,8),$A$10:$R$19,D$108,FALSE)*VLOOKUP(LEFT($A$170,9)&amp;$A176,$A$24:$R$102,D$108,FALSE),"")</f>
        <v/>
      </c>
      <c r="E176" s="373">
        <f t="shared" si="26"/>
        <v>0</v>
      </c>
      <c r="F176" s="373">
        <f t="shared" si="26"/>
        <v>0</v>
      </c>
      <c r="G176" s="373">
        <f t="shared" si="26"/>
        <v>0</v>
      </c>
      <c r="H176" s="373">
        <f t="shared" si="26"/>
        <v>0</v>
      </c>
      <c r="I176" s="373">
        <f t="shared" si="26"/>
        <v>0</v>
      </c>
      <c r="J176" s="373">
        <f t="shared" si="26"/>
        <v>0</v>
      </c>
      <c r="K176" s="373">
        <f t="shared" si="26"/>
        <v>0</v>
      </c>
      <c r="L176" s="373">
        <f t="shared" si="26"/>
        <v>0</v>
      </c>
      <c r="M176" s="373">
        <f t="shared" si="26"/>
        <v>0</v>
      </c>
      <c r="N176" s="373">
        <f t="shared" si="26"/>
        <v>0</v>
      </c>
      <c r="O176" s="373">
        <f t="shared" si="26"/>
        <v>0</v>
      </c>
      <c r="P176" s="373">
        <f t="shared" si="26"/>
        <v>0</v>
      </c>
      <c r="Q176" s="373">
        <f t="shared" si="26"/>
        <v>0</v>
      </c>
      <c r="R176" s="373">
        <f t="shared" si="26"/>
        <v>0</v>
      </c>
      <c r="S176" s="364">
        <f t="shared" si="27"/>
        <v>0</v>
      </c>
      <c r="U176" s="84"/>
      <c r="V176" s="164"/>
    </row>
    <row r="177" spans="1:22" ht="13.8" hidden="1">
      <c r="A177" s="5" t="s">
        <v>372</v>
      </c>
      <c r="B177" s="362" t="str">
        <f>VLOOKUP(A170&amp;A177,Commodities!$AA$7:$AB$86,2,FALSE)</f>
        <v>Detached - A4 Cloth Washing</v>
      </c>
      <c r="C177" s="362" t="str">
        <f>A170&amp;A177</f>
        <v>RSD_DTA4_CW</v>
      </c>
      <c r="D177" s="373" t="str">
        <f>IFERROR(#REF!*VLOOKUP(LEFT($A$170,8),$A$10:$R$19,D$108,FALSE)*VLOOKUP(LEFT($A$170,9)&amp;$A177,$A$24:$R$102,D$108,FALSE),"")</f>
        <v/>
      </c>
      <c r="E177" s="373">
        <f t="shared" si="26"/>
        <v>0</v>
      </c>
      <c r="F177" s="373">
        <f t="shared" si="26"/>
        <v>0</v>
      </c>
      <c r="G177" s="373">
        <f t="shared" si="26"/>
        <v>0</v>
      </c>
      <c r="H177" s="373">
        <f t="shared" si="26"/>
        <v>0</v>
      </c>
      <c r="I177" s="373">
        <f t="shared" si="26"/>
        <v>0</v>
      </c>
      <c r="J177" s="373">
        <f t="shared" si="26"/>
        <v>0</v>
      </c>
      <c r="K177" s="373">
        <f t="shared" si="26"/>
        <v>0</v>
      </c>
      <c r="L177" s="373">
        <f t="shared" si="26"/>
        <v>0</v>
      </c>
      <c r="M177" s="373">
        <f t="shared" si="26"/>
        <v>0</v>
      </c>
      <c r="N177" s="373">
        <f t="shared" si="26"/>
        <v>0</v>
      </c>
      <c r="O177" s="373">
        <f t="shared" si="26"/>
        <v>0</v>
      </c>
      <c r="P177" s="373">
        <f t="shared" si="26"/>
        <v>0</v>
      </c>
      <c r="Q177" s="373">
        <f t="shared" si="26"/>
        <v>0</v>
      </c>
      <c r="R177" s="373">
        <f t="shared" si="26"/>
        <v>0</v>
      </c>
      <c r="S177" s="364">
        <f t="shared" si="27"/>
        <v>0</v>
      </c>
      <c r="U177" s="84"/>
      <c r="V177" s="164"/>
    </row>
    <row r="178" spans="1:22" ht="13.8" hidden="1">
      <c r="A178" s="5" t="s">
        <v>373</v>
      </c>
      <c r="B178" s="362" t="str">
        <f>VLOOKUP(A170&amp;A178,Commodities!$AA$7:$AB$86,2,FALSE)</f>
        <v>Detached - A4 Dish Washing</v>
      </c>
      <c r="C178" s="362" t="str">
        <f>A170&amp;A178</f>
        <v>RSD_DTA4_DW</v>
      </c>
      <c r="D178" s="373" t="str">
        <f>IFERROR(#REF!*VLOOKUP(LEFT($A$170,8),$A$10:$R$19,D$108,FALSE)*VLOOKUP(LEFT($A$170,9)&amp;$A178,$A$24:$R$102,D$108,FALSE),"")</f>
        <v/>
      </c>
      <c r="E178" s="373">
        <f t="shared" si="26"/>
        <v>0</v>
      </c>
      <c r="F178" s="373">
        <f t="shared" si="26"/>
        <v>0</v>
      </c>
      <c r="G178" s="373">
        <f t="shared" si="26"/>
        <v>0</v>
      </c>
      <c r="H178" s="373">
        <f t="shared" si="26"/>
        <v>0</v>
      </c>
      <c r="I178" s="373">
        <f t="shared" si="26"/>
        <v>0</v>
      </c>
      <c r="J178" s="373">
        <f t="shared" si="26"/>
        <v>0</v>
      </c>
      <c r="K178" s="373">
        <f t="shared" si="26"/>
        <v>0</v>
      </c>
      <c r="L178" s="373">
        <f t="shared" si="26"/>
        <v>0</v>
      </c>
      <c r="M178" s="373">
        <f t="shared" si="26"/>
        <v>0</v>
      </c>
      <c r="N178" s="373">
        <f t="shared" si="26"/>
        <v>0</v>
      </c>
      <c r="O178" s="373">
        <f t="shared" si="26"/>
        <v>0</v>
      </c>
      <c r="P178" s="373">
        <f t="shared" si="26"/>
        <v>0</v>
      </c>
      <c r="Q178" s="373">
        <f t="shared" si="26"/>
        <v>0</v>
      </c>
      <c r="R178" s="373">
        <f t="shared" si="26"/>
        <v>0</v>
      </c>
      <c r="S178" s="364">
        <f t="shared" si="27"/>
        <v>0</v>
      </c>
      <c r="U178" s="84"/>
      <c r="V178" s="164"/>
    </row>
    <row r="179" spans="1:22" ht="13.8" hidden="1">
      <c r="A179" s="5" t="s">
        <v>374</v>
      </c>
      <c r="B179" s="362" t="str">
        <f>VLOOKUP(A170&amp;A179,Commodities!$AA$7:$AB$86,2,FALSE)</f>
        <v>Detached - A4 Other Appliances</v>
      </c>
      <c r="C179" s="362" t="str">
        <f>A170&amp;A179</f>
        <v>RSD_DTA4_AP</v>
      </c>
      <c r="D179" s="373" t="str">
        <f>IFERROR(#REF!*VLOOKUP(LEFT($A$170,8),$A$10:$R$19,D$108,FALSE)*VLOOKUP(LEFT($A$170,9)&amp;$A179,$A$24:$R$102,D$108,FALSE),"")</f>
        <v/>
      </c>
      <c r="E179" s="373">
        <f t="shared" si="26"/>
        <v>0</v>
      </c>
      <c r="F179" s="373">
        <f t="shared" si="26"/>
        <v>0</v>
      </c>
      <c r="G179" s="373">
        <f t="shared" si="26"/>
        <v>0</v>
      </c>
      <c r="H179" s="373">
        <f t="shared" si="26"/>
        <v>0</v>
      </c>
      <c r="I179" s="373">
        <f t="shared" si="26"/>
        <v>0</v>
      </c>
      <c r="J179" s="373">
        <f t="shared" si="26"/>
        <v>0</v>
      </c>
      <c r="K179" s="373">
        <f t="shared" si="26"/>
        <v>0</v>
      </c>
      <c r="L179" s="373">
        <f t="shared" si="26"/>
        <v>0</v>
      </c>
      <c r="M179" s="373">
        <f t="shared" si="26"/>
        <v>0</v>
      </c>
      <c r="N179" s="373">
        <f t="shared" si="26"/>
        <v>0</v>
      </c>
      <c r="O179" s="373">
        <f t="shared" si="26"/>
        <v>0</v>
      </c>
      <c r="P179" s="373">
        <f t="shared" si="26"/>
        <v>0</v>
      </c>
      <c r="Q179" s="373">
        <f t="shared" si="26"/>
        <v>0</v>
      </c>
      <c r="R179" s="373">
        <f t="shared" si="26"/>
        <v>0</v>
      </c>
      <c r="S179" s="364">
        <f t="shared" si="27"/>
        <v>0</v>
      </c>
      <c r="U179" s="84"/>
      <c r="V179" s="164"/>
    </row>
    <row r="180" spans="1:22" s="5" customFormat="1" ht="14.4" hidden="1" thickBot="1">
      <c r="A180" s="124" t="e">
        <f>Commodities!#REF!&amp;"_"</f>
        <v>#REF!</v>
      </c>
      <c r="B180" s="92" t="str">
        <f>Commodities!$AB$13</f>
        <v>Detached - Area4</v>
      </c>
      <c r="C180" s="92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2"/>
      <c r="U180" s="357"/>
      <c r="V180" s="46"/>
    </row>
    <row r="181" spans="1:22" ht="13.8" hidden="1">
      <c r="A181" s="5" t="s">
        <v>367</v>
      </c>
      <c r="B181" s="362" t="e">
        <f>VLOOKUP(A180&amp;A181,Commodities!$AA$7:$AB$86,2,FALSE)</f>
        <v>#REF!</v>
      </c>
      <c r="C181" s="362" t="e">
        <f>A180&amp;A181</f>
        <v>#REF!</v>
      </c>
      <c r="D181" s="373" t="str">
        <f>IFERROR(#REF!*VLOOKUP(LEFT($A$180,8),$A$10:$R$19,D$108,FALSE)*VLOOKUP(LEFT($A$180,9)&amp;$A181,$A$24:$R$102,D$108,FALSE),"")</f>
        <v/>
      </c>
      <c r="E181" s="373" t="str">
        <f t="shared" ref="E181:R189" si="28">IFERROR(E$5*VLOOKUP(LEFT($A$180,8),$A$10:$R$19,E$108,FALSE)*VLOOKUP(LEFT($A$180,9)&amp;$A181,$A$24:$R$102,E$108,FALSE),"")</f>
        <v/>
      </c>
      <c r="F181" s="373" t="str">
        <f t="shared" si="28"/>
        <v/>
      </c>
      <c r="G181" s="373" t="str">
        <f t="shared" si="28"/>
        <v/>
      </c>
      <c r="H181" s="373" t="str">
        <f t="shared" si="28"/>
        <v/>
      </c>
      <c r="I181" s="373" t="str">
        <f t="shared" si="28"/>
        <v/>
      </c>
      <c r="J181" s="373" t="str">
        <f t="shared" si="28"/>
        <v/>
      </c>
      <c r="K181" s="373" t="str">
        <f t="shared" si="28"/>
        <v/>
      </c>
      <c r="L181" s="373" t="str">
        <f t="shared" si="28"/>
        <v/>
      </c>
      <c r="M181" s="373" t="str">
        <f t="shared" si="28"/>
        <v/>
      </c>
      <c r="N181" s="373" t="str">
        <f t="shared" si="28"/>
        <v/>
      </c>
      <c r="O181" s="373" t="str">
        <f t="shared" si="28"/>
        <v/>
      </c>
      <c r="P181" s="373" t="str">
        <f t="shared" si="28"/>
        <v/>
      </c>
      <c r="Q181" s="373" t="str">
        <f t="shared" si="28"/>
        <v/>
      </c>
      <c r="R181" s="373" t="str">
        <f t="shared" si="28"/>
        <v/>
      </c>
      <c r="S181" s="364">
        <f t="shared" ref="S181:S189" si="29">SUM(D181:R181)</f>
        <v>0</v>
      </c>
      <c r="U181" s="357" t="e">
        <f>S181/RSD_Stock!E14</f>
        <v>#DIV/0!</v>
      </c>
      <c r="V181" s="46" t="e">
        <f>U181*1000</f>
        <v>#DIV/0!</v>
      </c>
    </row>
    <row r="182" spans="1:22" ht="13.8" hidden="1">
      <c r="A182" s="5" t="s">
        <v>368</v>
      </c>
      <c r="B182" s="362" t="e">
        <f>VLOOKUP(A180&amp;A182,Commodities!$AA$7:$AB$86,2,FALSE)</f>
        <v>#REF!</v>
      </c>
      <c r="C182" s="362" t="e">
        <f>A180&amp;A182</f>
        <v>#REF!</v>
      </c>
      <c r="D182" s="373" t="str">
        <f>IFERROR(#REF!*VLOOKUP(LEFT($A$180,8),$A$10:$R$19,D$108,FALSE)*VLOOKUP(LEFT($A$180,9)&amp;$A182,$A$24:$R$102,D$108,FALSE),"")</f>
        <v/>
      </c>
      <c r="E182" s="373" t="str">
        <f t="shared" si="28"/>
        <v/>
      </c>
      <c r="F182" s="373" t="str">
        <f t="shared" si="28"/>
        <v/>
      </c>
      <c r="G182" s="373" t="str">
        <f t="shared" si="28"/>
        <v/>
      </c>
      <c r="H182" s="373" t="str">
        <f t="shared" si="28"/>
        <v/>
      </c>
      <c r="I182" s="373" t="str">
        <f t="shared" si="28"/>
        <v/>
      </c>
      <c r="J182" s="373" t="str">
        <f t="shared" si="28"/>
        <v/>
      </c>
      <c r="K182" s="373" t="str">
        <f t="shared" si="28"/>
        <v/>
      </c>
      <c r="L182" s="373" t="str">
        <f t="shared" si="28"/>
        <v/>
      </c>
      <c r="M182" s="373" t="str">
        <f t="shared" si="28"/>
        <v/>
      </c>
      <c r="N182" s="373" t="str">
        <f t="shared" si="28"/>
        <v/>
      </c>
      <c r="O182" s="373" t="str">
        <f t="shared" si="28"/>
        <v/>
      </c>
      <c r="P182" s="373" t="str">
        <f t="shared" si="28"/>
        <v/>
      </c>
      <c r="Q182" s="373" t="str">
        <f t="shared" si="28"/>
        <v/>
      </c>
      <c r="R182" s="373" t="str">
        <f t="shared" si="28"/>
        <v/>
      </c>
      <c r="S182" s="364">
        <f t="shared" si="29"/>
        <v>0</v>
      </c>
      <c r="U182" s="84"/>
    </row>
    <row r="183" spans="1:22" ht="13.8" hidden="1">
      <c r="A183" s="5" t="s">
        <v>369</v>
      </c>
      <c r="B183" s="362" t="e">
        <f>VLOOKUP(A180&amp;A183,Commodities!$AA$7:$AB$86,2,FALSE)</f>
        <v>#REF!</v>
      </c>
      <c r="C183" s="362" t="e">
        <f>A180&amp;A183</f>
        <v>#REF!</v>
      </c>
      <c r="D183" s="373" t="str">
        <f>IFERROR(#REF!*VLOOKUP(LEFT($A$180,8),$A$10:$R$19,D$108,FALSE)*VLOOKUP(LEFT($A$180,9)&amp;$A183,$A$24:$R$102,D$108,FALSE),"")</f>
        <v/>
      </c>
      <c r="E183" s="373" t="str">
        <f t="shared" si="28"/>
        <v/>
      </c>
      <c r="F183" s="373" t="str">
        <f t="shared" si="28"/>
        <v/>
      </c>
      <c r="G183" s="373" t="str">
        <f t="shared" si="28"/>
        <v/>
      </c>
      <c r="H183" s="373" t="str">
        <f t="shared" si="28"/>
        <v/>
      </c>
      <c r="I183" s="373" t="str">
        <f t="shared" si="28"/>
        <v/>
      </c>
      <c r="J183" s="373" t="str">
        <f t="shared" si="28"/>
        <v/>
      </c>
      <c r="K183" s="373" t="str">
        <f t="shared" si="28"/>
        <v/>
      </c>
      <c r="L183" s="373" t="str">
        <f t="shared" si="28"/>
        <v/>
      </c>
      <c r="M183" s="373" t="str">
        <f t="shared" si="28"/>
        <v/>
      </c>
      <c r="N183" s="373" t="str">
        <f t="shared" si="28"/>
        <v/>
      </c>
      <c r="O183" s="373" t="str">
        <f t="shared" si="28"/>
        <v/>
      </c>
      <c r="P183" s="373" t="str">
        <f t="shared" si="28"/>
        <v/>
      </c>
      <c r="Q183" s="373" t="str">
        <f t="shared" si="28"/>
        <v/>
      </c>
      <c r="R183" s="373" t="str">
        <f t="shared" si="28"/>
        <v/>
      </c>
      <c r="S183" s="364">
        <f t="shared" si="29"/>
        <v>0</v>
      </c>
      <c r="U183" s="357" t="e">
        <f>S183/RSD_Stock!E14</f>
        <v>#DIV/0!</v>
      </c>
    </row>
    <row r="184" spans="1:22" ht="13.8" hidden="1">
      <c r="A184" s="5" t="s">
        <v>370</v>
      </c>
      <c r="B184" s="362" t="e">
        <f>VLOOKUP(A180&amp;A184,Commodities!$AA$7:$AB$86,2,FALSE)</f>
        <v>#REF!</v>
      </c>
      <c r="C184" s="362" t="e">
        <f>A180&amp;A184</f>
        <v>#REF!</v>
      </c>
      <c r="D184" s="373" t="str">
        <f>IFERROR(#REF!*VLOOKUP(LEFT($A$180,8),$A$10:$R$19,D$108,FALSE)*VLOOKUP(LEFT($A$180,9)&amp;$A184,$A$24:$R$102,D$108,FALSE),"")</f>
        <v/>
      </c>
      <c r="E184" s="373" t="str">
        <f t="shared" si="28"/>
        <v/>
      </c>
      <c r="F184" s="373" t="str">
        <f t="shared" si="28"/>
        <v/>
      </c>
      <c r="G184" s="373" t="str">
        <f t="shared" si="28"/>
        <v/>
      </c>
      <c r="H184" s="373" t="str">
        <f t="shared" si="28"/>
        <v/>
      </c>
      <c r="I184" s="373" t="str">
        <f t="shared" si="28"/>
        <v/>
      </c>
      <c r="J184" s="373" t="str">
        <f t="shared" si="28"/>
        <v/>
      </c>
      <c r="K184" s="373" t="str">
        <f t="shared" si="28"/>
        <v/>
      </c>
      <c r="L184" s="373" t="str">
        <f t="shared" si="28"/>
        <v/>
      </c>
      <c r="M184" s="373" t="str">
        <f t="shared" si="28"/>
        <v/>
      </c>
      <c r="N184" s="373" t="str">
        <f t="shared" si="28"/>
        <v/>
      </c>
      <c r="O184" s="373" t="str">
        <f t="shared" si="28"/>
        <v/>
      </c>
      <c r="P184" s="373" t="str">
        <f t="shared" si="28"/>
        <v/>
      </c>
      <c r="Q184" s="373" t="str">
        <f t="shared" si="28"/>
        <v/>
      </c>
      <c r="R184" s="373" t="str">
        <f t="shared" si="28"/>
        <v/>
      </c>
      <c r="S184" s="364">
        <f t="shared" si="29"/>
        <v>0</v>
      </c>
      <c r="U184" s="357" t="e">
        <f>S184/RSD_Stock!E14</f>
        <v>#DIV/0!</v>
      </c>
    </row>
    <row r="185" spans="1:22" ht="13.8" hidden="1">
      <c r="A185" s="5" t="s">
        <v>375</v>
      </c>
      <c r="B185" s="362" t="e">
        <f>VLOOKUP(A180&amp;A185,Commodities!$AA$7:$AB$86,2,FALSE)</f>
        <v>#REF!</v>
      </c>
      <c r="C185" s="362" t="e">
        <f>A180&amp;A185</f>
        <v>#REF!</v>
      </c>
      <c r="D185" s="373" t="str">
        <f>IFERROR(#REF!*VLOOKUP(LEFT($A$180,8),$A$10:$R$19,D$108,FALSE)*VLOOKUP(LEFT($A$180,9)&amp;$A185,$A$24:$R$102,D$108,FALSE),"")</f>
        <v/>
      </c>
      <c r="E185" s="373" t="str">
        <f t="shared" si="28"/>
        <v/>
      </c>
      <c r="F185" s="373" t="str">
        <f t="shared" si="28"/>
        <v/>
      </c>
      <c r="G185" s="373" t="str">
        <f t="shared" si="28"/>
        <v/>
      </c>
      <c r="H185" s="373" t="str">
        <f t="shared" si="28"/>
        <v/>
      </c>
      <c r="I185" s="373" t="str">
        <f t="shared" si="28"/>
        <v/>
      </c>
      <c r="J185" s="373" t="str">
        <f t="shared" si="28"/>
        <v/>
      </c>
      <c r="K185" s="373" t="str">
        <f t="shared" si="28"/>
        <v/>
      </c>
      <c r="L185" s="373" t="str">
        <f t="shared" si="28"/>
        <v/>
      </c>
      <c r="M185" s="373" t="str">
        <f t="shared" si="28"/>
        <v/>
      </c>
      <c r="N185" s="373" t="str">
        <f t="shared" si="28"/>
        <v/>
      </c>
      <c r="O185" s="373" t="str">
        <f t="shared" si="28"/>
        <v/>
      </c>
      <c r="P185" s="373" t="str">
        <f t="shared" si="28"/>
        <v/>
      </c>
      <c r="Q185" s="373" t="str">
        <f t="shared" si="28"/>
        <v/>
      </c>
      <c r="R185" s="373" t="str">
        <f t="shared" si="28"/>
        <v/>
      </c>
      <c r="S185" s="364">
        <f t="shared" si="29"/>
        <v>0</v>
      </c>
      <c r="U185" s="84"/>
    </row>
    <row r="186" spans="1:22" ht="13.8" hidden="1">
      <c r="A186" s="5" t="s">
        <v>371</v>
      </c>
      <c r="B186" s="362" t="e">
        <f>VLOOKUP(A180&amp;A186,Commodities!$AA$7:$AB$86,2,FALSE)</f>
        <v>#REF!</v>
      </c>
      <c r="C186" s="362" t="e">
        <f>A180&amp;A186</f>
        <v>#REF!</v>
      </c>
      <c r="D186" s="373" t="str">
        <f>IFERROR(#REF!*VLOOKUP(LEFT($A$180,8),$A$10:$R$19,D$108,FALSE)*VLOOKUP(LEFT($A$180,9)&amp;$A186,$A$24:$R$102,D$108,FALSE),"")</f>
        <v/>
      </c>
      <c r="E186" s="373" t="str">
        <f t="shared" si="28"/>
        <v/>
      </c>
      <c r="F186" s="373" t="str">
        <f t="shared" si="28"/>
        <v/>
      </c>
      <c r="G186" s="373" t="str">
        <f t="shared" si="28"/>
        <v/>
      </c>
      <c r="H186" s="373" t="str">
        <f t="shared" si="28"/>
        <v/>
      </c>
      <c r="I186" s="373" t="str">
        <f t="shared" si="28"/>
        <v/>
      </c>
      <c r="J186" s="373" t="str">
        <f t="shared" si="28"/>
        <v/>
      </c>
      <c r="K186" s="373" t="str">
        <f t="shared" si="28"/>
        <v/>
      </c>
      <c r="L186" s="373" t="str">
        <f t="shared" si="28"/>
        <v/>
      </c>
      <c r="M186" s="373" t="str">
        <f t="shared" si="28"/>
        <v/>
      </c>
      <c r="N186" s="373" t="str">
        <f t="shared" si="28"/>
        <v/>
      </c>
      <c r="O186" s="373" t="str">
        <f t="shared" si="28"/>
        <v/>
      </c>
      <c r="P186" s="373" t="str">
        <f t="shared" si="28"/>
        <v/>
      </c>
      <c r="Q186" s="373" t="str">
        <f t="shared" si="28"/>
        <v/>
      </c>
      <c r="R186" s="373" t="str">
        <f t="shared" si="28"/>
        <v/>
      </c>
      <c r="S186" s="364">
        <f t="shared" si="29"/>
        <v>0</v>
      </c>
      <c r="U186" s="84"/>
    </row>
    <row r="187" spans="1:22" ht="13.8" hidden="1">
      <c r="A187" s="5" t="s">
        <v>372</v>
      </c>
      <c r="B187" s="362" t="e">
        <f>VLOOKUP(A180&amp;A187,Commodities!$AA$7:$AB$86,2,FALSE)</f>
        <v>#REF!</v>
      </c>
      <c r="C187" s="362" t="e">
        <f>A180&amp;A187</f>
        <v>#REF!</v>
      </c>
      <c r="D187" s="373" t="str">
        <f>IFERROR(#REF!*VLOOKUP(LEFT($A$180,8),$A$10:$R$19,D$108,FALSE)*VLOOKUP(LEFT($A$180,9)&amp;$A187,$A$24:$R$102,D$108,FALSE),"")</f>
        <v/>
      </c>
      <c r="E187" s="373" t="str">
        <f t="shared" si="28"/>
        <v/>
      </c>
      <c r="F187" s="373" t="str">
        <f t="shared" si="28"/>
        <v/>
      </c>
      <c r="G187" s="373" t="str">
        <f t="shared" si="28"/>
        <v/>
      </c>
      <c r="H187" s="373" t="str">
        <f t="shared" si="28"/>
        <v/>
      </c>
      <c r="I187" s="373" t="str">
        <f t="shared" si="28"/>
        <v/>
      </c>
      <c r="J187" s="373" t="str">
        <f t="shared" si="28"/>
        <v/>
      </c>
      <c r="K187" s="373" t="str">
        <f t="shared" si="28"/>
        <v/>
      </c>
      <c r="L187" s="373" t="str">
        <f t="shared" si="28"/>
        <v/>
      </c>
      <c r="M187" s="373" t="str">
        <f t="shared" si="28"/>
        <v/>
      </c>
      <c r="N187" s="373" t="str">
        <f t="shared" si="28"/>
        <v/>
      </c>
      <c r="O187" s="373" t="str">
        <f t="shared" si="28"/>
        <v/>
      </c>
      <c r="P187" s="373" t="str">
        <f t="shared" si="28"/>
        <v/>
      </c>
      <c r="Q187" s="373" t="str">
        <f t="shared" si="28"/>
        <v/>
      </c>
      <c r="R187" s="373" t="str">
        <f t="shared" si="28"/>
        <v/>
      </c>
      <c r="S187" s="364">
        <f t="shared" si="29"/>
        <v>0</v>
      </c>
      <c r="U187" s="84"/>
    </row>
    <row r="188" spans="1:22" ht="13.8" hidden="1">
      <c r="A188" s="5" t="s">
        <v>373</v>
      </c>
      <c r="B188" s="362" t="e">
        <f>VLOOKUP(A180&amp;A188,Commodities!$AA$7:$AB$86,2,FALSE)</f>
        <v>#REF!</v>
      </c>
      <c r="C188" s="362" t="e">
        <f>A180&amp;A188</f>
        <v>#REF!</v>
      </c>
      <c r="D188" s="373" t="str">
        <f>IFERROR(#REF!*VLOOKUP(LEFT($A$180,8),$A$10:$R$19,D$108,FALSE)*VLOOKUP(LEFT($A$180,9)&amp;$A188,$A$24:$R$102,D$108,FALSE),"")</f>
        <v/>
      </c>
      <c r="E188" s="373" t="str">
        <f t="shared" si="28"/>
        <v/>
      </c>
      <c r="F188" s="373" t="str">
        <f t="shared" si="28"/>
        <v/>
      </c>
      <c r="G188" s="373" t="str">
        <f t="shared" si="28"/>
        <v/>
      </c>
      <c r="H188" s="373" t="str">
        <f t="shared" si="28"/>
        <v/>
      </c>
      <c r="I188" s="373" t="str">
        <f t="shared" si="28"/>
        <v/>
      </c>
      <c r="J188" s="373" t="str">
        <f t="shared" si="28"/>
        <v/>
      </c>
      <c r="K188" s="373" t="str">
        <f t="shared" si="28"/>
        <v/>
      </c>
      <c r="L188" s="373" t="str">
        <f t="shared" si="28"/>
        <v/>
      </c>
      <c r="M188" s="373" t="str">
        <f t="shared" si="28"/>
        <v/>
      </c>
      <c r="N188" s="373" t="str">
        <f t="shared" si="28"/>
        <v/>
      </c>
      <c r="O188" s="373" t="str">
        <f t="shared" si="28"/>
        <v/>
      </c>
      <c r="P188" s="373" t="str">
        <f t="shared" si="28"/>
        <v/>
      </c>
      <c r="Q188" s="373" t="str">
        <f t="shared" si="28"/>
        <v/>
      </c>
      <c r="R188" s="373" t="str">
        <f t="shared" si="28"/>
        <v/>
      </c>
      <c r="S188" s="364">
        <f t="shared" si="29"/>
        <v>0</v>
      </c>
      <c r="U188" s="84"/>
    </row>
    <row r="189" spans="1:22" ht="13.8" hidden="1">
      <c r="A189" s="5" t="s">
        <v>374</v>
      </c>
      <c r="B189" s="362" t="e">
        <f>VLOOKUP(A180&amp;A189,Commodities!$AA$7:$AB$86,2,FALSE)</f>
        <v>#REF!</v>
      </c>
      <c r="C189" s="362" t="e">
        <f>A180&amp;A189</f>
        <v>#REF!</v>
      </c>
      <c r="D189" s="373" t="str">
        <f>IFERROR(#REF!*VLOOKUP(LEFT($A$180,8),$A$10:$R$19,D$108,FALSE)*VLOOKUP(LEFT($A$180,9)&amp;$A189,$A$24:$R$102,D$108,FALSE),"")</f>
        <v/>
      </c>
      <c r="E189" s="373" t="str">
        <f t="shared" si="28"/>
        <v/>
      </c>
      <c r="F189" s="373" t="str">
        <f t="shared" si="28"/>
        <v/>
      </c>
      <c r="G189" s="373" t="str">
        <f t="shared" si="28"/>
        <v/>
      </c>
      <c r="H189" s="373" t="str">
        <f t="shared" si="28"/>
        <v/>
      </c>
      <c r="I189" s="373" t="str">
        <f t="shared" si="28"/>
        <v/>
      </c>
      <c r="J189" s="373" t="str">
        <f t="shared" si="28"/>
        <v/>
      </c>
      <c r="K189" s="373" t="str">
        <f t="shared" si="28"/>
        <v/>
      </c>
      <c r="L189" s="373" t="str">
        <f t="shared" si="28"/>
        <v/>
      </c>
      <c r="M189" s="373" t="str">
        <f t="shared" si="28"/>
        <v/>
      </c>
      <c r="N189" s="373" t="str">
        <f t="shared" si="28"/>
        <v/>
      </c>
      <c r="O189" s="373" t="str">
        <f t="shared" si="28"/>
        <v/>
      </c>
      <c r="P189" s="373" t="str">
        <f t="shared" si="28"/>
        <v/>
      </c>
      <c r="Q189" s="373" t="str">
        <f t="shared" si="28"/>
        <v/>
      </c>
      <c r="R189" s="373" t="str">
        <f t="shared" si="28"/>
        <v/>
      </c>
      <c r="S189" s="364">
        <f t="shared" si="29"/>
        <v>0</v>
      </c>
      <c r="U189" s="84"/>
    </row>
    <row r="190" spans="1:22" s="86" customFormat="1" ht="13.8" hidden="1">
      <c r="B190" s="358" t="s">
        <v>336</v>
      </c>
      <c r="D190" s="359">
        <f>SUM(D111:D189)</f>
        <v>0</v>
      </c>
      <c r="E190" s="359">
        <f t="shared" ref="E190:S190" si="30">SUM(E111:E189)</f>
        <v>0</v>
      </c>
      <c r="F190" s="359">
        <f t="shared" si="30"/>
        <v>0</v>
      </c>
      <c r="G190" s="359">
        <f t="shared" si="30"/>
        <v>0</v>
      </c>
      <c r="H190" s="359">
        <f t="shared" si="30"/>
        <v>31.872015000000001</v>
      </c>
      <c r="I190" s="359">
        <f t="shared" si="30"/>
        <v>40.821300000000008</v>
      </c>
      <c r="J190" s="359">
        <f t="shared" si="30"/>
        <v>32.971049999999998</v>
      </c>
      <c r="K190" s="359">
        <f t="shared" si="30"/>
        <v>97.83295560000002</v>
      </c>
      <c r="L190" s="359">
        <f t="shared" si="30"/>
        <v>0.21980700000000003</v>
      </c>
      <c r="M190" s="359">
        <f t="shared" si="30"/>
        <v>0</v>
      </c>
      <c r="N190" s="359">
        <f t="shared" si="30"/>
        <v>0</v>
      </c>
      <c r="O190" s="359">
        <f t="shared" si="30"/>
        <v>0</v>
      </c>
      <c r="P190" s="359">
        <f t="shared" si="30"/>
        <v>0</v>
      </c>
      <c r="Q190" s="359">
        <f t="shared" si="30"/>
        <v>7.3792349999999995</v>
      </c>
      <c r="R190" s="359">
        <f t="shared" si="30"/>
        <v>9.9227160000000012</v>
      </c>
      <c r="S190" s="360">
        <f t="shared" si="30"/>
        <v>221.01907859999997</v>
      </c>
    </row>
    <row r="193" spans="1:19" ht="14.4" thickBot="1">
      <c r="A193" s="124" t="s">
        <v>447</v>
      </c>
      <c r="C193" s="362" t="s">
        <v>331</v>
      </c>
      <c r="D193" s="373">
        <f>D111+D121</f>
        <v>0</v>
      </c>
      <c r="E193" s="373">
        <f t="shared" ref="E193:R193" si="31">E111+E121</f>
        <v>0</v>
      </c>
      <c r="F193" s="373">
        <f t="shared" si="31"/>
        <v>0</v>
      </c>
      <c r="G193" s="373">
        <f t="shared" si="31"/>
        <v>0</v>
      </c>
      <c r="H193" s="373">
        <f t="shared" si="31"/>
        <v>0</v>
      </c>
      <c r="I193" s="373">
        <f t="shared" si="31"/>
        <v>40.821300000000008</v>
      </c>
      <c r="J193" s="373">
        <f t="shared" si="31"/>
        <v>32.971049999999998</v>
      </c>
      <c r="K193" s="373">
        <f t="shared" si="31"/>
        <v>50.873136912000007</v>
      </c>
      <c r="L193" s="373">
        <f t="shared" si="31"/>
        <v>0.21980700000000003</v>
      </c>
      <c r="M193" s="373">
        <f t="shared" si="31"/>
        <v>0</v>
      </c>
      <c r="N193" s="373">
        <f t="shared" si="31"/>
        <v>0</v>
      </c>
      <c r="O193" s="373">
        <f t="shared" si="31"/>
        <v>0</v>
      </c>
      <c r="P193" s="373">
        <f t="shared" si="31"/>
        <v>0</v>
      </c>
      <c r="Q193" s="373">
        <f t="shared" si="31"/>
        <v>5.5344262499999992</v>
      </c>
      <c r="R193" s="373">
        <f t="shared" si="31"/>
        <v>9.8234888399999984E-2</v>
      </c>
      <c r="S193" s="364">
        <f t="shared" ref="S193" si="32">S111+S121+S131+S141+S151+S161+S171+S181</f>
        <v>130.51795505040002</v>
      </c>
    </row>
    <row r="194" spans="1:19" ht="13.8">
      <c r="C194" s="362" t="s">
        <v>338</v>
      </c>
      <c r="D194" s="373">
        <f t="shared" ref="D194:R201" si="33">D112+D122</f>
        <v>0</v>
      </c>
      <c r="E194" s="373">
        <f t="shared" si="33"/>
        <v>0</v>
      </c>
      <c r="F194" s="373">
        <f t="shared" si="33"/>
        <v>0</v>
      </c>
      <c r="G194" s="373">
        <f t="shared" si="33"/>
        <v>0</v>
      </c>
      <c r="H194" s="373">
        <f t="shared" si="33"/>
        <v>0</v>
      </c>
      <c r="I194" s="373">
        <f t="shared" si="33"/>
        <v>0</v>
      </c>
      <c r="J194" s="373">
        <f t="shared" si="33"/>
        <v>0</v>
      </c>
      <c r="K194" s="373">
        <f t="shared" si="33"/>
        <v>0</v>
      </c>
      <c r="L194" s="373">
        <f t="shared" si="33"/>
        <v>0</v>
      </c>
      <c r="M194" s="373">
        <f t="shared" si="33"/>
        <v>0</v>
      </c>
      <c r="N194" s="373">
        <f t="shared" si="33"/>
        <v>0</v>
      </c>
      <c r="O194" s="373">
        <f t="shared" si="33"/>
        <v>0</v>
      </c>
      <c r="P194" s="373">
        <f t="shared" si="33"/>
        <v>0</v>
      </c>
      <c r="Q194" s="373">
        <f t="shared" si="33"/>
        <v>0</v>
      </c>
      <c r="R194" s="373">
        <f t="shared" si="33"/>
        <v>2.9768148000000001E-2</v>
      </c>
      <c r="S194" s="364">
        <f t="shared" ref="S194:S201" si="34">S112+S122+S132+S142+S152+S162+S172+S182</f>
        <v>2.9768148000000001E-2</v>
      </c>
    </row>
    <row r="195" spans="1:19" ht="13.8">
      <c r="C195" s="362" t="s">
        <v>339</v>
      </c>
      <c r="D195" s="373">
        <f t="shared" si="33"/>
        <v>0</v>
      </c>
      <c r="E195" s="373">
        <f t="shared" si="33"/>
        <v>0</v>
      </c>
      <c r="F195" s="373">
        <f t="shared" si="33"/>
        <v>0</v>
      </c>
      <c r="G195" s="373">
        <f t="shared" si="33"/>
        <v>0</v>
      </c>
      <c r="H195" s="373">
        <f t="shared" si="33"/>
        <v>28.684813500000001</v>
      </c>
      <c r="I195" s="373">
        <f t="shared" si="33"/>
        <v>0</v>
      </c>
      <c r="J195" s="373">
        <f t="shared" si="33"/>
        <v>0</v>
      </c>
      <c r="K195" s="373">
        <f t="shared" si="33"/>
        <v>44.318328886800003</v>
      </c>
      <c r="L195" s="373">
        <f t="shared" si="33"/>
        <v>0</v>
      </c>
      <c r="M195" s="373">
        <f t="shared" si="33"/>
        <v>0</v>
      </c>
      <c r="N195" s="373">
        <f t="shared" si="33"/>
        <v>0</v>
      </c>
      <c r="O195" s="373">
        <f t="shared" si="33"/>
        <v>0</v>
      </c>
      <c r="P195" s="373">
        <f t="shared" si="33"/>
        <v>0</v>
      </c>
      <c r="Q195" s="373">
        <f t="shared" si="33"/>
        <v>1.8448087499999999</v>
      </c>
      <c r="R195" s="373">
        <f t="shared" si="33"/>
        <v>0</v>
      </c>
      <c r="S195" s="364">
        <f t="shared" si="34"/>
        <v>74.847951136799992</v>
      </c>
    </row>
    <row r="196" spans="1:19" ht="13.8">
      <c r="C196" s="362" t="s">
        <v>340</v>
      </c>
      <c r="D196" s="373">
        <f t="shared" si="33"/>
        <v>0</v>
      </c>
      <c r="E196" s="373">
        <f t="shared" si="33"/>
        <v>0</v>
      </c>
      <c r="F196" s="373">
        <f t="shared" si="33"/>
        <v>0</v>
      </c>
      <c r="G196" s="373">
        <f t="shared" si="33"/>
        <v>0</v>
      </c>
      <c r="H196" s="373">
        <f t="shared" si="33"/>
        <v>3.1872014999999996</v>
      </c>
      <c r="I196" s="373">
        <f t="shared" si="33"/>
        <v>0</v>
      </c>
      <c r="J196" s="373">
        <f t="shared" si="33"/>
        <v>0</v>
      </c>
      <c r="K196" s="373">
        <f t="shared" si="33"/>
        <v>2.6414898012000023</v>
      </c>
      <c r="L196" s="373">
        <f t="shared" si="33"/>
        <v>0</v>
      </c>
      <c r="M196" s="373">
        <f t="shared" si="33"/>
        <v>0</v>
      </c>
      <c r="N196" s="373">
        <f t="shared" si="33"/>
        <v>0</v>
      </c>
      <c r="O196" s="373">
        <f t="shared" si="33"/>
        <v>0</v>
      </c>
      <c r="P196" s="373">
        <f t="shared" si="33"/>
        <v>0</v>
      </c>
      <c r="Q196" s="373">
        <f t="shared" si="33"/>
        <v>0</v>
      </c>
      <c r="R196" s="373">
        <f t="shared" si="33"/>
        <v>1.4884073999999998</v>
      </c>
      <c r="S196" s="364">
        <f t="shared" si="34"/>
        <v>7.3170987012000017</v>
      </c>
    </row>
    <row r="197" spans="1:19" ht="13.8">
      <c r="C197" s="362" t="s">
        <v>341</v>
      </c>
      <c r="D197" s="373">
        <f t="shared" si="33"/>
        <v>0</v>
      </c>
      <c r="E197" s="373">
        <f t="shared" si="33"/>
        <v>0</v>
      </c>
      <c r="F197" s="373">
        <f t="shared" si="33"/>
        <v>0</v>
      </c>
      <c r="G197" s="373">
        <f t="shared" si="33"/>
        <v>0</v>
      </c>
      <c r="H197" s="373">
        <f t="shared" si="33"/>
        <v>0</v>
      </c>
      <c r="I197" s="373">
        <f t="shared" si="33"/>
        <v>0</v>
      </c>
      <c r="J197" s="373">
        <f t="shared" si="33"/>
        <v>0</v>
      </c>
      <c r="K197" s="373">
        <f t="shared" si="33"/>
        <v>0</v>
      </c>
      <c r="L197" s="373">
        <f t="shared" si="33"/>
        <v>0</v>
      </c>
      <c r="M197" s="373">
        <f t="shared" si="33"/>
        <v>0</v>
      </c>
      <c r="N197" s="373">
        <f t="shared" si="33"/>
        <v>0</v>
      </c>
      <c r="O197" s="373">
        <f t="shared" si="33"/>
        <v>0</v>
      </c>
      <c r="P197" s="373">
        <f t="shared" si="33"/>
        <v>0</v>
      </c>
      <c r="Q197" s="373">
        <f t="shared" si="33"/>
        <v>0</v>
      </c>
      <c r="R197" s="373">
        <f t="shared" si="33"/>
        <v>2.67913332</v>
      </c>
      <c r="S197" s="364">
        <f t="shared" si="34"/>
        <v>2.67913332</v>
      </c>
    </row>
    <row r="198" spans="1:19" ht="13.8">
      <c r="C198" s="362" t="s">
        <v>342</v>
      </c>
      <c r="D198" s="373">
        <f t="shared" si="33"/>
        <v>0</v>
      </c>
      <c r="E198" s="373">
        <f t="shared" si="33"/>
        <v>0</v>
      </c>
      <c r="F198" s="373">
        <f t="shared" si="33"/>
        <v>0</v>
      </c>
      <c r="G198" s="373">
        <f t="shared" si="33"/>
        <v>0</v>
      </c>
      <c r="H198" s="373">
        <f t="shared" si="33"/>
        <v>0</v>
      </c>
      <c r="I198" s="373">
        <f t="shared" si="33"/>
        <v>0</v>
      </c>
      <c r="J198" s="373">
        <f t="shared" si="33"/>
        <v>0</v>
      </c>
      <c r="K198" s="373">
        <f t="shared" si="33"/>
        <v>0</v>
      </c>
      <c r="L198" s="373">
        <f t="shared" si="33"/>
        <v>0</v>
      </c>
      <c r="M198" s="373">
        <f t="shared" si="33"/>
        <v>0</v>
      </c>
      <c r="N198" s="373">
        <f t="shared" si="33"/>
        <v>0</v>
      </c>
      <c r="O198" s="373">
        <f t="shared" si="33"/>
        <v>0</v>
      </c>
      <c r="P198" s="373">
        <f t="shared" si="33"/>
        <v>0</v>
      </c>
      <c r="Q198" s="373">
        <f t="shared" si="33"/>
        <v>0</v>
      </c>
      <c r="R198" s="373">
        <f t="shared" si="33"/>
        <v>1.68686172</v>
      </c>
      <c r="S198" s="364">
        <f t="shared" si="34"/>
        <v>1.68686172</v>
      </c>
    </row>
    <row r="199" spans="1:19" ht="13.8">
      <c r="C199" s="362" t="s">
        <v>343</v>
      </c>
      <c r="D199" s="373">
        <f t="shared" si="33"/>
        <v>0</v>
      </c>
      <c r="E199" s="373">
        <f t="shared" si="33"/>
        <v>0</v>
      </c>
      <c r="F199" s="373">
        <f t="shared" si="33"/>
        <v>0</v>
      </c>
      <c r="G199" s="373">
        <f t="shared" si="33"/>
        <v>0</v>
      </c>
      <c r="H199" s="373">
        <f t="shared" si="33"/>
        <v>0</v>
      </c>
      <c r="I199" s="373">
        <f t="shared" si="33"/>
        <v>0</v>
      </c>
      <c r="J199" s="373">
        <f t="shared" si="33"/>
        <v>0</v>
      </c>
      <c r="K199" s="373">
        <f t="shared" si="33"/>
        <v>0</v>
      </c>
      <c r="L199" s="373">
        <f t="shared" si="33"/>
        <v>0</v>
      </c>
      <c r="M199" s="373">
        <f t="shared" si="33"/>
        <v>0</v>
      </c>
      <c r="N199" s="373">
        <f t="shared" si="33"/>
        <v>0</v>
      </c>
      <c r="O199" s="373">
        <f t="shared" si="33"/>
        <v>0</v>
      </c>
      <c r="P199" s="373">
        <f t="shared" si="33"/>
        <v>0</v>
      </c>
      <c r="Q199" s="373">
        <f t="shared" si="33"/>
        <v>0</v>
      </c>
      <c r="R199" s="373">
        <f t="shared" si="33"/>
        <v>0.74420369999999991</v>
      </c>
      <c r="S199" s="364">
        <f t="shared" si="34"/>
        <v>0.74420369999999991</v>
      </c>
    </row>
    <row r="200" spans="1:19" ht="13.8">
      <c r="C200" s="362" t="s">
        <v>344</v>
      </c>
      <c r="D200" s="373">
        <f t="shared" si="33"/>
        <v>0</v>
      </c>
      <c r="E200" s="373">
        <f t="shared" si="33"/>
        <v>0</v>
      </c>
      <c r="F200" s="373">
        <f t="shared" si="33"/>
        <v>0</v>
      </c>
      <c r="G200" s="373">
        <f t="shared" si="33"/>
        <v>0</v>
      </c>
      <c r="H200" s="373">
        <f t="shared" si="33"/>
        <v>0</v>
      </c>
      <c r="I200" s="373">
        <f t="shared" si="33"/>
        <v>0</v>
      </c>
      <c r="J200" s="373">
        <f t="shared" si="33"/>
        <v>0</v>
      </c>
      <c r="K200" s="373">
        <f t="shared" si="33"/>
        <v>0</v>
      </c>
      <c r="L200" s="373">
        <f t="shared" si="33"/>
        <v>0</v>
      </c>
      <c r="M200" s="373">
        <f t="shared" si="33"/>
        <v>0</v>
      </c>
      <c r="N200" s="373">
        <f t="shared" si="33"/>
        <v>0</v>
      </c>
      <c r="O200" s="373">
        <f t="shared" si="33"/>
        <v>0</v>
      </c>
      <c r="P200" s="373">
        <f t="shared" si="33"/>
        <v>0</v>
      </c>
      <c r="Q200" s="373">
        <f t="shared" si="33"/>
        <v>0</v>
      </c>
      <c r="R200" s="373">
        <f t="shared" si="33"/>
        <v>9.9227159999999998E-3</v>
      </c>
      <c r="S200" s="364">
        <f t="shared" si="34"/>
        <v>9.9227159999999998E-3</v>
      </c>
    </row>
    <row r="201" spans="1:19" ht="13.8">
      <c r="C201" s="362" t="s">
        <v>443</v>
      </c>
      <c r="D201" s="373">
        <f t="shared" si="33"/>
        <v>0</v>
      </c>
      <c r="E201" s="373">
        <f t="shared" si="33"/>
        <v>0</v>
      </c>
      <c r="F201" s="373">
        <f t="shared" si="33"/>
        <v>0</v>
      </c>
      <c r="G201" s="373">
        <f t="shared" si="33"/>
        <v>0</v>
      </c>
      <c r="H201" s="373">
        <f t="shared" si="33"/>
        <v>0</v>
      </c>
      <c r="I201" s="373">
        <f t="shared" si="33"/>
        <v>0</v>
      </c>
      <c r="J201" s="373">
        <f t="shared" si="33"/>
        <v>0</v>
      </c>
      <c r="K201" s="373">
        <f t="shared" si="33"/>
        <v>0</v>
      </c>
      <c r="L201" s="373">
        <f t="shared" si="33"/>
        <v>0</v>
      </c>
      <c r="M201" s="373">
        <f t="shared" si="33"/>
        <v>0</v>
      </c>
      <c r="N201" s="373">
        <f t="shared" si="33"/>
        <v>0</v>
      </c>
      <c r="O201" s="373">
        <f t="shared" si="33"/>
        <v>0</v>
      </c>
      <c r="P201" s="373">
        <f t="shared" si="33"/>
        <v>0</v>
      </c>
      <c r="Q201" s="373">
        <f t="shared" si="33"/>
        <v>0</v>
      </c>
      <c r="R201" s="373">
        <f t="shared" si="33"/>
        <v>3.1861841075999999</v>
      </c>
      <c r="S201" s="364">
        <f t="shared" si="34"/>
        <v>3.1861841075999999</v>
      </c>
    </row>
    <row r="202" spans="1:19" ht="13.8">
      <c r="D202" s="359">
        <f>SUM(D193:D201)</f>
        <v>0</v>
      </c>
      <c r="E202" s="359">
        <f t="shared" ref="E202:S202" si="35">SUM(E193:E201)</f>
        <v>0</v>
      </c>
      <c r="F202" s="359">
        <f t="shared" si="35"/>
        <v>0</v>
      </c>
      <c r="G202" s="359">
        <f t="shared" si="35"/>
        <v>0</v>
      </c>
      <c r="H202" s="359">
        <f t="shared" si="35"/>
        <v>31.872015000000001</v>
      </c>
      <c r="I202" s="359">
        <f t="shared" si="35"/>
        <v>40.821300000000008</v>
      </c>
      <c r="J202" s="359">
        <f t="shared" si="35"/>
        <v>32.971049999999998</v>
      </c>
      <c r="K202" s="359">
        <f t="shared" si="35"/>
        <v>97.83295560000002</v>
      </c>
      <c r="L202" s="359">
        <f t="shared" si="35"/>
        <v>0.21980700000000003</v>
      </c>
      <c r="M202" s="359">
        <f t="shared" si="35"/>
        <v>0</v>
      </c>
      <c r="N202" s="359">
        <f t="shared" si="35"/>
        <v>0</v>
      </c>
      <c r="O202" s="359">
        <f t="shared" si="35"/>
        <v>0</v>
      </c>
      <c r="P202" s="359">
        <f t="shared" si="35"/>
        <v>0</v>
      </c>
      <c r="Q202" s="359">
        <f t="shared" si="35"/>
        <v>7.3792349999999995</v>
      </c>
      <c r="R202" s="359">
        <f t="shared" si="35"/>
        <v>9.9227160000000012</v>
      </c>
      <c r="S202" s="359">
        <f t="shared" si="35"/>
        <v>221.0190786</v>
      </c>
    </row>
    <row r="203" spans="1:19" ht="13.8">
      <c r="C203" s="365" t="s">
        <v>448</v>
      </c>
      <c r="D203" s="183" t="e">
        <f>#REF!-D202</f>
        <v>#REF!</v>
      </c>
      <c r="E203" s="183">
        <f t="shared" ref="E203:S203" si="36">E5-E202</f>
        <v>0</v>
      </c>
      <c r="F203" s="183">
        <f t="shared" si="36"/>
        <v>0</v>
      </c>
      <c r="G203" s="183">
        <f t="shared" si="36"/>
        <v>0</v>
      </c>
      <c r="H203" s="183">
        <f t="shared" si="36"/>
        <v>0</v>
      </c>
      <c r="I203" s="183">
        <f t="shared" si="36"/>
        <v>0</v>
      </c>
      <c r="J203" s="183">
        <f t="shared" si="36"/>
        <v>0</v>
      </c>
      <c r="K203" s="183">
        <f t="shared" si="36"/>
        <v>0</v>
      </c>
      <c r="L203" s="183">
        <f t="shared" si="36"/>
        <v>0</v>
      </c>
      <c r="M203" s="183">
        <f t="shared" si="36"/>
        <v>0</v>
      </c>
      <c r="N203" s="183">
        <f t="shared" si="36"/>
        <v>0</v>
      </c>
      <c r="O203" s="183">
        <f t="shared" si="36"/>
        <v>0</v>
      </c>
      <c r="P203" s="183">
        <f t="shared" si="36"/>
        <v>0</v>
      </c>
      <c r="Q203" s="183">
        <f t="shared" si="36"/>
        <v>0</v>
      </c>
      <c r="R203" s="183">
        <f t="shared" si="36"/>
        <v>0</v>
      </c>
      <c r="S203" s="183">
        <f t="shared" si="36"/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2:P11"/>
  <sheetViews>
    <sheetView zoomScale="70" zoomScaleNormal="70" workbookViewId="0">
      <selection sqref="A1:XFD1048576"/>
    </sheetView>
  </sheetViews>
  <sheetFormatPr defaultColWidth="9.109375" defaultRowHeight="17.25" customHeight="1"/>
  <cols>
    <col min="1" max="1" width="9.109375" style="5"/>
    <col min="2" max="2" width="13.44140625" style="5" bestFit="1" customWidth="1"/>
    <col min="3" max="3" width="13.44140625" style="5" customWidth="1"/>
    <col min="4" max="4" width="13.44140625" style="5" bestFit="1" customWidth="1"/>
    <col min="5" max="5" width="14.5546875" style="5" bestFit="1" customWidth="1"/>
    <col min="6" max="7" width="13.109375" style="5" bestFit="1" customWidth="1"/>
    <col min="8" max="8" width="13.44140625" style="5" bestFit="1" customWidth="1"/>
    <col min="9" max="9" width="14" style="5" bestFit="1" customWidth="1"/>
    <col min="10" max="10" width="13.6640625" style="5" bestFit="1" customWidth="1"/>
    <col min="11" max="11" width="13.109375" style="5" bestFit="1" customWidth="1"/>
    <col min="12" max="12" width="13.88671875" style="5" bestFit="1" customWidth="1"/>
    <col min="13" max="13" width="13.44140625" style="5" bestFit="1" customWidth="1"/>
    <col min="14" max="14" width="13.6640625" style="5" bestFit="1" customWidth="1"/>
    <col min="15" max="15" width="9.109375" style="5"/>
    <col min="16" max="16" width="106.6640625" style="5" bestFit="1" customWidth="1"/>
    <col min="17" max="16384" width="9.109375" style="5"/>
  </cols>
  <sheetData>
    <row r="2" spans="1:16" ht="17.25" customHeight="1">
      <c r="B2" s="105" t="s">
        <v>18</v>
      </c>
      <c r="C2" s="105"/>
    </row>
    <row r="3" spans="1:16" ht="17.25" customHeight="1">
      <c r="B3" s="113" t="s">
        <v>0</v>
      </c>
      <c r="C3" s="114" t="str">
        <f>RSD_En_Balance!E6</f>
        <v>RSDCOABIC</v>
      </c>
      <c r="D3" s="114" t="str">
        <f>Commodities!D32</f>
        <v>RSDCOASUB</v>
      </c>
      <c r="E3" s="114" t="str">
        <f>Commodities!D33</f>
        <v>RSDCOABCO</v>
      </c>
      <c r="F3" s="114" t="str">
        <f>Commodities!D34</f>
        <v>RSDOILDSL</v>
      </c>
      <c r="G3" s="114" t="str">
        <f>Commodities!D35</f>
        <v>RSDOILLPG</v>
      </c>
      <c r="H3" s="114" t="str">
        <f>Commodities!D36</f>
        <v>RSDOILHFO</v>
      </c>
      <c r="I3" s="114" t="str">
        <f>Commodities!D37</f>
        <v>RSDGASNAT</v>
      </c>
      <c r="J3" s="114" t="str">
        <f>Commodities!D38</f>
        <v>RSDBIOLOG</v>
      </c>
      <c r="K3" s="114" t="str">
        <f>Commodities!D42</f>
        <v>RSDBIOPLT</v>
      </c>
      <c r="L3" s="114" t="str">
        <f>Commodities!D43</f>
        <v>RSDBIOCHR</v>
      </c>
      <c r="M3" s="114" t="str">
        <f>Commodities!D39</f>
        <v>RSDBIODSL</v>
      </c>
      <c r="N3" s="114" t="str">
        <f>Commodities!D41</f>
        <v>RSDBIOBGS</v>
      </c>
      <c r="P3" s="114" t="s">
        <v>316</v>
      </c>
    </row>
    <row r="4" spans="1:16" ht="17.25" customHeight="1" thickBot="1">
      <c r="B4" s="115" t="s">
        <v>49</v>
      </c>
      <c r="C4" s="116" t="str">
        <f>General!$D$17</f>
        <v>kg/GJ</v>
      </c>
      <c r="D4" s="116" t="str">
        <f>General!$D$17</f>
        <v>kg/GJ</v>
      </c>
      <c r="E4" s="116" t="str">
        <f>General!$D$17</f>
        <v>kg/GJ</v>
      </c>
      <c r="F4" s="116" t="str">
        <f>General!$D$17</f>
        <v>kg/GJ</v>
      </c>
      <c r="G4" s="116" t="str">
        <f>General!$D$17</f>
        <v>kg/GJ</v>
      </c>
      <c r="H4" s="116" t="str">
        <f>General!$D$17</f>
        <v>kg/GJ</v>
      </c>
      <c r="I4" s="116" t="str">
        <f>General!$D$17</f>
        <v>kg/GJ</v>
      </c>
      <c r="J4" s="116" t="str">
        <f>General!$D$17</f>
        <v>kg/GJ</v>
      </c>
      <c r="K4" s="116" t="str">
        <f>General!$D$17</f>
        <v>kg/GJ</v>
      </c>
      <c r="L4" s="116" t="str">
        <f>General!$D$17</f>
        <v>kg/GJ</v>
      </c>
      <c r="M4" s="116" t="str">
        <f>General!$D$17</f>
        <v>kg/GJ</v>
      </c>
      <c r="N4" s="116" t="str">
        <f>General!$D$17</f>
        <v>kg/GJ</v>
      </c>
      <c r="P4" s="117"/>
    </row>
    <row r="5" spans="1:16" ht="17.25" customHeight="1">
      <c r="B5" s="99" t="str">
        <f>Commodities!P7</f>
        <v>RSDCO2</v>
      </c>
      <c r="C5" s="5">
        <v>95</v>
      </c>
      <c r="D5" s="5">
        <v>97</v>
      </c>
      <c r="E5" s="5">
        <v>101</v>
      </c>
      <c r="F5" s="5">
        <v>74.099999999999994</v>
      </c>
      <c r="G5" s="5">
        <v>63.1</v>
      </c>
      <c r="H5" s="5">
        <v>71.900000000000006</v>
      </c>
      <c r="I5" s="5">
        <v>56.1</v>
      </c>
      <c r="J5" s="5">
        <v>0</v>
      </c>
      <c r="K5" s="5">
        <v>0</v>
      </c>
      <c r="L5" s="5">
        <v>112</v>
      </c>
      <c r="M5" s="5">
        <v>0</v>
      </c>
      <c r="N5" s="5">
        <v>0</v>
      </c>
      <c r="P5" s="5" t="s">
        <v>390</v>
      </c>
    </row>
    <row r="6" spans="1:16" ht="17.25" customHeight="1">
      <c r="B6" s="99" t="str">
        <f>Commodities!P8</f>
        <v>RSDCH4</v>
      </c>
      <c r="C6" s="5">
        <f>(300/1000)*28</f>
        <v>8.4</v>
      </c>
      <c r="D6" s="5">
        <f>(300/1000)*28</f>
        <v>8.4</v>
      </c>
      <c r="E6" s="5">
        <f>(300/1000)*28</f>
        <v>8.4</v>
      </c>
      <c r="F6" s="5">
        <f>(10/1000)*28</f>
        <v>0.28000000000000003</v>
      </c>
      <c r="G6" s="5">
        <f>(5/1000)*28</f>
        <v>0.14000000000000001</v>
      </c>
      <c r="H6" s="5">
        <f>(10/1000)*28</f>
        <v>0.28000000000000003</v>
      </c>
      <c r="I6" s="5">
        <f>(5/1000)*28</f>
        <v>0.14000000000000001</v>
      </c>
      <c r="J6" s="5">
        <f>(300/1000)*28</f>
        <v>8.4</v>
      </c>
      <c r="K6" s="5">
        <f>(300/1000)*28</f>
        <v>8.4</v>
      </c>
      <c r="L6" s="5">
        <f>(200/1000)*28</f>
        <v>5.6000000000000005</v>
      </c>
      <c r="M6" s="5">
        <f>(10/1000)*28</f>
        <v>0.28000000000000003</v>
      </c>
      <c r="N6" s="5">
        <f>(5/1000)*28</f>
        <v>0.14000000000000001</v>
      </c>
      <c r="P6" s="5">
        <v>28</v>
      </c>
    </row>
    <row r="7" spans="1:16" ht="17.25" customHeight="1">
      <c r="A7" s="8"/>
      <c r="B7" s="99" t="str">
        <f>Commodities!P9</f>
        <v>RSDN2O</v>
      </c>
      <c r="C7" s="5">
        <f>(1.5/1000)*265</f>
        <v>0.39750000000000002</v>
      </c>
      <c r="D7" s="5">
        <f>(1.5/1000)*265</f>
        <v>0.39750000000000002</v>
      </c>
      <c r="E7" s="5">
        <f>(1.5/1000)*265</f>
        <v>0.39750000000000002</v>
      </c>
      <c r="F7" s="5">
        <f>(0.6/1000)*265</f>
        <v>0.15899999999999997</v>
      </c>
      <c r="G7" s="5">
        <f>(0.1/1000)*265</f>
        <v>2.6500000000000003E-2</v>
      </c>
      <c r="H7" s="5">
        <f>(0.6/1000)*265</f>
        <v>0.15899999999999997</v>
      </c>
      <c r="I7" s="5">
        <f>(0.1/1000)*265</f>
        <v>2.6500000000000003E-2</v>
      </c>
      <c r="J7" s="5">
        <f>(4/1000)*265</f>
        <v>1.06</v>
      </c>
      <c r="K7" s="5">
        <f>(4/1000)*265</f>
        <v>1.06</v>
      </c>
      <c r="L7" s="5">
        <f>(1/1000)*265</f>
        <v>0.26500000000000001</v>
      </c>
      <c r="M7" s="5">
        <f>(0.6/1000)*265</f>
        <v>0.15899999999999997</v>
      </c>
      <c r="N7" s="5">
        <f>(0.1/1000)*265</f>
        <v>2.6500000000000003E-2</v>
      </c>
      <c r="P7" s="5">
        <v>265</v>
      </c>
    </row>
    <row r="8" spans="1:16" ht="17.25" customHeight="1">
      <c r="A8" s="8"/>
      <c r="B8" s="7"/>
      <c r="C8" s="7"/>
    </row>
    <row r="9" spans="1:16" ht="17.25" customHeight="1">
      <c r="A9" s="8"/>
      <c r="B9" s="8"/>
      <c r="C9" s="8"/>
    </row>
    <row r="10" spans="1:16" ht="17.25" customHeight="1">
      <c r="A10" s="8"/>
      <c r="B10" s="8"/>
      <c r="C10" s="8"/>
    </row>
    <row r="11" spans="1:16" ht="17.25" customHeight="1">
      <c r="A11" s="8"/>
      <c r="B11" s="8"/>
      <c r="C11" s="8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B1:AH88"/>
  <sheetViews>
    <sheetView topLeftCell="B1" zoomScale="70" zoomScaleNormal="70" workbookViewId="0">
      <selection activeCell="B1" sqref="A1:XFD1048576"/>
    </sheetView>
  </sheetViews>
  <sheetFormatPr defaultColWidth="9.109375" defaultRowHeight="13.8"/>
  <cols>
    <col min="1" max="1" width="0" style="5" hidden="1" customWidth="1"/>
    <col min="2" max="2" width="12.33203125" style="5" customWidth="1"/>
    <col min="3" max="3" width="14.44140625" style="5" bestFit="1" customWidth="1"/>
    <col min="4" max="4" width="18.88671875" style="5" bestFit="1" customWidth="1"/>
    <col min="5" max="5" width="37.44140625" style="5" customWidth="1"/>
    <col min="6" max="6" width="7.109375" style="5" bestFit="1" customWidth="1"/>
    <col min="7" max="7" width="19.44140625" style="5" customWidth="1"/>
    <col min="8" max="8" width="15.6640625" style="5" bestFit="1" customWidth="1"/>
    <col min="9" max="9" width="17.5546875" style="5" bestFit="1" customWidth="1"/>
    <col min="10" max="10" width="12.44140625" style="5" customWidth="1"/>
    <col min="11" max="11" width="3.6640625" style="5" hidden="1" customWidth="1"/>
    <col min="12" max="12" width="38.88671875" style="5" bestFit="1" customWidth="1"/>
    <col min="13" max="13" width="9.109375" style="5" customWidth="1"/>
    <col min="14" max="14" width="30.33203125" style="5" bestFit="1" customWidth="1"/>
    <col min="15" max="15" width="14.44140625" style="5" bestFit="1" customWidth="1"/>
    <col min="16" max="16" width="18.88671875" style="5" bestFit="1" customWidth="1"/>
    <col min="17" max="17" width="34.6640625" style="5" bestFit="1" customWidth="1"/>
    <col min="18" max="18" width="7.109375" style="5" bestFit="1" customWidth="1"/>
    <col min="19" max="19" width="21.44140625" style="5" bestFit="1" customWidth="1"/>
    <col min="20" max="20" width="15.6640625" style="5" bestFit="1" customWidth="1"/>
    <col min="21" max="21" width="17.5546875" style="5" bestFit="1" customWidth="1"/>
    <col min="22" max="22" width="20.44140625" style="5" bestFit="1" customWidth="1"/>
    <col min="23" max="23" width="14" style="5" customWidth="1"/>
    <col min="24" max="24" width="9.109375" style="5"/>
    <col min="25" max="25" width="17.33203125" style="5" bestFit="1" customWidth="1"/>
    <col min="26" max="26" width="14.44140625" style="5" bestFit="1" customWidth="1"/>
    <col min="27" max="27" width="32.109375" style="5" customWidth="1"/>
    <col min="28" max="28" width="39.5546875" style="5" bestFit="1" customWidth="1"/>
    <col min="29" max="29" width="15.6640625" style="5" bestFit="1" customWidth="1"/>
    <col min="30" max="30" width="27.109375" style="5" bestFit="1" customWidth="1"/>
    <col min="31" max="31" width="15.6640625" style="5" bestFit="1" customWidth="1"/>
    <col min="32" max="32" width="17.5546875" style="5" bestFit="1" customWidth="1"/>
    <col min="33" max="33" width="11" style="5" bestFit="1" customWidth="1"/>
    <col min="34" max="16384" width="9.109375" style="5"/>
  </cols>
  <sheetData>
    <row r="1" spans="2:33">
      <c r="B1" s="86" t="s">
        <v>51</v>
      </c>
    </row>
    <row r="4" spans="2:33">
      <c r="B4" s="106" t="s">
        <v>16</v>
      </c>
      <c r="C4" s="106"/>
      <c r="D4" s="87"/>
      <c r="E4" s="87"/>
      <c r="F4" s="87"/>
      <c r="G4" s="87"/>
      <c r="H4" s="87"/>
      <c r="I4" s="87"/>
      <c r="J4" s="87"/>
      <c r="N4" s="106" t="s">
        <v>16</v>
      </c>
      <c r="O4" s="106"/>
      <c r="P4" s="87"/>
      <c r="Q4" s="87"/>
      <c r="R4" s="87"/>
      <c r="S4" s="87"/>
      <c r="T4" s="87"/>
      <c r="U4" s="87"/>
      <c r="V4" s="87"/>
      <c r="Y4" s="106" t="s">
        <v>16</v>
      </c>
      <c r="Z4" s="106"/>
      <c r="AA4" s="87"/>
      <c r="AB4" s="87"/>
      <c r="AC4" s="87"/>
      <c r="AD4" s="87"/>
      <c r="AE4" s="87"/>
      <c r="AF4" s="87"/>
      <c r="AG4" s="87"/>
    </row>
    <row r="5" spans="2:33">
      <c r="B5" s="107" t="s">
        <v>9</v>
      </c>
      <c r="C5" s="91" t="s">
        <v>34</v>
      </c>
      <c r="D5" s="107" t="s">
        <v>0</v>
      </c>
      <c r="E5" s="107" t="s">
        <v>4</v>
      </c>
      <c r="F5" s="108" t="s">
        <v>5</v>
      </c>
      <c r="G5" s="108" t="s">
        <v>10</v>
      </c>
      <c r="H5" s="108" t="s">
        <v>11</v>
      </c>
      <c r="I5" s="108" t="s">
        <v>12</v>
      </c>
      <c r="J5" s="108" t="s">
        <v>14</v>
      </c>
      <c r="N5" s="107" t="s">
        <v>9</v>
      </c>
      <c r="O5" s="91" t="s">
        <v>34</v>
      </c>
      <c r="P5" s="107" t="s">
        <v>0</v>
      </c>
      <c r="Q5" s="107" t="s">
        <v>4</v>
      </c>
      <c r="R5" s="108" t="s">
        <v>5</v>
      </c>
      <c r="S5" s="108" t="s">
        <v>10</v>
      </c>
      <c r="T5" s="108" t="s">
        <v>11</v>
      </c>
      <c r="U5" s="108" t="s">
        <v>12</v>
      </c>
      <c r="V5" s="108" t="s">
        <v>14</v>
      </c>
      <c r="Y5" s="107" t="s">
        <v>9</v>
      </c>
      <c r="Z5" s="91" t="s">
        <v>34</v>
      </c>
      <c r="AA5" s="107" t="s">
        <v>0</v>
      </c>
      <c r="AB5" s="107" t="s">
        <v>4</v>
      </c>
      <c r="AC5" s="108" t="s">
        <v>5</v>
      </c>
      <c r="AD5" s="108" t="s">
        <v>10</v>
      </c>
      <c r="AE5" s="108" t="s">
        <v>11</v>
      </c>
      <c r="AF5" s="108" t="s">
        <v>12</v>
      </c>
      <c r="AG5" s="108" t="s">
        <v>14</v>
      </c>
    </row>
    <row r="6" spans="2:33" s="111" customFormat="1" ht="28.5" customHeight="1" thickBot="1">
      <c r="B6" s="109" t="s">
        <v>43</v>
      </c>
      <c r="C6" s="110" t="s">
        <v>35</v>
      </c>
      <c r="D6" s="109" t="s">
        <v>30</v>
      </c>
      <c r="E6" s="109" t="s">
        <v>31</v>
      </c>
      <c r="F6" s="109" t="s">
        <v>5</v>
      </c>
      <c r="G6" s="109" t="s">
        <v>45</v>
      </c>
      <c r="H6" s="109" t="s">
        <v>46</v>
      </c>
      <c r="I6" s="109" t="s">
        <v>32</v>
      </c>
      <c r="J6" s="109" t="s">
        <v>33</v>
      </c>
      <c r="L6" s="5"/>
      <c r="N6" s="109" t="s">
        <v>43</v>
      </c>
      <c r="O6" s="110" t="s">
        <v>35</v>
      </c>
      <c r="P6" s="109" t="s">
        <v>30</v>
      </c>
      <c r="Q6" s="109" t="s">
        <v>31</v>
      </c>
      <c r="R6" s="109" t="s">
        <v>5</v>
      </c>
      <c r="S6" s="109" t="s">
        <v>45</v>
      </c>
      <c r="T6" s="109" t="s">
        <v>46</v>
      </c>
      <c r="U6" s="109" t="s">
        <v>32</v>
      </c>
      <c r="V6" s="109" t="s">
        <v>33</v>
      </c>
      <c r="Y6" s="109" t="s">
        <v>43</v>
      </c>
      <c r="Z6" s="110" t="s">
        <v>35</v>
      </c>
      <c r="AA6" s="109" t="s">
        <v>30</v>
      </c>
      <c r="AB6" s="109" t="s">
        <v>31</v>
      </c>
      <c r="AC6" s="109" t="s">
        <v>5</v>
      </c>
      <c r="AD6" s="109" t="s">
        <v>45</v>
      </c>
      <c r="AE6" s="109" t="s">
        <v>46</v>
      </c>
      <c r="AF6" s="109" t="s">
        <v>32</v>
      </c>
      <c r="AG6" s="109" t="s">
        <v>33</v>
      </c>
    </row>
    <row r="7" spans="2:33">
      <c r="B7" s="5" t="s">
        <v>52</v>
      </c>
      <c r="D7" s="5" t="s">
        <v>54</v>
      </c>
      <c r="E7" s="5" t="s">
        <v>698</v>
      </c>
      <c r="F7" s="85" t="str">
        <f>General!$B$2</f>
        <v>PJ</v>
      </c>
      <c r="N7" s="5" t="s">
        <v>132</v>
      </c>
      <c r="P7" s="5" t="s">
        <v>134</v>
      </c>
      <c r="Q7" s="5" t="s">
        <v>135</v>
      </c>
      <c r="R7" s="85" t="str">
        <f>General!$B$4</f>
        <v>Gg</v>
      </c>
      <c r="Y7" s="86" t="s">
        <v>273</v>
      </c>
      <c r="AA7" s="5" t="s">
        <v>473</v>
      </c>
      <c r="AB7" s="5" t="s">
        <v>469</v>
      </c>
      <c r="AC7" s="85" t="str">
        <f>General!$D$22</f>
        <v>000dwellings</v>
      </c>
    </row>
    <row r="8" spans="2:33">
      <c r="D8" s="5" t="s">
        <v>699</v>
      </c>
      <c r="E8" s="5" t="s">
        <v>407</v>
      </c>
      <c r="F8" s="85" t="str">
        <f>General!$B$2</f>
        <v>PJ</v>
      </c>
      <c r="P8" s="5" t="s">
        <v>136</v>
      </c>
      <c r="Q8" s="5" t="s">
        <v>137</v>
      </c>
      <c r="R8" s="85" t="str">
        <f>General!$B$4</f>
        <v>Gg</v>
      </c>
      <c r="AA8" s="5" t="s">
        <v>474</v>
      </c>
      <c r="AB8" s="5" t="s">
        <v>862</v>
      </c>
      <c r="AC8" s="85" t="str">
        <f>General!$D$22</f>
        <v>000dwellings</v>
      </c>
    </row>
    <row r="9" spans="2:33">
      <c r="D9" s="5" t="s">
        <v>700</v>
      </c>
      <c r="E9" s="5" t="s">
        <v>701</v>
      </c>
      <c r="F9" s="85" t="str">
        <f>General!$B$2</f>
        <v>PJ</v>
      </c>
      <c r="P9" s="5" t="s">
        <v>138</v>
      </c>
      <c r="Q9" s="5" t="s">
        <v>139</v>
      </c>
      <c r="R9" s="85" t="str">
        <f>General!$B$4</f>
        <v>Gg</v>
      </c>
      <c r="AA9" s="5" t="s">
        <v>475</v>
      </c>
      <c r="AB9" s="5" t="s">
        <v>470</v>
      </c>
      <c r="AC9" s="85" t="str">
        <f>General!$D$22</f>
        <v>000dwellings</v>
      </c>
    </row>
    <row r="10" spans="2:33">
      <c r="D10" s="5" t="s">
        <v>58</v>
      </c>
      <c r="E10" s="5" t="s">
        <v>59</v>
      </c>
      <c r="F10" s="85" t="str">
        <f>General!$B$2</f>
        <v>PJ</v>
      </c>
      <c r="AA10" s="5" t="s">
        <v>476</v>
      </c>
      <c r="AB10" s="5" t="s">
        <v>863</v>
      </c>
      <c r="AC10" s="85" t="str">
        <f>General!$D$22</f>
        <v>000dwellings</v>
      </c>
    </row>
    <row r="11" spans="2:33">
      <c r="D11" s="5" t="s">
        <v>61</v>
      </c>
      <c r="E11" s="5" t="s">
        <v>62</v>
      </c>
      <c r="F11" s="85" t="str">
        <f>General!$B$2</f>
        <v>PJ</v>
      </c>
      <c r="AA11" s="5" t="s">
        <v>477</v>
      </c>
      <c r="AB11" s="5" t="s">
        <v>471</v>
      </c>
      <c r="AC11" s="85" t="str">
        <f>General!$D$22</f>
        <v>000dwellings</v>
      </c>
    </row>
    <row r="12" spans="2:33">
      <c r="D12" s="5" t="s">
        <v>63</v>
      </c>
      <c r="E12" s="5" t="s">
        <v>64</v>
      </c>
      <c r="F12" s="85" t="str">
        <f>General!$B$2</f>
        <v>PJ</v>
      </c>
      <c r="AA12" s="5" t="s">
        <v>478</v>
      </c>
      <c r="AB12" s="5" t="s">
        <v>864</v>
      </c>
      <c r="AC12" s="85" t="str">
        <f>General!$D$22</f>
        <v>000dwellings</v>
      </c>
    </row>
    <row r="13" spans="2:33">
      <c r="D13" s="5" t="s">
        <v>66</v>
      </c>
      <c r="E13" s="5" t="s">
        <v>67</v>
      </c>
      <c r="F13" s="85" t="str">
        <f>General!$B$2</f>
        <v>PJ</v>
      </c>
      <c r="AA13" s="5" t="s">
        <v>479</v>
      </c>
      <c r="AB13" s="5" t="s">
        <v>472</v>
      </c>
      <c r="AC13" s="85" t="str">
        <f>General!$D$22</f>
        <v>000dwellings</v>
      </c>
    </row>
    <row r="14" spans="2:33">
      <c r="D14" s="5" t="s">
        <v>1002</v>
      </c>
      <c r="E14" s="5" t="s">
        <v>166</v>
      </c>
      <c r="F14" s="85" t="s">
        <v>301</v>
      </c>
      <c r="AA14" s="5" t="s">
        <v>1012</v>
      </c>
      <c r="AB14" s="5" t="s">
        <v>1013</v>
      </c>
      <c r="AC14" s="85" t="str">
        <f>General!$D$22</f>
        <v>000dwellings</v>
      </c>
    </row>
    <row r="15" spans="2:33">
      <c r="D15" s="5" t="s">
        <v>68</v>
      </c>
      <c r="E15" s="5" t="s">
        <v>69</v>
      </c>
      <c r="F15" s="85" t="str">
        <f>General!$B$2</f>
        <v>PJ</v>
      </c>
      <c r="Y15" s="86" t="s">
        <v>52</v>
      </c>
      <c r="AA15" s="5" t="str">
        <f t="shared" ref="AA15:AA22" si="0">AA7&amp;"_SH"</f>
        <v>RSD_DTA1_SH</v>
      </c>
      <c r="AB15" s="5" t="s">
        <v>787</v>
      </c>
      <c r="AC15" s="85" t="str">
        <f>General!$B$2</f>
        <v>PJ</v>
      </c>
    </row>
    <row r="16" spans="2:33">
      <c r="D16" s="5" t="s">
        <v>70</v>
      </c>
      <c r="E16" s="5" t="s">
        <v>71</v>
      </c>
      <c r="F16" s="85" t="str">
        <f>General!$B$2</f>
        <v>PJ</v>
      </c>
      <c r="AA16" s="5" t="str">
        <f t="shared" si="0"/>
        <v>RSD_APA1_SH</v>
      </c>
      <c r="AB16" s="5" t="s">
        <v>788</v>
      </c>
      <c r="AC16" s="85" t="str">
        <f>General!$B$2</f>
        <v>PJ</v>
      </c>
    </row>
    <row r="17" spans="4:34">
      <c r="D17" s="5" t="s">
        <v>74</v>
      </c>
      <c r="E17" s="5" t="s">
        <v>75</v>
      </c>
      <c r="F17" s="85" t="str">
        <f>General!$B$2</f>
        <v>PJ</v>
      </c>
      <c r="AA17" s="5" t="str">
        <f t="shared" si="0"/>
        <v>RSD_DTA2_SH</v>
      </c>
      <c r="AB17" s="5" t="s">
        <v>805</v>
      </c>
      <c r="AC17" s="85" t="str">
        <f>General!$B$2</f>
        <v>PJ</v>
      </c>
    </row>
    <row r="18" spans="4:34">
      <c r="D18" s="5" t="s">
        <v>76</v>
      </c>
      <c r="E18" s="5" t="s">
        <v>77</v>
      </c>
      <c r="F18" s="85" t="str">
        <f>General!$B$2</f>
        <v>PJ</v>
      </c>
      <c r="AA18" s="5" t="str">
        <f t="shared" si="0"/>
        <v>RSD_APA2_SH</v>
      </c>
      <c r="AB18" s="5" t="s">
        <v>806</v>
      </c>
      <c r="AC18" s="85" t="str">
        <f>General!$B$2</f>
        <v>PJ</v>
      </c>
    </row>
    <row r="19" spans="4:34">
      <c r="D19" s="5" t="s">
        <v>78</v>
      </c>
      <c r="E19" s="5" t="s">
        <v>79</v>
      </c>
      <c r="F19" s="85" t="str">
        <f>General!$B$2</f>
        <v>PJ</v>
      </c>
      <c r="AA19" s="5" t="str">
        <f t="shared" si="0"/>
        <v>RSD_DTA3_SH</v>
      </c>
      <c r="AB19" s="5" t="s">
        <v>823</v>
      </c>
      <c r="AC19" s="85" t="str">
        <f>General!$B$2</f>
        <v>PJ</v>
      </c>
    </row>
    <row r="20" spans="4:34">
      <c r="D20" s="5" t="s">
        <v>80</v>
      </c>
      <c r="E20" s="5" t="s">
        <v>81</v>
      </c>
      <c r="F20" s="85" t="str">
        <f>General!$B$2</f>
        <v>PJ</v>
      </c>
      <c r="AA20" s="5" t="str">
        <f t="shared" si="0"/>
        <v>RSD_APA3_SH</v>
      </c>
      <c r="AB20" s="5" t="s">
        <v>824</v>
      </c>
      <c r="AC20" s="85" t="str">
        <f>General!$B$2</f>
        <v>PJ</v>
      </c>
    </row>
    <row r="21" spans="4:34">
      <c r="D21" s="5" t="s">
        <v>82</v>
      </c>
      <c r="E21" s="5" t="s">
        <v>83</v>
      </c>
      <c r="F21" s="85" t="str">
        <f>General!$B$2</f>
        <v>PJ</v>
      </c>
      <c r="AA21" s="5" t="str">
        <f t="shared" si="0"/>
        <v>RSD_DTA4_SH</v>
      </c>
      <c r="AB21" s="5" t="s">
        <v>840</v>
      </c>
      <c r="AC21" s="85" t="str">
        <f>General!$B$2</f>
        <v>PJ</v>
      </c>
    </row>
    <row r="22" spans="4:34">
      <c r="D22" s="5" t="s">
        <v>85</v>
      </c>
      <c r="E22" s="5" t="s">
        <v>86</v>
      </c>
      <c r="F22" s="85" t="str">
        <f>General!$B$2</f>
        <v>PJ</v>
      </c>
      <c r="Y22" s="100"/>
      <c r="Z22" s="100"/>
      <c r="AA22" s="100" t="str">
        <f t="shared" si="0"/>
        <v>RSD_APA4_SH</v>
      </c>
      <c r="AB22" s="100" t="s">
        <v>841</v>
      </c>
      <c r="AC22" s="101" t="str">
        <f>General!$B$2</f>
        <v>PJ</v>
      </c>
      <c r="AD22" s="100"/>
      <c r="AE22" s="100"/>
      <c r="AF22" s="100"/>
      <c r="AG22" s="100"/>
      <c r="AH22" s="100"/>
    </row>
    <row r="23" spans="4:34">
      <c r="D23" s="5" t="s">
        <v>84</v>
      </c>
      <c r="E23" s="5" t="s">
        <v>87</v>
      </c>
      <c r="F23" s="85" t="str">
        <f>General!$B$2</f>
        <v>PJ</v>
      </c>
      <c r="Y23" s="86"/>
      <c r="AA23" s="5" t="str">
        <f t="shared" ref="AA23:AA30" si="1">AA7&amp;"_WH"</f>
        <v>RSD_DTA1_WH</v>
      </c>
      <c r="AB23" s="5" t="s">
        <v>789</v>
      </c>
      <c r="AC23" s="85" t="str">
        <f>General!$B$2</f>
        <v>PJ</v>
      </c>
    </row>
    <row r="24" spans="4:34">
      <c r="D24" s="5" t="s">
        <v>88</v>
      </c>
      <c r="E24" s="5" t="s">
        <v>89</v>
      </c>
      <c r="F24" s="85" t="str">
        <f>General!$B$2</f>
        <v>PJ</v>
      </c>
      <c r="AA24" s="5" t="str">
        <f t="shared" si="1"/>
        <v>RSD_APA1_WH</v>
      </c>
      <c r="AB24" s="5" t="s">
        <v>790</v>
      </c>
      <c r="AC24" s="85" t="str">
        <f>General!$B$2</f>
        <v>PJ</v>
      </c>
    </row>
    <row r="25" spans="4:34">
      <c r="D25" s="5" t="s">
        <v>90</v>
      </c>
      <c r="E25" s="5" t="s">
        <v>91</v>
      </c>
      <c r="F25" s="85" t="str">
        <f>General!$B$2</f>
        <v>PJ</v>
      </c>
      <c r="AA25" s="5" t="str">
        <f t="shared" si="1"/>
        <v>RSD_DTA2_WH</v>
      </c>
      <c r="AB25" s="5" t="s">
        <v>807</v>
      </c>
      <c r="AC25" s="85" t="str">
        <f>General!$B$2</f>
        <v>PJ</v>
      </c>
    </row>
    <row r="26" spans="4:34">
      <c r="D26" s="5" t="s">
        <v>92</v>
      </c>
      <c r="E26" s="5" t="s">
        <v>93</v>
      </c>
      <c r="F26" s="85" t="str">
        <f>General!$B$2</f>
        <v>PJ</v>
      </c>
      <c r="AA26" s="5" t="str">
        <f t="shared" si="1"/>
        <v>RSD_APA2_WH</v>
      </c>
      <c r="AB26" s="5" t="s">
        <v>808</v>
      </c>
      <c r="AC26" s="85" t="str">
        <f>General!$B$2</f>
        <v>PJ</v>
      </c>
    </row>
    <row r="27" spans="4:34">
      <c r="D27" s="5" t="s">
        <v>94</v>
      </c>
      <c r="E27" s="5" t="s">
        <v>95</v>
      </c>
      <c r="F27" s="85" t="str">
        <f>General!$B$2</f>
        <v>PJ</v>
      </c>
      <c r="AA27" s="5" t="str">
        <f t="shared" si="1"/>
        <v>RSD_DTA3_WH</v>
      </c>
      <c r="AB27" s="5" t="s">
        <v>825</v>
      </c>
      <c r="AC27" s="85" t="str">
        <f>General!$B$2</f>
        <v>PJ</v>
      </c>
    </row>
    <row r="28" spans="4:34">
      <c r="D28" s="5" t="s">
        <v>96</v>
      </c>
      <c r="E28" s="5" t="s">
        <v>97</v>
      </c>
      <c r="F28" s="85" t="str">
        <f>General!$B$2</f>
        <v>PJ</v>
      </c>
      <c r="AA28" s="5" t="str">
        <f t="shared" si="1"/>
        <v>RSD_APA3_WH</v>
      </c>
      <c r="AB28" s="5" t="s">
        <v>826</v>
      </c>
      <c r="AC28" s="85" t="str">
        <f>General!$B$2</f>
        <v>PJ</v>
      </c>
    </row>
    <row r="29" spans="4:34">
      <c r="D29" s="5" t="s">
        <v>98</v>
      </c>
      <c r="E29" s="5" t="s">
        <v>99</v>
      </c>
      <c r="F29" s="85" t="str">
        <f>General!$B$2</f>
        <v>PJ</v>
      </c>
      <c r="AA29" s="5" t="str">
        <f t="shared" si="1"/>
        <v>RSD_DTA4_WH</v>
      </c>
      <c r="AB29" s="5" t="s">
        <v>842</v>
      </c>
      <c r="AC29" s="85" t="str">
        <f>General!$B$2</f>
        <v>PJ</v>
      </c>
    </row>
    <row r="30" spans="4:34">
      <c r="D30" s="5" t="s">
        <v>100</v>
      </c>
      <c r="E30" s="5" t="s">
        <v>101</v>
      </c>
      <c r="F30" s="85" t="str">
        <f>General!$B$2</f>
        <v>PJ</v>
      </c>
      <c r="Y30" s="100"/>
      <c r="Z30" s="100"/>
      <c r="AA30" s="100" t="str">
        <f t="shared" si="1"/>
        <v>RSD_APA4_WH</v>
      </c>
      <c r="AB30" s="100" t="s">
        <v>843</v>
      </c>
      <c r="AC30" s="101" t="str">
        <f>General!$B$2</f>
        <v>PJ</v>
      </c>
      <c r="AD30" s="100"/>
      <c r="AE30" s="100"/>
      <c r="AF30" s="100"/>
      <c r="AG30" s="100"/>
      <c r="AH30" s="100"/>
    </row>
    <row r="31" spans="4:34">
      <c r="D31" s="5" t="s">
        <v>859</v>
      </c>
      <c r="E31" s="5" t="s">
        <v>703</v>
      </c>
      <c r="F31" s="85" t="str">
        <f>General!$B$2</f>
        <v>PJ</v>
      </c>
      <c r="Y31" s="86"/>
      <c r="AA31" s="5" t="str">
        <f t="shared" ref="AA31:AA38" si="2">AA7&amp;"_SC"</f>
        <v>RSD_DTA1_SC</v>
      </c>
      <c r="AB31" s="5" t="s">
        <v>791</v>
      </c>
      <c r="AC31" s="85" t="str">
        <f>General!$B$2</f>
        <v>PJ</v>
      </c>
    </row>
    <row r="32" spans="4:34">
      <c r="D32" s="5" t="s">
        <v>702</v>
      </c>
      <c r="E32" s="5" t="s">
        <v>704</v>
      </c>
      <c r="F32" s="85" t="str">
        <f>General!$B$2</f>
        <v>PJ</v>
      </c>
      <c r="AA32" s="5" t="str">
        <f t="shared" si="2"/>
        <v>RSD_APA1_SC</v>
      </c>
      <c r="AB32" s="5" t="s">
        <v>792</v>
      </c>
      <c r="AC32" s="85" t="str">
        <f>General!$B$2</f>
        <v>PJ</v>
      </c>
    </row>
    <row r="33" spans="4:34">
      <c r="D33" s="5" t="s">
        <v>860</v>
      </c>
      <c r="E33" s="5" t="s">
        <v>705</v>
      </c>
      <c r="F33" s="85" t="str">
        <f>General!$B$2</f>
        <v>PJ</v>
      </c>
      <c r="AA33" s="5" t="str">
        <f t="shared" si="2"/>
        <v>RSD_DTA2_SC</v>
      </c>
      <c r="AB33" s="5" t="s">
        <v>809</v>
      </c>
      <c r="AC33" s="85" t="str">
        <f>General!$B$2</f>
        <v>PJ</v>
      </c>
    </row>
    <row r="34" spans="4:34">
      <c r="D34" s="5" t="s">
        <v>102</v>
      </c>
      <c r="E34" s="5" t="s">
        <v>103</v>
      </c>
      <c r="F34" s="85" t="str">
        <f>General!$B$2</f>
        <v>PJ</v>
      </c>
      <c r="AA34" s="5" t="str">
        <f t="shared" si="2"/>
        <v>RSD_APA2_SC</v>
      </c>
      <c r="AB34" s="5" t="s">
        <v>810</v>
      </c>
      <c r="AC34" s="85" t="str">
        <f>General!$B$2</f>
        <v>PJ</v>
      </c>
    </row>
    <row r="35" spans="4:34">
      <c r="D35" s="5" t="s">
        <v>104</v>
      </c>
      <c r="E35" s="5" t="s">
        <v>105</v>
      </c>
      <c r="F35" s="85" t="str">
        <f>General!$B$2</f>
        <v>PJ</v>
      </c>
      <c r="AA35" s="5" t="str">
        <f t="shared" si="2"/>
        <v>RSD_DTA3_SC</v>
      </c>
      <c r="AB35" s="5" t="s">
        <v>827</v>
      </c>
      <c r="AC35" s="85" t="str">
        <f>General!$B$2</f>
        <v>PJ</v>
      </c>
    </row>
    <row r="36" spans="4:34">
      <c r="D36" s="5" t="s">
        <v>1003</v>
      </c>
      <c r="E36" s="5" t="s">
        <v>1004</v>
      </c>
      <c r="F36" s="85" t="str">
        <f>General!$B$2</f>
        <v>PJ</v>
      </c>
      <c r="AA36" s="5" t="str">
        <f t="shared" si="2"/>
        <v>RSD_APA3_SC</v>
      </c>
      <c r="AB36" s="5" t="s">
        <v>844</v>
      </c>
      <c r="AC36" s="85" t="str">
        <f>General!$B$2</f>
        <v>PJ</v>
      </c>
    </row>
    <row r="37" spans="4:34">
      <c r="D37" s="5" t="s">
        <v>106</v>
      </c>
      <c r="E37" s="5" t="s">
        <v>107</v>
      </c>
      <c r="F37" s="85" t="str">
        <f>General!$B$2</f>
        <v>PJ</v>
      </c>
      <c r="G37" s="5" t="s">
        <v>990</v>
      </c>
      <c r="H37" s="5" t="s">
        <v>399</v>
      </c>
      <c r="AA37" s="5" t="str">
        <f t="shared" si="2"/>
        <v>RSD_DTA4_SC</v>
      </c>
      <c r="AB37" s="5" t="s">
        <v>845</v>
      </c>
      <c r="AC37" s="85" t="str">
        <f>General!$B$2</f>
        <v>PJ</v>
      </c>
    </row>
    <row r="38" spans="4:34">
      <c r="D38" s="5" t="s">
        <v>108</v>
      </c>
      <c r="E38" s="5" t="s">
        <v>109</v>
      </c>
      <c r="F38" s="85" t="str">
        <f>General!$B$2</f>
        <v>PJ</v>
      </c>
      <c r="Y38" s="100"/>
      <c r="Z38" s="100"/>
      <c r="AA38" s="100" t="str">
        <f t="shared" si="2"/>
        <v>RSD_APA4_SC</v>
      </c>
      <c r="AB38" s="100" t="s">
        <v>845</v>
      </c>
      <c r="AC38" s="101" t="str">
        <f>General!$B$2</f>
        <v>PJ</v>
      </c>
      <c r="AD38" s="100"/>
      <c r="AE38" s="100"/>
      <c r="AF38" s="100"/>
      <c r="AG38" s="100"/>
      <c r="AH38" s="100"/>
    </row>
    <row r="39" spans="4:34">
      <c r="D39" s="5" t="s">
        <v>111</v>
      </c>
      <c r="E39" s="5" t="s">
        <v>112</v>
      </c>
      <c r="F39" s="85" t="str">
        <f>General!$B$2</f>
        <v>PJ</v>
      </c>
      <c r="Y39" s="86" t="s">
        <v>329</v>
      </c>
      <c r="AA39" s="5" t="str">
        <f t="shared" ref="AA39:AA46" si="3">AA7&amp;"_CK"</f>
        <v>RSD_DTA1_CK</v>
      </c>
      <c r="AB39" s="5" t="s">
        <v>793</v>
      </c>
      <c r="AC39" s="85" t="str">
        <f>RSD_Tech_Cook!S7</f>
        <v>000s_Units</v>
      </c>
    </row>
    <row r="40" spans="4:34">
      <c r="D40" s="5" t="s">
        <v>110</v>
      </c>
      <c r="E40" s="5" t="s">
        <v>113</v>
      </c>
      <c r="F40" s="85" t="str">
        <f>General!$B$2</f>
        <v>PJ</v>
      </c>
      <c r="AA40" s="5" t="str">
        <f t="shared" si="3"/>
        <v>RSD_APA1_CK</v>
      </c>
      <c r="AB40" s="5" t="s">
        <v>794</v>
      </c>
      <c r="AC40" s="85" t="str">
        <f>AC39</f>
        <v>000s_Units</v>
      </c>
    </row>
    <row r="41" spans="4:34">
      <c r="D41" s="5" t="s">
        <v>114</v>
      </c>
      <c r="E41" s="5" t="s">
        <v>115</v>
      </c>
      <c r="F41" s="85" t="str">
        <f>General!$B$2</f>
        <v>PJ</v>
      </c>
      <c r="AA41" s="5" t="str">
        <f t="shared" si="3"/>
        <v>RSD_DTA2_CK</v>
      </c>
      <c r="AB41" s="5" t="s">
        <v>811</v>
      </c>
      <c r="AC41" s="85" t="str">
        <f t="shared" ref="AC41:AC45" si="4">AC40</f>
        <v>000s_Units</v>
      </c>
    </row>
    <row r="42" spans="4:34">
      <c r="D42" s="5" t="s">
        <v>116</v>
      </c>
      <c r="E42" s="5" t="s">
        <v>117</v>
      </c>
      <c r="F42" s="85" t="str">
        <f>General!$B$2</f>
        <v>PJ</v>
      </c>
      <c r="AA42" s="5" t="str">
        <f t="shared" si="3"/>
        <v>RSD_APA2_CK</v>
      </c>
      <c r="AB42" s="5" t="s">
        <v>812</v>
      </c>
      <c r="AC42" s="85" t="str">
        <f t="shared" si="4"/>
        <v>000s_Units</v>
      </c>
    </row>
    <row r="43" spans="4:34">
      <c r="D43" s="5" t="s">
        <v>118</v>
      </c>
      <c r="E43" s="5" t="s">
        <v>119</v>
      </c>
      <c r="F43" s="85" t="str">
        <f>General!$B$2</f>
        <v>PJ</v>
      </c>
      <c r="AA43" s="5" t="str">
        <f t="shared" si="3"/>
        <v>RSD_DTA3_CK</v>
      </c>
      <c r="AB43" s="5" t="s">
        <v>828</v>
      </c>
      <c r="AC43" s="85" t="str">
        <f t="shared" si="4"/>
        <v>000s_Units</v>
      </c>
    </row>
    <row r="44" spans="4:34">
      <c r="D44" s="5" t="s">
        <v>120</v>
      </c>
      <c r="E44" s="5" t="s">
        <v>121</v>
      </c>
      <c r="F44" s="85" t="str">
        <f>General!$B$2</f>
        <v>PJ</v>
      </c>
      <c r="AA44" s="5" t="str">
        <f t="shared" si="3"/>
        <v>RSD_APA3_CK</v>
      </c>
      <c r="AB44" s="5" t="s">
        <v>829</v>
      </c>
      <c r="AC44" s="85" t="str">
        <f t="shared" si="4"/>
        <v>000s_Units</v>
      </c>
    </row>
    <row r="45" spans="4:34">
      <c r="D45" s="5" t="s">
        <v>122</v>
      </c>
      <c r="E45" s="5" t="s">
        <v>123</v>
      </c>
      <c r="F45" s="85" t="str">
        <f>General!$B$2</f>
        <v>PJ</v>
      </c>
      <c r="AA45" s="5" t="str">
        <f t="shared" si="3"/>
        <v>RSD_DTA4_CK</v>
      </c>
      <c r="AB45" s="5" t="s">
        <v>846</v>
      </c>
      <c r="AC45" s="85" t="str">
        <f t="shared" si="4"/>
        <v>000s_Units</v>
      </c>
    </row>
    <row r="46" spans="4:34">
      <c r="D46" s="5" t="s">
        <v>124</v>
      </c>
      <c r="E46" s="5" t="s">
        <v>127</v>
      </c>
      <c r="F46" s="85" t="str">
        <f>General!$B$2</f>
        <v>PJ</v>
      </c>
      <c r="H46" s="5" t="s">
        <v>125</v>
      </c>
      <c r="J46" s="5" t="s">
        <v>126</v>
      </c>
      <c r="Y46" s="100"/>
      <c r="Z46" s="100"/>
      <c r="AA46" s="100" t="str">
        <f t="shared" si="3"/>
        <v>RSD_APA4_CK</v>
      </c>
      <c r="AB46" s="100" t="s">
        <v>847</v>
      </c>
      <c r="AC46" s="101" t="str">
        <f>AC45</f>
        <v>000s_Units</v>
      </c>
      <c r="AD46" s="100"/>
      <c r="AE46" s="100"/>
      <c r="AF46" s="100"/>
      <c r="AG46" s="100"/>
      <c r="AH46" s="100"/>
    </row>
    <row r="47" spans="4:34">
      <c r="D47" s="5" t="s">
        <v>128</v>
      </c>
      <c r="E47" s="5" t="s">
        <v>129</v>
      </c>
      <c r="F47" s="85" t="str">
        <f>General!$B$2</f>
        <v>PJ</v>
      </c>
      <c r="H47" s="5" t="s">
        <v>125</v>
      </c>
      <c r="J47" s="5" t="s">
        <v>126</v>
      </c>
      <c r="Y47" s="86"/>
      <c r="AA47" s="5" t="str">
        <f t="shared" ref="AA47:AA54" si="5">AA7&amp;"_LI"</f>
        <v>RSD_DTA1_LI</v>
      </c>
      <c r="AB47" s="5" t="s">
        <v>795</v>
      </c>
      <c r="AC47" s="85" t="s">
        <v>328</v>
      </c>
    </row>
    <row r="48" spans="4:34">
      <c r="D48" s="5" t="s">
        <v>130</v>
      </c>
      <c r="E48" s="5" t="s">
        <v>131</v>
      </c>
      <c r="F48" s="85" t="str">
        <f>General!$B$2</f>
        <v>PJ</v>
      </c>
      <c r="G48" s="5" t="s">
        <v>990</v>
      </c>
      <c r="H48" s="5" t="s">
        <v>125</v>
      </c>
      <c r="J48" s="5" t="s">
        <v>126</v>
      </c>
      <c r="AA48" s="5" t="str">
        <f t="shared" si="5"/>
        <v>RSD_APA1_LI</v>
      </c>
      <c r="AB48" s="5" t="s">
        <v>796</v>
      </c>
      <c r="AC48" s="85" t="s">
        <v>328</v>
      </c>
    </row>
    <row r="49" spans="4:34">
      <c r="D49" s="5" t="s">
        <v>280</v>
      </c>
      <c r="E49" s="5" t="s">
        <v>281</v>
      </c>
      <c r="F49" s="85" t="str">
        <f>General!$B$2</f>
        <v>PJ</v>
      </c>
      <c r="H49" s="5" t="s">
        <v>125</v>
      </c>
      <c r="J49" s="5" t="s">
        <v>126</v>
      </c>
      <c r="AA49" s="5" t="str">
        <f t="shared" si="5"/>
        <v>RSD_DTA2_LI</v>
      </c>
      <c r="AB49" s="5" t="s">
        <v>813</v>
      </c>
      <c r="AC49" s="85" t="s">
        <v>328</v>
      </c>
    </row>
    <row r="50" spans="4:34">
      <c r="D50" s="5" t="s">
        <v>365</v>
      </c>
      <c r="E50" s="5" t="s">
        <v>1014</v>
      </c>
      <c r="F50" s="85" t="str">
        <f>General!$B$2</f>
        <v>PJ</v>
      </c>
      <c r="G50" s="5" t="s">
        <v>990</v>
      </c>
      <c r="H50" s="5" t="s">
        <v>125</v>
      </c>
      <c r="AA50" s="5" t="str">
        <f t="shared" si="5"/>
        <v>RSD_APA2_LI</v>
      </c>
      <c r="AB50" s="5" t="s">
        <v>814</v>
      </c>
      <c r="AC50" s="85" t="s">
        <v>328</v>
      </c>
    </row>
    <row r="51" spans="4:34">
      <c r="D51" s="5" t="s">
        <v>392</v>
      </c>
      <c r="E51" s="5" t="s">
        <v>393</v>
      </c>
      <c r="F51" s="85" t="s">
        <v>301</v>
      </c>
      <c r="H51" s="5" t="s">
        <v>399</v>
      </c>
      <c r="AA51" s="5" t="str">
        <f t="shared" si="5"/>
        <v>RSD_DTA3_LI</v>
      </c>
      <c r="AB51" s="5" t="s">
        <v>830</v>
      </c>
      <c r="AC51" s="85" t="s">
        <v>328</v>
      </c>
    </row>
    <row r="52" spans="4:34">
      <c r="D52" s="5" t="s">
        <v>394</v>
      </c>
      <c r="E52" s="5" t="s">
        <v>395</v>
      </c>
      <c r="F52" s="85" t="s">
        <v>301</v>
      </c>
      <c r="H52" s="5" t="s">
        <v>399</v>
      </c>
      <c r="AA52" s="5" t="str">
        <f t="shared" si="5"/>
        <v>RSD_APA3_LI</v>
      </c>
      <c r="AB52" s="5" t="s">
        <v>831</v>
      </c>
      <c r="AC52" s="85" t="s">
        <v>328</v>
      </c>
    </row>
    <row r="53" spans="4:34">
      <c r="D53" s="5" t="s">
        <v>396</v>
      </c>
      <c r="E53" s="5" t="s">
        <v>397</v>
      </c>
      <c r="F53" s="85" t="s">
        <v>301</v>
      </c>
      <c r="H53" s="5" t="s">
        <v>399</v>
      </c>
      <c r="AA53" s="5" t="str">
        <f t="shared" si="5"/>
        <v>RSD_DTA4_LI</v>
      </c>
      <c r="AB53" s="5" t="s">
        <v>848</v>
      </c>
      <c r="AC53" s="85" t="s">
        <v>328</v>
      </c>
    </row>
    <row r="54" spans="4:34">
      <c r="D54" s="5" t="str">
        <f>CONCATENATE($D$50,"A1")</f>
        <v>RSDLTHA1</v>
      </c>
      <c r="E54" s="5" t="str">
        <f>CONCATENATE($E$50,"_Area1")</f>
        <v>Heat (RSD)_Area1</v>
      </c>
      <c r="F54" s="85" t="s">
        <v>301</v>
      </c>
      <c r="G54" s="5" t="s">
        <v>990</v>
      </c>
      <c r="H54" s="5" t="s">
        <v>125</v>
      </c>
      <c r="Y54" s="100"/>
      <c r="Z54" s="100"/>
      <c r="AA54" s="100" t="str">
        <f t="shared" si="5"/>
        <v>RSD_APA4_LI</v>
      </c>
      <c r="AB54" s="100" t="s">
        <v>849</v>
      </c>
      <c r="AC54" s="101" t="s">
        <v>328</v>
      </c>
      <c r="AD54" s="100"/>
      <c r="AE54" s="100"/>
      <c r="AF54" s="100"/>
      <c r="AG54" s="100"/>
      <c r="AH54" s="100"/>
    </row>
    <row r="55" spans="4:34">
      <c r="D55" s="5" t="str">
        <f>CONCATENATE($D$50,"A2")</f>
        <v>RSDLTHA2</v>
      </c>
      <c r="E55" s="5" t="str">
        <f>CONCATENATE($E$50,"_Area2")</f>
        <v>Heat (RSD)_Area2</v>
      </c>
      <c r="F55" s="85" t="s">
        <v>301</v>
      </c>
      <c r="G55" s="5" t="s">
        <v>990</v>
      </c>
      <c r="H55" s="5" t="s">
        <v>125</v>
      </c>
      <c r="Y55" s="86"/>
      <c r="AA55" s="5" t="str">
        <f t="shared" ref="AA55:AA62" si="6">AA7&amp;"_RF"</f>
        <v>RSD_DTA1_RF</v>
      </c>
      <c r="AB55" s="5" t="s">
        <v>797</v>
      </c>
      <c r="AC55" s="85" t="s">
        <v>328</v>
      </c>
    </row>
    <row r="56" spans="4:34">
      <c r="D56" s="5" t="str">
        <f>CONCATENATE($D$50,"A3")</f>
        <v>RSDLTHA3</v>
      </c>
      <c r="E56" s="5" t="str">
        <f>CONCATENATE($E$50,"_Area3")</f>
        <v>Heat (RSD)_Area3</v>
      </c>
      <c r="F56" s="85" t="s">
        <v>301</v>
      </c>
      <c r="G56" s="5" t="s">
        <v>990</v>
      </c>
      <c r="H56" s="5" t="s">
        <v>125</v>
      </c>
      <c r="AA56" s="5" t="str">
        <f t="shared" si="6"/>
        <v>RSD_APA1_RF</v>
      </c>
      <c r="AB56" s="5" t="s">
        <v>798</v>
      </c>
      <c r="AC56" s="85" t="s">
        <v>328</v>
      </c>
    </row>
    <row r="57" spans="4:34">
      <c r="D57" s="5" t="str">
        <f>CONCATENATE($D$50,"A4")</f>
        <v>RSDLTHA4</v>
      </c>
      <c r="E57" s="5" t="str">
        <f>CONCATENATE($E$50,"_Area4")</f>
        <v>Heat (RSD)_Area4</v>
      </c>
      <c r="F57" s="85" t="s">
        <v>301</v>
      </c>
      <c r="G57" s="5" t="s">
        <v>990</v>
      </c>
      <c r="H57" s="5" t="s">
        <v>125</v>
      </c>
      <c r="AA57" s="5" t="str">
        <f t="shared" si="6"/>
        <v>RSD_DTA2_RF</v>
      </c>
      <c r="AB57" s="5" t="s">
        <v>815</v>
      </c>
      <c r="AC57" s="85" t="s">
        <v>328</v>
      </c>
    </row>
    <row r="58" spans="4:34">
      <c r="AA58" s="5" t="str">
        <f t="shared" si="6"/>
        <v>RSD_APA2_RF</v>
      </c>
      <c r="AB58" s="5" t="s">
        <v>816</v>
      </c>
      <c r="AC58" s="85" t="s">
        <v>328</v>
      </c>
    </row>
    <row r="59" spans="4:34">
      <c r="AA59" s="5" t="str">
        <f t="shared" si="6"/>
        <v>RSD_DTA3_RF</v>
      </c>
      <c r="AB59" s="5" t="s">
        <v>832</v>
      </c>
      <c r="AC59" s="85" t="s">
        <v>328</v>
      </c>
    </row>
    <row r="60" spans="4:34">
      <c r="AA60" s="5" t="str">
        <f t="shared" si="6"/>
        <v>RSD_APA3_RF</v>
      </c>
      <c r="AB60" s="5" t="s">
        <v>833</v>
      </c>
      <c r="AC60" s="85" t="s">
        <v>328</v>
      </c>
    </row>
    <row r="61" spans="4:34">
      <c r="AA61" s="5" t="str">
        <f t="shared" si="6"/>
        <v>RSD_DTA4_RF</v>
      </c>
      <c r="AB61" s="5" t="s">
        <v>850</v>
      </c>
      <c r="AC61" s="85" t="s">
        <v>328</v>
      </c>
    </row>
    <row r="62" spans="4:34">
      <c r="Y62" s="100"/>
      <c r="Z62" s="100"/>
      <c r="AA62" s="100" t="str">
        <f t="shared" si="6"/>
        <v>RSD_APA4_RF</v>
      </c>
      <c r="AB62" s="100" t="s">
        <v>851</v>
      </c>
      <c r="AC62" s="101" t="s">
        <v>328</v>
      </c>
      <c r="AD62" s="100"/>
      <c r="AE62" s="100"/>
      <c r="AF62" s="100"/>
      <c r="AG62" s="100"/>
      <c r="AH62" s="100"/>
    </row>
    <row r="63" spans="4:34">
      <c r="Y63" s="86"/>
      <c r="AA63" s="5" t="str">
        <f t="shared" ref="AA63:AA70" si="7">AA7&amp;"_CW"</f>
        <v>RSD_DTA1_CW</v>
      </c>
      <c r="AB63" s="5" t="s">
        <v>799</v>
      </c>
      <c r="AC63" s="85" t="s">
        <v>328</v>
      </c>
    </row>
    <row r="64" spans="4:34">
      <c r="AA64" s="5" t="str">
        <f t="shared" si="7"/>
        <v>RSD_APA1_CW</v>
      </c>
      <c r="AB64" s="5" t="s">
        <v>800</v>
      </c>
      <c r="AC64" s="85" t="s">
        <v>328</v>
      </c>
    </row>
    <row r="65" spans="25:34">
      <c r="AA65" s="5" t="str">
        <f t="shared" si="7"/>
        <v>RSD_DTA2_CW</v>
      </c>
      <c r="AB65" s="5" t="s">
        <v>817</v>
      </c>
      <c r="AC65" s="85" t="s">
        <v>328</v>
      </c>
    </row>
    <row r="66" spans="25:34">
      <c r="AA66" s="5" t="str">
        <f t="shared" si="7"/>
        <v>RSD_APA2_CW</v>
      </c>
      <c r="AB66" s="5" t="s">
        <v>818</v>
      </c>
      <c r="AC66" s="85" t="s">
        <v>328</v>
      </c>
    </row>
    <row r="67" spans="25:34">
      <c r="AA67" s="5" t="str">
        <f t="shared" si="7"/>
        <v>RSD_DTA3_CW</v>
      </c>
      <c r="AB67" s="5" t="s">
        <v>834</v>
      </c>
      <c r="AC67" s="85" t="s">
        <v>328</v>
      </c>
    </row>
    <row r="68" spans="25:34">
      <c r="AA68" s="5" t="str">
        <f t="shared" si="7"/>
        <v>RSD_APA3_CW</v>
      </c>
      <c r="AB68" s="5" t="s">
        <v>835</v>
      </c>
      <c r="AC68" s="85" t="s">
        <v>328</v>
      </c>
    </row>
    <row r="69" spans="25:34">
      <c r="AA69" s="5" t="str">
        <f t="shared" si="7"/>
        <v>RSD_DTA4_CW</v>
      </c>
      <c r="AB69" s="5" t="s">
        <v>852</v>
      </c>
      <c r="AC69" s="85" t="s">
        <v>328</v>
      </c>
    </row>
    <row r="70" spans="25:34">
      <c r="Y70" s="100"/>
      <c r="Z70" s="100"/>
      <c r="AA70" s="100" t="str">
        <f t="shared" si="7"/>
        <v>RSD_APA4_CW</v>
      </c>
      <c r="AB70" s="100" t="s">
        <v>853</v>
      </c>
      <c r="AC70" s="101" t="s">
        <v>328</v>
      </c>
      <c r="AD70" s="100"/>
      <c r="AE70" s="100"/>
      <c r="AF70" s="100"/>
      <c r="AG70" s="100"/>
      <c r="AH70" s="100"/>
    </row>
    <row r="71" spans="25:34">
      <c r="Y71" s="86"/>
      <c r="AA71" s="5" t="str">
        <f t="shared" ref="AA71:AA78" si="8">AA7&amp;"_DW"</f>
        <v>RSD_DTA1_DW</v>
      </c>
      <c r="AB71" s="5" t="s">
        <v>801</v>
      </c>
      <c r="AC71" s="85" t="s">
        <v>328</v>
      </c>
    </row>
    <row r="72" spans="25:34">
      <c r="AA72" s="5" t="str">
        <f t="shared" si="8"/>
        <v>RSD_APA1_DW</v>
      </c>
      <c r="AB72" s="5" t="s">
        <v>802</v>
      </c>
      <c r="AC72" s="85" t="s">
        <v>328</v>
      </c>
    </row>
    <row r="73" spans="25:34">
      <c r="AA73" s="5" t="str">
        <f t="shared" si="8"/>
        <v>RSD_DTA2_DW</v>
      </c>
      <c r="AB73" s="5" t="s">
        <v>819</v>
      </c>
      <c r="AC73" s="85" t="s">
        <v>328</v>
      </c>
    </row>
    <row r="74" spans="25:34">
      <c r="AA74" s="5" t="str">
        <f t="shared" si="8"/>
        <v>RSD_APA2_DW</v>
      </c>
      <c r="AB74" s="5" t="s">
        <v>820</v>
      </c>
      <c r="AC74" s="85" t="s">
        <v>328</v>
      </c>
    </row>
    <row r="75" spans="25:34">
      <c r="AA75" s="5" t="str">
        <f t="shared" si="8"/>
        <v>RSD_DTA3_DW</v>
      </c>
      <c r="AB75" s="5" t="s">
        <v>836</v>
      </c>
      <c r="AC75" s="85" t="s">
        <v>328</v>
      </c>
    </row>
    <row r="76" spans="25:34">
      <c r="AA76" s="5" t="str">
        <f t="shared" si="8"/>
        <v>RSD_APA3_DW</v>
      </c>
      <c r="AB76" s="5" t="s">
        <v>837</v>
      </c>
      <c r="AC76" s="85" t="s">
        <v>328</v>
      </c>
    </row>
    <row r="77" spans="25:34">
      <c r="AA77" s="5" t="str">
        <f t="shared" si="8"/>
        <v>RSD_DTA4_DW</v>
      </c>
      <c r="AB77" s="5" t="s">
        <v>854</v>
      </c>
      <c r="AC77" s="85" t="s">
        <v>328</v>
      </c>
    </row>
    <row r="78" spans="25:34">
      <c r="Y78" s="100"/>
      <c r="Z78" s="100"/>
      <c r="AA78" s="100" t="str">
        <f t="shared" si="8"/>
        <v>RSD_APA4_DW</v>
      </c>
      <c r="AB78" s="100" t="s">
        <v>855</v>
      </c>
      <c r="AC78" s="101" t="s">
        <v>328</v>
      </c>
      <c r="AD78" s="100"/>
      <c r="AE78" s="100"/>
      <c r="AF78" s="100"/>
      <c r="AG78" s="100"/>
      <c r="AH78" s="100"/>
    </row>
    <row r="79" spans="25:34">
      <c r="Y79" s="86"/>
      <c r="AA79" s="5" t="str">
        <f t="shared" ref="AA79:AA86" si="9">AA7&amp;"_AP"</f>
        <v>RSD_DTA1_AP</v>
      </c>
      <c r="AB79" s="5" t="s">
        <v>803</v>
      </c>
      <c r="AC79" s="85" t="s">
        <v>328</v>
      </c>
    </row>
    <row r="80" spans="25:34">
      <c r="AA80" s="5" t="str">
        <f t="shared" si="9"/>
        <v>RSD_APA1_AP</v>
      </c>
      <c r="AB80" s="5" t="s">
        <v>804</v>
      </c>
      <c r="AC80" s="85" t="s">
        <v>328</v>
      </c>
    </row>
    <row r="81" spans="25:34">
      <c r="AA81" s="5" t="str">
        <f t="shared" si="9"/>
        <v>RSD_DTA2_AP</v>
      </c>
      <c r="AB81" s="5" t="s">
        <v>821</v>
      </c>
      <c r="AC81" s="85" t="s">
        <v>328</v>
      </c>
    </row>
    <row r="82" spans="25:34">
      <c r="AA82" s="5" t="str">
        <f t="shared" si="9"/>
        <v>RSD_APA2_AP</v>
      </c>
      <c r="AB82" s="5" t="s">
        <v>822</v>
      </c>
      <c r="AC82" s="85" t="s">
        <v>328</v>
      </c>
    </row>
    <row r="83" spans="25:34">
      <c r="AA83" s="5" t="str">
        <f t="shared" si="9"/>
        <v>RSD_DTA3_AP</v>
      </c>
      <c r="AB83" s="5" t="s">
        <v>838</v>
      </c>
      <c r="AC83" s="85" t="s">
        <v>328</v>
      </c>
    </row>
    <row r="84" spans="25:34">
      <c r="AA84" s="5" t="str">
        <f t="shared" si="9"/>
        <v>RSD_APA3_AP</v>
      </c>
      <c r="AB84" s="5" t="s">
        <v>839</v>
      </c>
      <c r="AC84" s="85" t="s">
        <v>328</v>
      </c>
    </row>
    <row r="85" spans="25:34">
      <c r="AA85" s="5" t="str">
        <f t="shared" si="9"/>
        <v>RSD_DTA4_AP</v>
      </c>
      <c r="AB85" s="5" t="s">
        <v>856</v>
      </c>
      <c r="AC85" s="85" t="s">
        <v>328</v>
      </c>
    </row>
    <row r="86" spans="25:34">
      <c r="Y86" s="100"/>
      <c r="Z86" s="100"/>
      <c r="AA86" s="100" t="str">
        <f t="shared" si="9"/>
        <v>RSD_APA4_AP</v>
      </c>
      <c r="AB86" s="100" t="s">
        <v>857</v>
      </c>
      <c r="AC86" s="101" t="s">
        <v>328</v>
      </c>
      <c r="AD86" s="100"/>
      <c r="AE86" s="100"/>
      <c r="AF86" s="100"/>
      <c r="AG86" s="100"/>
      <c r="AH86" s="100"/>
    </row>
    <row r="87" spans="25:34">
      <c r="AC87" s="112"/>
    </row>
    <row r="88" spans="25:34">
      <c r="AC88" s="112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AI52"/>
  <sheetViews>
    <sheetView zoomScale="70" zoomScaleNormal="70" workbookViewId="0">
      <selection sqref="A1:XFD1048576"/>
    </sheetView>
  </sheetViews>
  <sheetFormatPr defaultColWidth="9.109375" defaultRowHeight="13.8"/>
  <cols>
    <col min="1" max="1" width="9.109375" style="5"/>
    <col min="2" max="2" width="15.6640625" style="5" customWidth="1"/>
    <col min="3" max="3" width="23.6640625" style="5" customWidth="1"/>
    <col min="4" max="4" width="48.109375" style="5" customWidth="1"/>
    <col min="5" max="5" width="21.33203125" style="5" customWidth="1"/>
    <col min="6" max="6" width="22.44140625" style="5" customWidth="1"/>
    <col min="7" max="7" width="21.5546875" style="5" customWidth="1"/>
    <col min="8" max="8" width="18" style="5" customWidth="1"/>
    <col min="9" max="9" width="20.88671875" style="5" customWidth="1"/>
    <col min="10" max="10" width="15.6640625" style="5" customWidth="1"/>
    <col min="11" max="11" width="9.6640625" style="5" bestFit="1" customWidth="1"/>
    <col min="12" max="12" width="8.6640625" style="5" customWidth="1"/>
    <col min="13" max="13" width="22.5546875" style="5" customWidth="1"/>
    <col min="14" max="14" width="14.33203125" style="5" bestFit="1" customWidth="1"/>
    <col min="15" max="15" width="23.109375" style="5" customWidth="1"/>
    <col min="16" max="16" width="51.5546875" style="5" customWidth="1"/>
    <col min="17" max="21" width="16.88671875" style="5" customWidth="1"/>
    <col min="22" max="22" width="5.109375" style="5" customWidth="1"/>
    <col min="23" max="16384" width="9.109375" style="5"/>
  </cols>
  <sheetData>
    <row r="2" spans="1:35" s="51" customFormat="1" ht="17.399999999999999">
      <c r="A2" s="36"/>
      <c r="B2" s="36" t="s">
        <v>304</v>
      </c>
      <c r="C2" s="36"/>
      <c r="D2" s="36"/>
      <c r="E2" s="36"/>
      <c r="F2" s="36"/>
      <c r="G2" s="36"/>
      <c r="H2" s="36"/>
      <c r="I2" s="36"/>
      <c r="Z2" s="5"/>
      <c r="AA2" s="5"/>
      <c r="AB2" s="5"/>
      <c r="AC2" s="85"/>
      <c r="AD2" s="85"/>
      <c r="AE2" s="85"/>
      <c r="AF2" s="85"/>
      <c r="AG2" s="85"/>
      <c r="AH2" s="5"/>
      <c r="AI2" s="5"/>
    </row>
    <row r="3" spans="1:35">
      <c r="B3" s="86"/>
      <c r="M3" s="5" t="s">
        <v>145</v>
      </c>
    </row>
    <row r="5" spans="1:35">
      <c r="B5" s="6"/>
      <c r="C5" s="33"/>
      <c r="E5" s="6"/>
      <c r="F5" s="6"/>
      <c r="G5" s="6"/>
      <c r="I5" s="103"/>
      <c r="J5" s="104"/>
      <c r="M5" s="87" t="s">
        <v>39</v>
      </c>
      <c r="N5" s="87"/>
      <c r="O5" s="87"/>
      <c r="P5" s="87"/>
      <c r="Q5" s="87"/>
      <c r="R5" s="87"/>
      <c r="S5" s="87"/>
      <c r="T5" s="87"/>
      <c r="U5" s="87"/>
    </row>
    <row r="6" spans="1:35">
      <c r="F6" s="105" t="s">
        <v>15</v>
      </c>
      <c r="G6" s="105"/>
      <c r="I6" s="8"/>
      <c r="J6" s="104"/>
      <c r="M6" s="106" t="s">
        <v>19</v>
      </c>
      <c r="N6" s="106"/>
      <c r="O6" s="87"/>
      <c r="P6" s="87"/>
      <c r="Q6" s="87"/>
      <c r="R6" s="87"/>
      <c r="S6" s="87"/>
      <c r="T6" s="87"/>
      <c r="U6" s="87"/>
    </row>
    <row r="7" spans="1:35" ht="20.25" customHeight="1">
      <c r="B7" s="88" t="s">
        <v>34</v>
      </c>
      <c r="C7" s="88" t="s">
        <v>1</v>
      </c>
      <c r="D7" s="88" t="s">
        <v>42</v>
      </c>
      <c r="E7" s="88" t="s">
        <v>7</v>
      </c>
      <c r="F7" s="89" t="s">
        <v>8</v>
      </c>
      <c r="G7" s="90" t="s">
        <v>17</v>
      </c>
      <c r="H7" s="90" t="s">
        <v>6</v>
      </c>
      <c r="I7" s="8"/>
      <c r="J7" s="9"/>
      <c r="M7" s="91" t="s">
        <v>13</v>
      </c>
      <c r="N7" s="91" t="s">
        <v>34</v>
      </c>
      <c r="O7" s="91" t="s">
        <v>1</v>
      </c>
      <c r="P7" s="91" t="s">
        <v>2</v>
      </c>
      <c r="Q7" s="91" t="s">
        <v>20</v>
      </c>
      <c r="R7" s="91" t="s">
        <v>21</v>
      </c>
      <c r="S7" s="91" t="s">
        <v>22</v>
      </c>
      <c r="T7" s="91" t="s">
        <v>23</v>
      </c>
      <c r="U7" s="91" t="s">
        <v>24</v>
      </c>
    </row>
    <row r="8" spans="1:35" ht="26.25" customHeight="1" thickBot="1">
      <c r="B8" s="92" t="s">
        <v>146</v>
      </c>
      <c r="C8" s="93" t="s">
        <v>25</v>
      </c>
      <c r="D8" s="93" t="s">
        <v>26</v>
      </c>
      <c r="E8" s="93" t="s">
        <v>36</v>
      </c>
      <c r="F8" s="94" t="s">
        <v>37</v>
      </c>
      <c r="G8" s="93" t="s">
        <v>38</v>
      </c>
      <c r="H8" s="93" t="s">
        <v>40</v>
      </c>
      <c r="I8" s="8"/>
      <c r="J8" s="10"/>
      <c r="M8" s="95" t="s">
        <v>44</v>
      </c>
      <c r="N8" s="95" t="s">
        <v>35</v>
      </c>
      <c r="O8" s="95" t="s">
        <v>25</v>
      </c>
      <c r="P8" s="95" t="s">
        <v>26</v>
      </c>
      <c r="Q8" s="95" t="s">
        <v>27</v>
      </c>
      <c r="R8" s="95" t="s">
        <v>28</v>
      </c>
      <c r="S8" s="95" t="s">
        <v>48</v>
      </c>
      <c r="T8" s="95" t="s">
        <v>47</v>
      </c>
      <c r="U8" s="95" t="s">
        <v>29</v>
      </c>
    </row>
    <row r="9" spans="1:35" ht="17.25" customHeight="1">
      <c r="B9" s="96" t="s">
        <v>147</v>
      </c>
      <c r="C9" s="96"/>
      <c r="D9" s="97"/>
      <c r="E9" s="97"/>
      <c r="F9" s="98" t="s">
        <v>269</v>
      </c>
      <c r="G9" s="97" t="s">
        <v>279</v>
      </c>
      <c r="H9" s="97" t="str">
        <f>General!D12</f>
        <v>$/GJ</v>
      </c>
      <c r="I9" s="8"/>
      <c r="J9" s="10"/>
      <c r="M9" s="5" t="s">
        <v>270</v>
      </c>
      <c r="O9" s="5" t="str">
        <f>"FT-"&amp;Commodities!D31&amp;"00"</f>
        <v>FT-RSDCOABIC00</v>
      </c>
      <c r="P9" s="5" t="s">
        <v>858</v>
      </c>
      <c r="Q9" s="85" t="str">
        <f>General!$B$2</f>
        <v>PJ</v>
      </c>
      <c r="R9" s="85" t="str">
        <f>General!$B$2&amp;"a"</f>
        <v>PJa</v>
      </c>
      <c r="S9" s="85"/>
    </row>
    <row r="10" spans="1:35">
      <c r="C10" s="5" t="str">
        <f t="shared" ref="C10:D14" si="0">O9</f>
        <v>FT-RSDCOABIC00</v>
      </c>
      <c r="D10" s="5" t="str">
        <f t="shared" si="0"/>
        <v xml:space="preserve">Fuel Tech -Bituminous (RSD)  </v>
      </c>
      <c r="E10" s="5" t="str">
        <f>Commodities!D7</f>
        <v>COABIC</v>
      </c>
      <c r="F10" s="99" t="str">
        <f>Commodities!D31</f>
        <v>RSDCOABIC</v>
      </c>
      <c r="G10" s="85">
        <v>1</v>
      </c>
      <c r="H10" s="11">
        <v>0.01</v>
      </c>
      <c r="I10" s="8"/>
      <c r="J10" s="11"/>
      <c r="O10" s="5" t="str">
        <f>"FT-"&amp;Commodities!D33&amp;"00"</f>
        <v>FT-RSDCOABCO00</v>
      </c>
      <c r="P10" s="5" t="s">
        <v>861</v>
      </c>
      <c r="Q10" s="85" t="str">
        <f>General!$B$2</f>
        <v>PJ</v>
      </c>
      <c r="R10" s="85" t="str">
        <f>General!$B$2&amp;"a"</f>
        <v>PJa</v>
      </c>
      <c r="S10" s="85"/>
    </row>
    <row r="11" spans="1:35">
      <c r="C11" s="5" t="str">
        <f t="shared" si="0"/>
        <v>FT-RSDCOABCO00</v>
      </c>
      <c r="D11" s="5" t="str">
        <f t="shared" si="0"/>
        <v xml:space="preserve">Fuel Tech -BrownCoal/Lignite (RSD)  </v>
      </c>
      <c r="E11" s="5" t="str">
        <f>Commodities!D9</f>
        <v>COABCO</v>
      </c>
      <c r="F11" s="99" t="str">
        <f>Commodities!D33</f>
        <v>RSDCOABCO</v>
      </c>
      <c r="G11" s="85">
        <v>1</v>
      </c>
      <c r="H11" s="11">
        <v>0.01</v>
      </c>
      <c r="I11" s="8"/>
      <c r="J11" s="11"/>
      <c r="O11" s="5" t="str">
        <f>"FT-"&amp;Commodities!D34&amp;"00"</f>
        <v>FT-RSDOILDSL00</v>
      </c>
      <c r="P11" s="5" t="s">
        <v>427</v>
      </c>
      <c r="Q11" s="85" t="str">
        <f>General!$B$2</f>
        <v>PJ</v>
      </c>
      <c r="R11" s="85" t="str">
        <f>General!$B$2&amp;"a"</f>
        <v>PJa</v>
      </c>
      <c r="S11" s="85"/>
    </row>
    <row r="12" spans="1:35">
      <c r="C12" s="5" t="str">
        <f t="shared" si="0"/>
        <v>FT-RSDOILDSL00</v>
      </c>
      <c r="D12" s="5" t="str">
        <f t="shared" si="0"/>
        <v xml:space="preserve">Fuel Tech -Diesel (RSD)  </v>
      </c>
      <c r="E12" s="5" t="str">
        <f>Commodities!D11</f>
        <v>OILDSL</v>
      </c>
      <c r="F12" s="99" t="str">
        <f>Commodities!D34</f>
        <v>RSDOILDSL</v>
      </c>
      <c r="G12" s="85">
        <v>1</v>
      </c>
      <c r="H12" s="11">
        <v>0.01</v>
      </c>
      <c r="I12" s="8"/>
      <c r="J12" s="11"/>
      <c r="O12" s="5" t="str">
        <f>"FT-"&amp;Commodities!D35&amp;"00"</f>
        <v>FT-RSDOILLPG00</v>
      </c>
      <c r="P12" s="5" t="s">
        <v>428</v>
      </c>
      <c r="Q12" s="85" t="str">
        <f>General!$B$2</f>
        <v>PJ</v>
      </c>
      <c r="R12" s="85" t="str">
        <f>General!$B$2&amp;"a"</f>
        <v>PJa</v>
      </c>
      <c r="S12" s="85"/>
    </row>
    <row r="13" spans="1:35">
      <c r="C13" s="5" t="str">
        <f t="shared" si="0"/>
        <v>FT-RSDOILLPG00</v>
      </c>
      <c r="D13" s="5" t="str">
        <f t="shared" si="0"/>
        <v xml:space="preserve">Fuel Tech -Liquified petroleum gas (RSD)  </v>
      </c>
      <c r="E13" s="5" t="str">
        <f>Commodities!D13</f>
        <v>OILLPG</v>
      </c>
      <c r="F13" s="99" t="str">
        <f>Commodities!D35</f>
        <v>RSDOILLPG</v>
      </c>
      <c r="G13" s="85">
        <v>1</v>
      </c>
      <c r="H13" s="11">
        <v>0.01</v>
      </c>
      <c r="I13" s="8"/>
      <c r="J13" s="11"/>
      <c r="O13" s="5" t="str">
        <f>"FT-"&amp;Commodities!D36&amp;"00"</f>
        <v>FT-RSDOILHFO00</v>
      </c>
      <c r="P13" s="5" t="s">
        <v>1005</v>
      </c>
      <c r="Q13" s="85" t="str">
        <f>General!$B$2</f>
        <v>PJ</v>
      </c>
      <c r="R13" s="85" t="str">
        <f>General!$B$2&amp;"a"</f>
        <v>PJa</v>
      </c>
      <c r="S13" s="85"/>
    </row>
    <row r="14" spans="1:35">
      <c r="C14" s="5" t="str">
        <f t="shared" si="0"/>
        <v>FT-RSDOILHFO00</v>
      </c>
      <c r="D14" s="5" t="str">
        <f t="shared" si="0"/>
        <v xml:space="preserve">Fuel Tech -Fuel Oil (RSD)  </v>
      </c>
      <c r="E14" s="5" t="str">
        <f>Commodities!D14</f>
        <v>OILHFO</v>
      </c>
      <c r="F14" s="99" t="str">
        <f>Commodities!D36</f>
        <v>RSDOILHFO</v>
      </c>
      <c r="G14" s="85">
        <v>1</v>
      </c>
      <c r="H14" s="11">
        <v>0.01</v>
      </c>
      <c r="I14" s="8"/>
      <c r="J14" s="11"/>
      <c r="O14" s="5" t="str">
        <f>"FT-"&amp;Commodities!D37&amp;"D00"</f>
        <v>FT-RSDGASNATD00</v>
      </c>
      <c r="P14" s="5" t="s">
        <v>930</v>
      </c>
      <c r="Q14" s="85" t="str">
        <f>General!$B$2</f>
        <v>PJ</v>
      </c>
      <c r="R14" s="85" t="str">
        <f>General!$B$2&amp;"a"</f>
        <v>PJa</v>
      </c>
      <c r="S14" s="85" t="s">
        <v>399</v>
      </c>
    </row>
    <row r="15" spans="1:35">
      <c r="C15" s="5" t="str">
        <f t="shared" ref="C15:D15" si="1">O14</f>
        <v>FT-RSDGASNATD00</v>
      </c>
      <c r="D15" s="5" t="str">
        <f t="shared" si="1"/>
        <v xml:space="preserve">Fuel Tech -Natural Gas (RSD) - Dense  </v>
      </c>
      <c r="E15" s="5" t="str">
        <f>Commodities!D53</f>
        <v>GASNAT_LP</v>
      </c>
      <c r="F15" s="99" t="str">
        <f>Commodities!D37</f>
        <v>RSDGASNAT</v>
      </c>
      <c r="G15" s="85">
        <v>1</v>
      </c>
      <c r="H15" s="11">
        <v>0.01</v>
      </c>
      <c r="I15" s="8"/>
      <c r="J15" s="11"/>
      <c r="O15" s="5" t="str">
        <f>"FT-"&amp;Commodities!D37&amp;"M00"</f>
        <v>FT-RSDGASNATM00</v>
      </c>
      <c r="P15" s="5" t="s">
        <v>931</v>
      </c>
      <c r="Q15" s="85" t="str">
        <f>General!$B$2</f>
        <v>PJ</v>
      </c>
      <c r="R15" s="85" t="str">
        <f>General!$B$2&amp;"a"</f>
        <v>PJa</v>
      </c>
      <c r="S15" s="85" t="s">
        <v>399</v>
      </c>
    </row>
    <row r="16" spans="1:35">
      <c r="C16" s="5" t="str">
        <f t="shared" ref="C16:C17" si="2">O15</f>
        <v>FT-RSDGASNATM00</v>
      </c>
      <c r="D16" s="5" t="str">
        <f t="shared" ref="D16:D17" si="3">P15</f>
        <v xml:space="preserve">Fuel Tech -Natural Gas (RSD) - Medium  </v>
      </c>
      <c r="E16" s="5" t="str">
        <f>E15</f>
        <v>GASNAT_LP</v>
      </c>
      <c r="F16" s="99" t="str">
        <f>F15</f>
        <v>RSDGASNAT</v>
      </c>
      <c r="G16" s="85">
        <v>1</v>
      </c>
      <c r="H16" s="11">
        <v>1.4999999999999999E-2</v>
      </c>
      <c r="I16" s="8"/>
      <c r="O16" s="5" t="str">
        <f>"FT-"&amp;Commodities!D37&amp;"S00"</f>
        <v>FT-RSDGASNATS00</v>
      </c>
      <c r="P16" s="5" t="s">
        <v>932</v>
      </c>
      <c r="Q16" s="85" t="str">
        <f>General!$B$2</f>
        <v>PJ</v>
      </c>
      <c r="R16" s="85" t="str">
        <f>General!$B$2&amp;"a"</f>
        <v>PJa</v>
      </c>
      <c r="S16" s="85" t="s">
        <v>399</v>
      </c>
    </row>
    <row r="17" spans="2:21">
      <c r="C17" s="5" t="str">
        <f t="shared" si="2"/>
        <v>FT-RSDGASNATS00</v>
      </c>
      <c r="D17" s="5" t="str">
        <f t="shared" si="3"/>
        <v xml:space="preserve">Fuel Tech -Natural Gas (RSD) - Sparse  </v>
      </c>
      <c r="E17" s="5" t="str">
        <f>E16</f>
        <v>GASNAT_LP</v>
      </c>
      <c r="F17" s="99" t="str">
        <f>F16</f>
        <v>RSDGASNAT</v>
      </c>
      <c r="G17" s="85">
        <v>1</v>
      </c>
      <c r="H17" s="11">
        <f>H16*3</f>
        <v>4.4999999999999998E-2</v>
      </c>
      <c r="I17" s="8"/>
      <c r="O17" s="5" t="str">
        <f>"FT-"&amp;Commodities!D37&amp;"D01"</f>
        <v>FT-RSDGASNATD01</v>
      </c>
      <c r="P17" s="5" t="s">
        <v>933</v>
      </c>
      <c r="Q17" s="85" t="str">
        <f>General!$B$2</f>
        <v>PJ</v>
      </c>
      <c r="R17" s="85" t="str">
        <f>General!$B$2&amp;"a"</f>
        <v>PJa</v>
      </c>
      <c r="S17" s="85" t="s">
        <v>399</v>
      </c>
    </row>
    <row r="18" spans="2:21">
      <c r="C18" s="5" t="str">
        <f t="shared" ref="C18:D23" si="4">O20</f>
        <v>FT-RSDBIOLOG00</v>
      </c>
      <c r="D18" s="5" t="str">
        <f t="shared" si="4"/>
        <v xml:space="preserve">Fuel Tech -Wood (RSD)  </v>
      </c>
      <c r="E18" s="5" t="str">
        <f>Commodities!D19</f>
        <v>BIOLOG</v>
      </c>
      <c r="F18" s="99" t="str">
        <f>Commodities!D38</f>
        <v>RSDBIOLOG</v>
      </c>
      <c r="G18" s="85">
        <v>1</v>
      </c>
      <c r="H18" s="11">
        <v>0.01</v>
      </c>
      <c r="I18" s="8"/>
      <c r="J18" s="11"/>
      <c r="O18" s="5" t="str">
        <f>"FT-"&amp;Commodities!D37&amp;"M01"</f>
        <v>FT-RSDGASNATM01</v>
      </c>
      <c r="P18" s="5" t="s">
        <v>934</v>
      </c>
      <c r="Q18" s="85" t="str">
        <f>General!$B$2</f>
        <v>PJ</v>
      </c>
      <c r="R18" s="85" t="str">
        <f>General!$B$2&amp;"a"</f>
        <v>PJa</v>
      </c>
      <c r="S18" s="85" t="s">
        <v>399</v>
      </c>
    </row>
    <row r="19" spans="2:21">
      <c r="C19" s="5" t="str">
        <f t="shared" si="4"/>
        <v>FT-RSDBIOBGS00</v>
      </c>
      <c r="D19" s="5" t="str">
        <f t="shared" si="4"/>
        <v xml:space="preserve">Fuel Tech -Biogas (RSD)  </v>
      </c>
      <c r="E19" s="5" t="str">
        <f>Commodities!D24</f>
        <v>BIOBGS</v>
      </c>
      <c r="F19" s="99" t="str">
        <f>Commodities!D41</f>
        <v>RSDBIOBGS</v>
      </c>
      <c r="G19" s="85">
        <v>1</v>
      </c>
      <c r="H19" s="11">
        <v>0.01</v>
      </c>
      <c r="I19" s="8"/>
      <c r="J19" s="11"/>
      <c r="O19" s="5" t="str">
        <f>"FT-"&amp;Commodities!D37&amp;"S01"</f>
        <v>FT-RSDGASNATS01</v>
      </c>
      <c r="P19" s="5" t="s">
        <v>935</v>
      </c>
      <c r="Q19" s="85" t="str">
        <f>General!$B$2</f>
        <v>PJ</v>
      </c>
      <c r="R19" s="85" t="str">
        <f>General!$B$2&amp;"a"</f>
        <v>PJa</v>
      </c>
      <c r="S19" s="85" t="s">
        <v>399</v>
      </c>
    </row>
    <row r="20" spans="2:21">
      <c r="C20" s="5" t="str">
        <f t="shared" si="4"/>
        <v>FT-RSDBIOPLT00</v>
      </c>
      <c r="D20" s="5" t="str">
        <f t="shared" si="4"/>
        <v xml:space="preserve">Fuel Tech -Pellet (RSD)  </v>
      </c>
      <c r="E20" s="5" t="str">
        <f>Commodities!D25</f>
        <v>BIOPLT</v>
      </c>
      <c r="F20" s="99" t="str">
        <f>Commodities!D42</f>
        <v>RSDBIOPLT</v>
      </c>
      <c r="G20" s="85">
        <v>1</v>
      </c>
      <c r="H20" s="11">
        <v>0.01</v>
      </c>
      <c r="I20" s="8"/>
      <c r="J20" s="11"/>
      <c r="O20" s="5" t="str">
        <f>"FT-"&amp;Commodities!D38&amp;"00"</f>
        <v>FT-RSDBIOLOG00</v>
      </c>
      <c r="P20" s="5" t="s">
        <v>429</v>
      </c>
      <c r="Q20" s="85" t="str">
        <f>General!$B$2</f>
        <v>PJ</v>
      </c>
      <c r="R20" s="85" t="str">
        <f>General!$B$2&amp;"a"</f>
        <v>PJa</v>
      </c>
      <c r="S20" s="85"/>
    </row>
    <row r="21" spans="2:21">
      <c r="C21" s="5" t="str">
        <f t="shared" si="4"/>
        <v>FT-RSDBIOCHR00</v>
      </c>
      <c r="D21" s="5" t="str">
        <f t="shared" si="4"/>
        <v xml:space="preserve">Fuel Tech -Charcoal (RSD)  </v>
      </c>
      <c r="E21" s="5" t="str">
        <f>Commodities!D26</f>
        <v>BIOCHR</v>
      </c>
      <c r="F21" s="99" t="str">
        <f>Commodities!D43</f>
        <v>RSDBIOCHR</v>
      </c>
      <c r="G21" s="85">
        <v>1</v>
      </c>
      <c r="H21" s="11">
        <v>0.01</v>
      </c>
      <c r="I21" s="8"/>
      <c r="J21" s="11"/>
      <c r="O21" s="5" t="str">
        <f>"FT-"&amp;Commodities!D41&amp;"00"</f>
        <v>FT-RSDBIOBGS00</v>
      </c>
      <c r="P21" s="5" t="s">
        <v>430</v>
      </c>
      <c r="Q21" s="85" t="str">
        <f>General!$B$2</f>
        <v>PJ</v>
      </c>
      <c r="R21" s="85" t="str">
        <f>General!$B$2&amp;"a"</f>
        <v>PJa</v>
      </c>
      <c r="S21" s="85"/>
    </row>
    <row r="22" spans="2:21">
      <c r="C22" s="5" t="str">
        <f t="shared" si="4"/>
        <v>FT-RSDRESSOL00</v>
      </c>
      <c r="D22" s="5" t="str">
        <f t="shared" si="4"/>
        <v xml:space="preserve">Fuel Tech -Solar Energy (RSD)  </v>
      </c>
      <c r="E22" s="5" t="str">
        <f>Commodities!D28</f>
        <v>RESSOL</v>
      </c>
      <c r="F22" s="99" t="str">
        <f>Commodities!D44</f>
        <v>RSDRESSOL</v>
      </c>
      <c r="G22" s="85">
        <v>1</v>
      </c>
      <c r="H22" s="11">
        <v>0.01</v>
      </c>
      <c r="I22" s="8"/>
      <c r="J22" s="11"/>
      <c r="O22" s="5" t="str">
        <f>"FT-"&amp;Commodities!D42&amp;"00"</f>
        <v>FT-RSDBIOPLT00</v>
      </c>
      <c r="P22" s="5" t="s">
        <v>431</v>
      </c>
      <c r="Q22" s="85" t="str">
        <f>General!$B$2</f>
        <v>PJ</v>
      </c>
      <c r="R22" s="85" t="str">
        <f>General!$B$2&amp;"a"</f>
        <v>PJa</v>
      </c>
      <c r="S22" s="85"/>
    </row>
    <row r="23" spans="2:21">
      <c r="C23" s="5" t="str">
        <f t="shared" si="4"/>
        <v>FT-RSDRESGEO00</v>
      </c>
      <c r="D23" s="5" t="str">
        <f t="shared" si="4"/>
        <v xml:space="preserve">Fuel Tech -Geothermal Energy (RSD)  </v>
      </c>
      <c r="E23" s="5" t="str">
        <f>Commodities!D30</f>
        <v>RESGEO</v>
      </c>
      <c r="F23" s="99" t="str">
        <f>Commodities!D45</f>
        <v>RSDRESGEO</v>
      </c>
      <c r="G23" s="85">
        <v>1</v>
      </c>
      <c r="H23" s="11">
        <v>0.01</v>
      </c>
      <c r="I23" s="8"/>
      <c r="J23" s="11"/>
      <c r="O23" s="5" t="str">
        <f>"FT-"&amp;Commodities!D43&amp;"00"</f>
        <v>FT-RSDBIOCHR00</v>
      </c>
      <c r="P23" s="5" t="s">
        <v>432</v>
      </c>
      <c r="Q23" s="85" t="str">
        <f>General!$B$2</f>
        <v>PJ</v>
      </c>
      <c r="R23" s="85" t="str">
        <f>General!$B$2&amp;"a"</f>
        <v>PJa</v>
      </c>
      <c r="S23" s="85"/>
    </row>
    <row r="24" spans="2:21">
      <c r="I24" s="8"/>
      <c r="O24" s="5" t="str">
        <f>"FT-"&amp;Commodities!D44&amp;"00"</f>
        <v>FT-RSDRESSOL00</v>
      </c>
      <c r="P24" s="5" t="s">
        <v>433</v>
      </c>
      <c r="Q24" s="85" t="str">
        <f>General!$B$2</f>
        <v>PJ</v>
      </c>
      <c r="R24" s="85" t="str">
        <f>General!$B$2&amp;"a"</f>
        <v>PJa</v>
      </c>
      <c r="S24" s="85"/>
    </row>
    <row r="25" spans="2:21">
      <c r="M25" s="100"/>
      <c r="N25" s="100"/>
      <c r="O25" s="100" t="str">
        <f>"FT-"&amp;Commodities!D45&amp;"00"</f>
        <v>FT-RSDRESGEO00</v>
      </c>
      <c r="P25" s="100" t="s">
        <v>434</v>
      </c>
      <c r="Q25" s="101" t="str">
        <f>General!$B$2</f>
        <v>PJ</v>
      </c>
      <c r="R25" s="101" t="str">
        <f>General!$B$2&amp;"a"</f>
        <v>PJa</v>
      </c>
      <c r="S25" s="101"/>
      <c r="T25" s="100"/>
      <c r="U25" s="100"/>
    </row>
    <row r="26" spans="2:21">
      <c r="F26" s="105" t="s">
        <v>15</v>
      </c>
      <c r="G26" s="105"/>
      <c r="J26" s="104"/>
      <c r="M26" s="100" t="s">
        <v>272</v>
      </c>
      <c r="N26" s="100"/>
      <c r="O26" s="100" t="str">
        <f>"FT-"&amp;Commodities!D48&amp;"00"</f>
        <v>FT-RSDELC00</v>
      </c>
      <c r="P26" s="100" t="s">
        <v>435</v>
      </c>
      <c r="Q26" s="101" t="str">
        <f>General!$B$2</f>
        <v>PJ</v>
      </c>
      <c r="R26" s="101" t="str">
        <f>General!$B$5</f>
        <v>GW</v>
      </c>
      <c r="S26" s="101" t="s">
        <v>125</v>
      </c>
      <c r="T26" s="100"/>
      <c r="U26" s="100"/>
    </row>
    <row r="27" spans="2:21">
      <c r="B27" s="88" t="s">
        <v>34</v>
      </c>
      <c r="C27" s="88" t="s">
        <v>1</v>
      </c>
      <c r="D27" s="88" t="s">
        <v>42</v>
      </c>
      <c r="E27" s="88" t="s">
        <v>7</v>
      </c>
      <c r="F27" s="89" t="s">
        <v>8</v>
      </c>
      <c r="G27" s="90" t="s">
        <v>17</v>
      </c>
      <c r="H27" s="90" t="s">
        <v>3</v>
      </c>
      <c r="I27" s="90" t="s">
        <v>6</v>
      </c>
      <c r="J27" s="90" t="s">
        <v>278</v>
      </c>
      <c r="M27" s="5" t="s">
        <v>270</v>
      </c>
      <c r="O27" s="5" t="str">
        <f>C49</f>
        <v>DELIV_LTH_A1</v>
      </c>
      <c r="P27" s="5" t="str">
        <f>D49</f>
        <v>Deliverty Heating Area1</v>
      </c>
      <c r="Q27" s="85" t="str">
        <f>General!$B$2</f>
        <v>PJ</v>
      </c>
      <c r="R27" s="85" t="str">
        <f>General!$B$2&amp;"a"</f>
        <v>PJa</v>
      </c>
      <c r="S27" s="85" t="str">
        <f>S26</f>
        <v>DAYNITE</v>
      </c>
    </row>
    <row r="28" spans="2:21" ht="28.2" thickBot="1">
      <c r="B28" s="92" t="s">
        <v>146</v>
      </c>
      <c r="C28" s="93" t="s">
        <v>25</v>
      </c>
      <c r="D28" s="93" t="s">
        <v>26</v>
      </c>
      <c r="E28" s="93" t="s">
        <v>36</v>
      </c>
      <c r="F28" s="94" t="s">
        <v>37</v>
      </c>
      <c r="G28" s="93" t="s">
        <v>38</v>
      </c>
      <c r="H28" s="93" t="s">
        <v>41</v>
      </c>
      <c r="I28" s="93" t="s">
        <v>40</v>
      </c>
      <c r="J28" s="93" t="s">
        <v>271</v>
      </c>
      <c r="O28" s="5" t="str">
        <f t="shared" ref="O28:P30" si="5">C50</f>
        <v>DELIV_LTH_A2</v>
      </c>
      <c r="P28" s="5" t="str">
        <f t="shared" si="5"/>
        <v>Deliverty Heating Area2</v>
      </c>
      <c r="Q28" s="85" t="str">
        <f>General!$B$2</f>
        <v>PJ</v>
      </c>
      <c r="R28" s="85" t="str">
        <f>General!$B$2&amp;"a"</f>
        <v>PJa</v>
      </c>
      <c r="S28" s="85" t="str">
        <f>S27</f>
        <v>DAYNITE</v>
      </c>
    </row>
    <row r="29" spans="2:21">
      <c r="B29" s="96" t="s">
        <v>147</v>
      </c>
      <c r="C29" s="96"/>
      <c r="D29" s="97"/>
      <c r="E29" s="97"/>
      <c r="F29" s="98" t="s">
        <v>269</v>
      </c>
      <c r="G29" s="97" t="s">
        <v>279</v>
      </c>
      <c r="H29" s="97" t="str">
        <f>General!$D$14</f>
        <v>$/GJ/a</v>
      </c>
      <c r="I29" s="97" t="str">
        <f>General!$D$15</f>
        <v>$/GJ</v>
      </c>
      <c r="J29" s="97" t="str">
        <f>General!$D$16</f>
        <v>GJ/kW</v>
      </c>
      <c r="O29" s="5" t="str">
        <f t="shared" si="5"/>
        <v>DELIV_LTH_A3</v>
      </c>
      <c r="P29" s="5" t="str">
        <f t="shared" si="5"/>
        <v>Deliverty Heating Area3</v>
      </c>
      <c r="Q29" s="85" t="str">
        <f>General!$B$2</f>
        <v>PJ</v>
      </c>
      <c r="R29" s="85" t="str">
        <f>General!$B$2&amp;"a"</f>
        <v>PJa</v>
      </c>
      <c r="S29" s="85" t="str">
        <f t="shared" ref="S29:S30" si="6">S28</f>
        <v>DAYNITE</v>
      </c>
    </row>
    <row r="30" spans="2:21">
      <c r="C30" s="5" t="str">
        <f>O26</f>
        <v>FT-RSDELC00</v>
      </c>
      <c r="D30" s="5" t="str">
        <f>P26</f>
        <v xml:space="preserve">Fuel Tech -Electricity (RSD)  </v>
      </c>
      <c r="E30" s="5" t="str">
        <f>Commodities!D49</f>
        <v>ELCMLO</v>
      </c>
      <c r="F30" s="99"/>
      <c r="G30" s="85">
        <v>1</v>
      </c>
      <c r="H30" s="85"/>
      <c r="I30" s="85"/>
      <c r="J30" s="85">
        <v>31.536000000000001</v>
      </c>
      <c r="O30" s="5" t="str">
        <f t="shared" si="5"/>
        <v>DELIV_LTH_A4</v>
      </c>
      <c r="P30" s="5" t="str">
        <f t="shared" si="5"/>
        <v>Deliverty Heating Area4</v>
      </c>
      <c r="Q30" s="85" t="str">
        <f>General!$B$2</f>
        <v>PJ</v>
      </c>
      <c r="R30" s="85" t="str">
        <f>General!$B$2&amp;"a"</f>
        <v>PJa</v>
      </c>
      <c r="S30" s="85" t="str">
        <f t="shared" si="6"/>
        <v>DAYNITE</v>
      </c>
    </row>
    <row r="31" spans="2:21">
      <c r="B31" s="100"/>
      <c r="C31" s="100"/>
      <c r="D31" s="100"/>
      <c r="E31" s="100"/>
      <c r="F31" s="102" t="str">
        <f>Commodities!D48</f>
        <v>RSDELC</v>
      </c>
      <c r="G31" s="100"/>
      <c r="H31" s="100"/>
      <c r="I31" s="100"/>
      <c r="J31" s="100"/>
    </row>
    <row r="34" spans="2:11">
      <c r="F34" s="105" t="s">
        <v>15</v>
      </c>
      <c r="G34" s="105"/>
      <c r="J34" s="104"/>
    </row>
    <row r="35" spans="2:11" ht="27.6">
      <c r="B35" s="88" t="s">
        <v>34</v>
      </c>
      <c r="C35" s="88" t="s">
        <v>1</v>
      </c>
      <c r="D35" s="88" t="s">
        <v>42</v>
      </c>
      <c r="E35" s="88" t="s">
        <v>7</v>
      </c>
      <c r="F35" s="89" t="s">
        <v>8</v>
      </c>
      <c r="G35" s="90" t="s">
        <v>17</v>
      </c>
      <c r="H35" s="90" t="s">
        <v>3</v>
      </c>
      <c r="I35" s="90" t="s">
        <v>977</v>
      </c>
      <c r="J35" s="90" t="s">
        <v>936</v>
      </c>
      <c r="K35" s="90" t="s">
        <v>938</v>
      </c>
    </row>
    <row r="36" spans="2:11" ht="28.2" thickBot="1">
      <c r="B36" s="92" t="s">
        <v>146</v>
      </c>
      <c r="C36" s="93" t="s">
        <v>25</v>
      </c>
      <c r="D36" s="93" t="s">
        <v>26</v>
      </c>
      <c r="E36" s="93" t="s">
        <v>36</v>
      </c>
      <c r="F36" s="94" t="s">
        <v>37</v>
      </c>
      <c r="G36" s="93" t="s">
        <v>38</v>
      </c>
      <c r="H36" s="93" t="s">
        <v>41</v>
      </c>
      <c r="I36" s="93" t="s">
        <v>978</v>
      </c>
      <c r="J36" s="93"/>
      <c r="K36" s="93" t="s">
        <v>937</v>
      </c>
    </row>
    <row r="37" spans="2:11">
      <c r="B37" s="96" t="s">
        <v>147</v>
      </c>
      <c r="C37" s="96"/>
      <c r="D37" s="97"/>
      <c r="E37" s="97"/>
      <c r="F37" s="98" t="s">
        <v>269</v>
      </c>
      <c r="G37" s="97" t="s">
        <v>279</v>
      </c>
      <c r="H37" s="97" t="str">
        <f>General!$D$14</f>
        <v>$/GJ/a</v>
      </c>
      <c r="I37" s="97" t="s">
        <v>274</v>
      </c>
      <c r="J37" s="97"/>
      <c r="K37" s="97" t="str">
        <f>General!$D$14</f>
        <v>$/GJ/a</v>
      </c>
    </row>
    <row r="38" spans="2:11">
      <c r="C38" s="5" t="str">
        <f>O17</f>
        <v>FT-RSDGASNATD01</v>
      </c>
      <c r="D38" s="5" t="str">
        <f>P17</f>
        <v xml:space="preserve">Fuel Tech -Natural Gas (RSD) - Dense New  </v>
      </c>
      <c r="E38" s="5" t="str">
        <f>E15</f>
        <v>GASNAT_LP</v>
      </c>
      <c r="F38" s="99"/>
      <c r="G38" s="85">
        <v>1</v>
      </c>
      <c r="H38" s="85"/>
      <c r="I38" s="85">
        <v>30</v>
      </c>
      <c r="J38" s="85">
        <v>2020</v>
      </c>
      <c r="K38" s="85">
        <v>1</v>
      </c>
    </row>
    <row r="39" spans="2:11">
      <c r="B39" s="100"/>
      <c r="C39" s="100"/>
      <c r="D39" s="100"/>
      <c r="E39" s="100"/>
      <c r="F39" s="102" t="str">
        <f>F15</f>
        <v>RSDGASNAT</v>
      </c>
      <c r="G39" s="100"/>
      <c r="H39" s="100"/>
      <c r="I39" s="100"/>
      <c r="J39" s="100"/>
      <c r="K39" s="100"/>
    </row>
    <row r="40" spans="2:11">
      <c r="C40" s="5" t="str">
        <f>O18</f>
        <v>FT-RSDGASNATM01</v>
      </c>
      <c r="D40" s="5" t="str">
        <f>P18</f>
        <v xml:space="preserve">Fuel Tech -Natural Gas (RSD) - Medium New  </v>
      </c>
      <c r="E40" s="5" t="str">
        <f>E38</f>
        <v>GASNAT_LP</v>
      </c>
      <c r="F40" s="99"/>
      <c r="G40" s="85">
        <v>1</v>
      </c>
      <c r="H40" s="85"/>
      <c r="I40" s="85">
        <v>30</v>
      </c>
      <c r="J40" s="85">
        <v>2020</v>
      </c>
      <c r="K40" s="85">
        <v>3</v>
      </c>
    </row>
    <row r="41" spans="2:11">
      <c r="B41" s="100"/>
      <c r="C41" s="100"/>
      <c r="D41" s="100"/>
      <c r="E41" s="100"/>
      <c r="F41" s="102" t="str">
        <f>F39</f>
        <v>RSDGASNAT</v>
      </c>
      <c r="G41" s="100"/>
      <c r="H41" s="100"/>
      <c r="I41" s="100"/>
      <c r="J41" s="100"/>
      <c r="K41" s="100"/>
    </row>
    <row r="42" spans="2:11">
      <c r="C42" s="5" t="str">
        <f>O19</f>
        <v>FT-RSDGASNATS01</v>
      </c>
      <c r="D42" s="5" t="str">
        <f>P19</f>
        <v xml:space="preserve">Fuel Tech -Natural Gas (RSD) - Sparse New  </v>
      </c>
      <c r="E42" s="5" t="str">
        <f>E40</f>
        <v>GASNAT_LP</v>
      </c>
      <c r="F42" s="99"/>
      <c r="G42" s="85">
        <v>1</v>
      </c>
      <c r="H42" s="85"/>
      <c r="I42" s="85">
        <v>30</v>
      </c>
      <c r="J42" s="85">
        <v>2020</v>
      </c>
      <c r="K42" s="85">
        <v>7</v>
      </c>
    </row>
    <row r="43" spans="2:11">
      <c r="B43" s="100"/>
      <c r="C43" s="100"/>
      <c r="D43" s="100"/>
      <c r="E43" s="100"/>
      <c r="F43" s="102" t="str">
        <f>F41</f>
        <v>RSDGASNAT</v>
      </c>
      <c r="G43" s="100"/>
      <c r="H43" s="100"/>
      <c r="I43" s="100"/>
      <c r="J43" s="100"/>
      <c r="K43" s="100"/>
    </row>
    <row r="45" spans="2:11">
      <c r="F45" s="105" t="s">
        <v>15</v>
      </c>
      <c r="G45" s="105"/>
      <c r="J45" s="104"/>
    </row>
    <row r="46" spans="2:11">
      <c r="B46" s="88" t="s">
        <v>34</v>
      </c>
      <c r="C46" s="88" t="s">
        <v>1</v>
      </c>
      <c r="D46" s="88" t="s">
        <v>42</v>
      </c>
      <c r="E46" s="88" t="s">
        <v>7</v>
      </c>
      <c r="F46" s="89" t="s">
        <v>8</v>
      </c>
      <c r="G46" s="90" t="s">
        <v>17</v>
      </c>
      <c r="H46" s="90" t="s">
        <v>6</v>
      </c>
      <c r="I46" s="90" t="s">
        <v>977</v>
      </c>
      <c r="J46" s="90" t="s">
        <v>936</v>
      </c>
    </row>
    <row r="47" spans="2:11" ht="28.2" thickBot="1">
      <c r="B47" s="92" t="s">
        <v>146</v>
      </c>
      <c r="C47" s="93" t="s">
        <v>25</v>
      </c>
      <c r="D47" s="93" t="s">
        <v>26</v>
      </c>
      <c r="E47" s="93" t="s">
        <v>36</v>
      </c>
      <c r="F47" s="94" t="s">
        <v>37</v>
      </c>
      <c r="G47" s="93" t="s">
        <v>38</v>
      </c>
      <c r="H47" s="93" t="s">
        <v>40</v>
      </c>
      <c r="I47" s="93" t="s">
        <v>978</v>
      </c>
      <c r="J47" s="93"/>
    </row>
    <row r="48" spans="2:11">
      <c r="B48" s="96" t="s">
        <v>147</v>
      </c>
      <c r="C48" s="96"/>
      <c r="D48" s="97"/>
      <c r="E48" s="97"/>
      <c r="F48" s="98" t="s">
        <v>269</v>
      </c>
      <c r="G48" s="97" t="s">
        <v>279</v>
      </c>
      <c r="H48" s="97" t="str">
        <f>General!$D$15</f>
        <v>$/GJ</v>
      </c>
      <c r="I48" s="97" t="s">
        <v>274</v>
      </c>
      <c r="J48" s="97"/>
    </row>
    <row r="49" spans="2:10">
      <c r="C49" s="5" t="s">
        <v>981</v>
      </c>
      <c r="D49" s="5" t="s">
        <v>985</v>
      </c>
      <c r="E49" s="5" t="str">
        <f>Commodities!D50</f>
        <v>RSDLTH</v>
      </c>
      <c r="F49" s="5" t="str">
        <f>Commodities!D54</f>
        <v>RSDLTHA1</v>
      </c>
      <c r="G49" s="5">
        <v>1</v>
      </c>
      <c r="H49" s="5">
        <v>0.1</v>
      </c>
    </row>
    <row r="50" spans="2:10">
      <c r="C50" s="5" t="s">
        <v>982</v>
      </c>
      <c r="D50" s="5" t="s">
        <v>986</v>
      </c>
      <c r="E50" s="5" t="str">
        <f>E49</f>
        <v>RSDLTH</v>
      </c>
      <c r="F50" s="5" t="str">
        <f>Commodities!D55</f>
        <v>RSDLTHA2</v>
      </c>
      <c r="G50" s="5">
        <v>1</v>
      </c>
      <c r="H50" s="5">
        <v>0.2</v>
      </c>
    </row>
    <row r="51" spans="2:10">
      <c r="C51" s="5" t="s">
        <v>983</v>
      </c>
      <c r="D51" s="5" t="s">
        <v>987</v>
      </c>
      <c r="E51" s="5" t="str">
        <f t="shared" ref="E51:E52" si="7">E50</f>
        <v>RSDLTH</v>
      </c>
      <c r="F51" s="5" t="str">
        <f>Commodities!D56</f>
        <v>RSDLTHA3</v>
      </c>
      <c r="G51" s="5">
        <v>1</v>
      </c>
      <c r="H51" s="5">
        <v>0.1</v>
      </c>
    </row>
    <row r="52" spans="2:10">
      <c r="B52" s="100"/>
      <c r="C52" s="100" t="s">
        <v>984</v>
      </c>
      <c r="D52" s="100" t="s">
        <v>988</v>
      </c>
      <c r="E52" s="100" t="str">
        <f t="shared" si="7"/>
        <v>RSDLTH</v>
      </c>
      <c r="F52" s="100" t="str">
        <f>Commodities!D57</f>
        <v>RSDLTHA4</v>
      </c>
      <c r="G52" s="100">
        <v>1</v>
      </c>
      <c r="H52" s="100">
        <v>0.15</v>
      </c>
      <c r="I52" s="100"/>
      <c r="J52" s="100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9"/>
  <dimension ref="A1:BZ49"/>
  <sheetViews>
    <sheetView zoomScale="85" zoomScaleNormal="85" workbookViewId="0">
      <pane xSplit="7" ySplit="2" topLeftCell="BK3" activePane="bottomRight" state="frozen"/>
      <selection activeCell="P34" sqref="P34"/>
      <selection pane="topRight" activeCell="P34" sqref="P34"/>
      <selection pane="bottomLeft" activeCell="P34" sqref="P34"/>
      <selection pane="bottomRight" sqref="A1:XFD1048576"/>
    </sheetView>
  </sheetViews>
  <sheetFormatPr defaultRowHeight="13.2"/>
  <cols>
    <col min="1" max="4" width="8.88671875" style="51"/>
    <col min="5" max="5" width="12.6640625" style="51" bestFit="1" customWidth="1"/>
    <col min="6" max="7" width="8.88671875" style="51"/>
    <col min="8" max="8" width="9.6640625" style="51" bestFit="1" customWidth="1"/>
    <col min="9" max="77" width="8.88671875" style="51"/>
    <col min="78" max="78" width="11.33203125" style="51" bestFit="1" customWidth="1"/>
    <col min="79" max="16384" width="8.88671875" style="51"/>
  </cols>
  <sheetData>
    <row r="1" spans="1:76" ht="16.5" customHeight="1" thickBot="1">
      <c r="A1" s="54"/>
      <c r="B1" s="54"/>
      <c r="C1" s="55"/>
      <c r="D1" s="55"/>
      <c r="E1" s="55"/>
      <c r="F1" s="56"/>
      <c r="G1" s="56"/>
      <c r="H1" s="57" t="s">
        <v>148</v>
      </c>
      <c r="I1" s="57">
        <v>2000</v>
      </c>
      <c r="J1" s="57">
        <v>2115</v>
      </c>
      <c r="K1" s="57">
        <v>2116</v>
      </c>
      <c r="L1" s="57">
        <v>2117</v>
      </c>
      <c r="M1" s="57">
        <v>2118</v>
      </c>
      <c r="N1" s="57">
        <v>2210</v>
      </c>
      <c r="O1" s="57">
        <v>2112</v>
      </c>
      <c r="P1" s="57">
        <v>2121</v>
      </c>
      <c r="Q1" s="57">
        <v>2122</v>
      </c>
      <c r="R1" s="57">
        <v>2130</v>
      </c>
      <c r="S1" s="57">
        <v>2230</v>
      </c>
      <c r="T1" s="57">
        <v>2310</v>
      </c>
      <c r="U1" s="57">
        <v>2330</v>
      </c>
      <c r="V1" s="57">
        <v>2410</v>
      </c>
      <c r="W1" s="57">
        <v>3000</v>
      </c>
      <c r="X1" s="57">
        <v>3105</v>
      </c>
      <c r="Y1" s="57">
        <v>3106</v>
      </c>
      <c r="Z1" s="57">
        <v>3191</v>
      </c>
      <c r="AA1" s="57">
        <v>3192</v>
      </c>
      <c r="AB1" s="57">
        <v>3193</v>
      </c>
      <c r="AC1" s="57">
        <v>3214</v>
      </c>
      <c r="AD1" s="57">
        <v>3215</v>
      </c>
      <c r="AE1" s="57">
        <v>3220</v>
      </c>
      <c r="AF1" s="57">
        <v>3234</v>
      </c>
      <c r="AG1" s="57">
        <v>3235</v>
      </c>
      <c r="AH1" s="57">
        <v>3246</v>
      </c>
      <c r="AI1" s="57">
        <v>3247</v>
      </c>
      <c r="AJ1" s="57">
        <v>3244</v>
      </c>
      <c r="AK1" s="57">
        <v>3250</v>
      </c>
      <c r="AL1" s="57">
        <v>3260</v>
      </c>
      <c r="AM1" s="57" t="s">
        <v>149</v>
      </c>
      <c r="AN1" s="57">
        <v>3281</v>
      </c>
      <c r="AO1" s="57">
        <v>3282</v>
      </c>
      <c r="AP1" s="57">
        <v>3283</v>
      </c>
      <c r="AQ1" s="57">
        <v>3285</v>
      </c>
      <c r="AR1" s="57">
        <v>3286</v>
      </c>
      <c r="AS1" s="57">
        <v>3295</v>
      </c>
      <c r="AT1" s="57">
        <v>4000</v>
      </c>
      <c r="AU1" s="57">
        <v>4100</v>
      </c>
      <c r="AV1" s="57">
        <v>4210</v>
      </c>
      <c r="AW1" s="57">
        <v>4220</v>
      </c>
      <c r="AX1" s="57">
        <v>4230</v>
      </c>
      <c r="AY1" s="57">
        <v>4240</v>
      </c>
      <c r="AZ1" s="57">
        <v>5500</v>
      </c>
      <c r="BA1" s="57">
        <v>5510</v>
      </c>
      <c r="BB1" s="57">
        <v>5520</v>
      </c>
      <c r="BC1" s="57">
        <v>5535</v>
      </c>
      <c r="BD1" s="57">
        <v>5532</v>
      </c>
      <c r="BE1" s="57">
        <v>5534</v>
      </c>
      <c r="BF1" s="57">
        <v>5541</v>
      </c>
      <c r="BG1" s="58" t="s">
        <v>405</v>
      </c>
      <c r="BH1" s="59"/>
      <c r="BI1" s="59"/>
      <c r="BJ1" s="60"/>
      <c r="BK1" s="57">
        <v>5544</v>
      </c>
      <c r="BL1" s="57">
        <v>5542</v>
      </c>
      <c r="BM1" s="57">
        <v>55431</v>
      </c>
      <c r="BN1" s="57">
        <v>5546</v>
      </c>
      <c r="BO1" s="57">
        <v>5547</v>
      </c>
      <c r="BP1" s="57">
        <v>5549</v>
      </c>
      <c r="BQ1" s="57">
        <v>5548</v>
      </c>
      <c r="BR1" s="57">
        <v>5550</v>
      </c>
      <c r="BS1" s="57">
        <v>7200</v>
      </c>
      <c r="BT1" s="57">
        <v>7100</v>
      </c>
      <c r="BU1" s="57">
        <v>55432</v>
      </c>
      <c r="BV1" s="57">
        <v>5100</v>
      </c>
      <c r="BW1" s="57">
        <v>5200</v>
      </c>
      <c r="BX1" s="57">
        <v>6000</v>
      </c>
    </row>
    <row r="2" spans="1:76" ht="16.5" customHeight="1">
      <c r="A2" s="61" t="s">
        <v>925</v>
      </c>
      <c r="B2" s="62"/>
      <c r="C2" s="62"/>
      <c r="D2" s="62"/>
      <c r="E2" s="63" t="s">
        <v>1000</v>
      </c>
      <c r="F2" s="64" t="s">
        <v>480</v>
      </c>
      <c r="G2" s="65"/>
      <c r="H2" s="66" t="s">
        <v>150</v>
      </c>
      <c r="I2" s="67" t="s">
        <v>151</v>
      </c>
      <c r="J2" s="65" t="s">
        <v>53</v>
      </c>
      <c r="K2" s="65" t="s">
        <v>406</v>
      </c>
      <c r="L2" s="66" t="s">
        <v>55</v>
      </c>
      <c r="M2" s="66" t="s">
        <v>407</v>
      </c>
      <c r="N2" s="66" t="s">
        <v>152</v>
      </c>
      <c r="O2" s="66" t="s">
        <v>408</v>
      </c>
      <c r="P2" s="66" t="s">
        <v>56</v>
      </c>
      <c r="Q2" s="65" t="s">
        <v>409</v>
      </c>
      <c r="R2" s="65" t="s">
        <v>57</v>
      </c>
      <c r="S2" s="65" t="s">
        <v>153</v>
      </c>
      <c r="T2" s="65" t="s">
        <v>410</v>
      </c>
      <c r="U2" s="66" t="s">
        <v>411</v>
      </c>
      <c r="V2" s="66" t="s">
        <v>412</v>
      </c>
      <c r="W2" s="67" t="s">
        <v>154</v>
      </c>
      <c r="X2" s="66" t="s">
        <v>155</v>
      </c>
      <c r="Y2" s="66" t="s">
        <v>156</v>
      </c>
      <c r="Z2" s="66" t="s">
        <v>157</v>
      </c>
      <c r="AA2" s="66" t="s">
        <v>158</v>
      </c>
      <c r="AB2" s="66" t="s">
        <v>159</v>
      </c>
      <c r="AC2" s="66" t="s">
        <v>60</v>
      </c>
      <c r="AD2" s="66" t="s">
        <v>413</v>
      </c>
      <c r="AE2" s="66" t="s">
        <v>160</v>
      </c>
      <c r="AF2" s="66" t="s">
        <v>161</v>
      </c>
      <c r="AG2" s="66" t="s">
        <v>65</v>
      </c>
      <c r="AH2" s="66" t="s">
        <v>162</v>
      </c>
      <c r="AI2" s="66" t="s">
        <v>163</v>
      </c>
      <c r="AJ2" s="66" t="s">
        <v>164</v>
      </c>
      <c r="AK2" s="66" t="s">
        <v>71</v>
      </c>
      <c r="AL2" s="66" t="s">
        <v>165</v>
      </c>
      <c r="AM2" s="66" t="s">
        <v>166</v>
      </c>
      <c r="AN2" s="66" t="s">
        <v>167</v>
      </c>
      <c r="AO2" s="66" t="s">
        <v>75</v>
      </c>
      <c r="AP2" s="66" t="s">
        <v>73</v>
      </c>
      <c r="AQ2" s="66" t="s">
        <v>72</v>
      </c>
      <c r="AR2" s="66" t="s">
        <v>168</v>
      </c>
      <c r="AS2" s="66" t="s">
        <v>169</v>
      </c>
      <c r="AT2" s="67" t="s">
        <v>170</v>
      </c>
      <c r="AU2" s="66" t="s">
        <v>171</v>
      </c>
      <c r="AV2" s="66" t="s">
        <v>172</v>
      </c>
      <c r="AW2" s="66" t="s">
        <v>173</v>
      </c>
      <c r="AX2" s="66" t="s">
        <v>414</v>
      </c>
      <c r="AY2" s="66" t="s">
        <v>415</v>
      </c>
      <c r="AZ2" s="68" t="s">
        <v>174</v>
      </c>
      <c r="BA2" s="66" t="s">
        <v>175</v>
      </c>
      <c r="BB2" s="66" t="s">
        <v>176</v>
      </c>
      <c r="BC2" s="66" t="s">
        <v>416</v>
      </c>
      <c r="BD2" s="66" t="s">
        <v>177</v>
      </c>
      <c r="BE2" s="66" t="s">
        <v>178</v>
      </c>
      <c r="BF2" s="66" t="s">
        <v>179</v>
      </c>
      <c r="BG2" s="68" t="s">
        <v>417</v>
      </c>
      <c r="BH2" s="66" t="s">
        <v>418</v>
      </c>
      <c r="BI2" s="66" t="s">
        <v>419</v>
      </c>
      <c r="BJ2" s="69" t="s">
        <v>420</v>
      </c>
      <c r="BK2" s="66" t="s">
        <v>93</v>
      </c>
      <c r="BL2" s="66" t="s">
        <v>180</v>
      </c>
      <c r="BM2" s="66" t="s">
        <v>181</v>
      </c>
      <c r="BN2" s="66" t="s">
        <v>421</v>
      </c>
      <c r="BO2" s="66" t="s">
        <v>86</v>
      </c>
      <c r="BP2" s="66" t="s">
        <v>422</v>
      </c>
      <c r="BQ2" s="66" t="s">
        <v>423</v>
      </c>
      <c r="BR2" s="66" t="s">
        <v>182</v>
      </c>
      <c r="BS2" s="68" t="s">
        <v>183</v>
      </c>
      <c r="BT2" s="66" t="s">
        <v>184</v>
      </c>
      <c r="BU2" s="66" t="s">
        <v>185</v>
      </c>
      <c r="BV2" s="68" t="s">
        <v>424</v>
      </c>
      <c r="BW2" s="68" t="s">
        <v>186</v>
      </c>
      <c r="BX2" s="67" t="s">
        <v>187</v>
      </c>
    </row>
    <row r="3" spans="1:76" ht="11.25" customHeight="1">
      <c r="A3" s="70" t="s">
        <v>188</v>
      </c>
      <c r="B3" s="70"/>
      <c r="C3" s="70"/>
      <c r="D3" s="70"/>
      <c r="E3" s="70"/>
      <c r="F3" s="71" t="s">
        <v>189</v>
      </c>
      <c r="G3" s="71"/>
      <c r="H3" s="72"/>
      <c r="I3" s="73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3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4"/>
      <c r="AR3" s="72"/>
      <c r="AS3" s="72"/>
      <c r="AT3" s="73"/>
      <c r="AU3" s="72"/>
      <c r="AV3" s="72"/>
      <c r="AW3" s="72"/>
      <c r="AX3" s="72"/>
      <c r="AY3" s="72"/>
      <c r="AZ3" s="73"/>
      <c r="BA3" s="72"/>
      <c r="BB3" s="72"/>
      <c r="BC3" s="72"/>
      <c r="BD3" s="72"/>
      <c r="BE3" s="72"/>
      <c r="BF3" s="72"/>
      <c r="BG3" s="73"/>
      <c r="BH3" s="72"/>
      <c r="BI3" s="72"/>
      <c r="BJ3" s="75"/>
      <c r="BK3" s="72"/>
      <c r="BL3" s="72"/>
      <c r="BM3" s="72"/>
      <c r="BN3" s="72"/>
      <c r="BO3" s="72"/>
      <c r="BP3" s="72"/>
      <c r="BQ3" s="72"/>
      <c r="BR3" s="72"/>
      <c r="BS3" s="73"/>
      <c r="BT3" s="72"/>
      <c r="BU3" s="72"/>
      <c r="BV3" s="73"/>
      <c r="BW3" s="73"/>
      <c r="BX3" s="73"/>
    </row>
    <row r="4" spans="1:76" ht="11.25" customHeight="1">
      <c r="A4" s="70" t="s">
        <v>190</v>
      </c>
      <c r="B4" s="70"/>
      <c r="C4" s="70"/>
      <c r="D4" s="70"/>
      <c r="E4" s="70"/>
      <c r="F4" s="71" t="s">
        <v>191</v>
      </c>
      <c r="G4" s="71"/>
      <c r="H4" s="72"/>
      <c r="I4" s="73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3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4"/>
      <c r="AR4" s="72"/>
      <c r="AS4" s="72"/>
      <c r="AT4" s="73"/>
      <c r="AU4" s="72"/>
      <c r="AV4" s="72"/>
      <c r="AW4" s="72"/>
      <c r="AX4" s="72"/>
      <c r="AY4" s="72"/>
      <c r="AZ4" s="73"/>
      <c r="BA4" s="72"/>
      <c r="BB4" s="72"/>
      <c r="BC4" s="72"/>
      <c r="BD4" s="72"/>
      <c r="BE4" s="72"/>
      <c r="BF4" s="72"/>
      <c r="BG4" s="73"/>
      <c r="BH4" s="72"/>
      <c r="BI4" s="72"/>
      <c r="BJ4" s="75"/>
      <c r="BK4" s="72"/>
      <c r="BL4" s="72"/>
      <c r="BM4" s="72"/>
      <c r="BN4" s="72"/>
      <c r="BO4" s="72"/>
      <c r="BP4" s="72"/>
      <c r="BQ4" s="72"/>
      <c r="BR4" s="72"/>
      <c r="BS4" s="73"/>
      <c r="BT4" s="72"/>
      <c r="BU4" s="72"/>
      <c r="BV4" s="73"/>
      <c r="BW4" s="73"/>
      <c r="BX4" s="73"/>
    </row>
    <row r="5" spans="1:76" ht="11.25" customHeight="1">
      <c r="A5" s="70" t="s">
        <v>192</v>
      </c>
      <c r="B5" s="70" t="s">
        <v>193</v>
      </c>
      <c r="C5" s="70"/>
      <c r="D5" s="70"/>
      <c r="E5" s="70"/>
      <c r="F5" s="71" t="s">
        <v>194</v>
      </c>
      <c r="G5" s="71"/>
      <c r="H5" s="72"/>
      <c r="I5" s="73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3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4"/>
      <c r="AR5" s="72"/>
      <c r="AS5" s="72"/>
      <c r="AT5" s="73"/>
      <c r="AU5" s="72"/>
      <c r="AV5" s="72"/>
      <c r="AW5" s="72"/>
      <c r="AX5" s="72"/>
      <c r="AY5" s="72"/>
      <c r="AZ5" s="73"/>
      <c r="BA5" s="72"/>
      <c r="BB5" s="72"/>
      <c r="BC5" s="72"/>
      <c r="BD5" s="72"/>
      <c r="BE5" s="72"/>
      <c r="BF5" s="72"/>
      <c r="BG5" s="73"/>
      <c r="BH5" s="72"/>
      <c r="BI5" s="72"/>
      <c r="BJ5" s="75"/>
      <c r="BK5" s="72"/>
      <c r="BL5" s="72"/>
      <c r="BM5" s="72"/>
      <c r="BN5" s="72"/>
      <c r="BO5" s="72"/>
      <c r="BP5" s="72"/>
      <c r="BQ5" s="72"/>
      <c r="BR5" s="72"/>
      <c r="BS5" s="73"/>
      <c r="BT5" s="72"/>
      <c r="BU5" s="72"/>
      <c r="BV5" s="73"/>
      <c r="BW5" s="73"/>
      <c r="BX5" s="73"/>
    </row>
    <row r="6" spans="1:76" ht="11.25" customHeight="1">
      <c r="A6" s="70" t="s">
        <v>192</v>
      </c>
      <c r="B6" s="70" t="s">
        <v>195</v>
      </c>
      <c r="C6" s="70"/>
      <c r="D6" s="70"/>
      <c r="E6" s="70"/>
      <c r="F6" s="71" t="s">
        <v>196</v>
      </c>
      <c r="G6" s="71"/>
      <c r="H6" s="72"/>
      <c r="I6" s="73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3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4"/>
      <c r="AR6" s="72"/>
      <c r="AS6" s="72"/>
      <c r="AT6" s="73"/>
      <c r="AU6" s="72"/>
      <c r="AV6" s="72"/>
      <c r="AW6" s="72"/>
      <c r="AX6" s="72"/>
      <c r="AY6" s="72"/>
      <c r="AZ6" s="73"/>
      <c r="BA6" s="72"/>
      <c r="BB6" s="72"/>
      <c r="BC6" s="72"/>
      <c r="BD6" s="72"/>
      <c r="BE6" s="72"/>
      <c r="BF6" s="72"/>
      <c r="BG6" s="73"/>
      <c r="BH6" s="72"/>
      <c r="BI6" s="72"/>
      <c r="BJ6" s="75"/>
      <c r="BK6" s="72"/>
      <c r="BL6" s="72"/>
      <c r="BM6" s="72"/>
      <c r="BN6" s="72"/>
      <c r="BO6" s="72"/>
      <c r="BP6" s="72"/>
      <c r="BQ6" s="72"/>
      <c r="BR6" s="72"/>
      <c r="BS6" s="73"/>
      <c r="BT6" s="72"/>
      <c r="BU6" s="72"/>
      <c r="BV6" s="73"/>
      <c r="BW6" s="73"/>
      <c r="BX6" s="73"/>
    </row>
    <row r="7" spans="1:76" ht="11.25" customHeight="1">
      <c r="A7" s="70" t="s">
        <v>192</v>
      </c>
      <c r="B7" s="70" t="s">
        <v>197</v>
      </c>
      <c r="C7" s="70"/>
      <c r="D7" s="70"/>
      <c r="E7" s="70"/>
      <c r="F7" s="71" t="s">
        <v>198</v>
      </c>
      <c r="G7" s="71"/>
      <c r="H7" s="72"/>
      <c r="I7" s="73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3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4"/>
      <c r="AR7" s="72"/>
      <c r="AS7" s="72"/>
      <c r="AT7" s="73"/>
      <c r="AU7" s="72"/>
      <c r="AV7" s="72"/>
      <c r="AW7" s="72"/>
      <c r="AX7" s="72"/>
      <c r="AY7" s="72"/>
      <c r="AZ7" s="73"/>
      <c r="BA7" s="72"/>
      <c r="BB7" s="72"/>
      <c r="BC7" s="72"/>
      <c r="BD7" s="72"/>
      <c r="BE7" s="72"/>
      <c r="BF7" s="72"/>
      <c r="BG7" s="73"/>
      <c r="BH7" s="72"/>
      <c r="BI7" s="72"/>
      <c r="BJ7" s="75"/>
      <c r="BK7" s="72"/>
      <c r="BL7" s="72"/>
      <c r="BM7" s="72"/>
      <c r="BN7" s="72"/>
      <c r="BO7" s="72"/>
      <c r="BP7" s="72"/>
      <c r="BQ7" s="72"/>
      <c r="BR7" s="72"/>
      <c r="BS7" s="73"/>
      <c r="BT7" s="72"/>
      <c r="BU7" s="72"/>
      <c r="BV7" s="73"/>
      <c r="BW7" s="73"/>
      <c r="BX7" s="73"/>
    </row>
    <row r="8" spans="1:76" ht="11.25" customHeight="1">
      <c r="A8" s="70"/>
      <c r="B8" s="70"/>
      <c r="C8" s="70" t="s">
        <v>199</v>
      </c>
      <c r="D8" s="70"/>
      <c r="E8" s="70"/>
      <c r="F8" s="71" t="s">
        <v>200</v>
      </c>
      <c r="G8" s="71"/>
      <c r="H8" s="72"/>
      <c r="I8" s="73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3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4"/>
      <c r="AR8" s="72"/>
      <c r="AS8" s="72"/>
      <c r="AT8" s="73"/>
      <c r="AU8" s="72"/>
      <c r="AV8" s="72"/>
      <c r="AW8" s="72"/>
      <c r="AX8" s="72"/>
      <c r="AY8" s="72"/>
      <c r="AZ8" s="73"/>
      <c r="BA8" s="72"/>
      <c r="BB8" s="72"/>
      <c r="BC8" s="72"/>
      <c r="BD8" s="72"/>
      <c r="BE8" s="72"/>
      <c r="BF8" s="72"/>
      <c r="BG8" s="73"/>
      <c r="BH8" s="72"/>
      <c r="BI8" s="72"/>
      <c r="BJ8" s="75"/>
      <c r="BK8" s="72"/>
      <c r="BL8" s="72"/>
      <c r="BM8" s="72"/>
      <c r="BN8" s="72"/>
      <c r="BO8" s="72"/>
      <c r="BP8" s="72"/>
      <c r="BQ8" s="72"/>
      <c r="BR8" s="72"/>
      <c r="BS8" s="73"/>
      <c r="BT8" s="72"/>
      <c r="BU8" s="72"/>
      <c r="BV8" s="73"/>
      <c r="BW8" s="73"/>
      <c r="BX8" s="73"/>
    </row>
    <row r="9" spans="1:76" ht="11.25" customHeight="1">
      <c r="A9" s="70" t="s">
        <v>192</v>
      </c>
      <c r="B9" s="70" t="s">
        <v>201</v>
      </c>
      <c r="C9" s="70"/>
      <c r="D9" s="70"/>
      <c r="E9" s="70"/>
      <c r="F9" s="71" t="s">
        <v>202</v>
      </c>
      <c r="G9" s="71"/>
      <c r="H9" s="72"/>
      <c r="I9" s="73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3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4"/>
      <c r="AR9" s="72"/>
      <c r="AS9" s="72"/>
      <c r="AT9" s="73"/>
      <c r="AU9" s="72"/>
      <c r="AV9" s="72"/>
      <c r="AW9" s="72"/>
      <c r="AX9" s="72"/>
      <c r="AY9" s="72"/>
      <c r="AZ9" s="73"/>
      <c r="BA9" s="72"/>
      <c r="BB9" s="72"/>
      <c r="BC9" s="72"/>
      <c r="BD9" s="72"/>
      <c r="BE9" s="72"/>
      <c r="BF9" s="72"/>
      <c r="BG9" s="73"/>
      <c r="BH9" s="72"/>
      <c r="BI9" s="72"/>
      <c r="BJ9" s="75"/>
      <c r="BK9" s="72"/>
      <c r="BL9" s="72"/>
      <c r="BM9" s="72"/>
      <c r="BN9" s="72"/>
      <c r="BO9" s="72"/>
      <c r="BP9" s="72"/>
      <c r="BQ9" s="72"/>
      <c r="BR9" s="72"/>
      <c r="BS9" s="73"/>
      <c r="BT9" s="72"/>
      <c r="BU9" s="72"/>
      <c r="BV9" s="73"/>
      <c r="BW9" s="73"/>
      <c r="BX9" s="73"/>
    </row>
    <row r="10" spans="1:76" ht="11.25" customHeight="1">
      <c r="A10" s="70" t="s">
        <v>192</v>
      </c>
      <c r="B10" s="70" t="s">
        <v>203</v>
      </c>
      <c r="C10" s="70"/>
      <c r="D10" s="70"/>
      <c r="E10" s="70"/>
      <c r="F10" s="71" t="s">
        <v>204</v>
      </c>
      <c r="G10" s="71"/>
      <c r="H10" s="72"/>
      <c r="I10" s="73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3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4"/>
      <c r="AR10" s="72"/>
      <c r="AS10" s="72"/>
      <c r="AT10" s="73"/>
      <c r="AU10" s="72"/>
      <c r="AV10" s="72"/>
      <c r="AW10" s="72"/>
      <c r="AX10" s="72"/>
      <c r="AY10" s="72"/>
      <c r="AZ10" s="73"/>
      <c r="BA10" s="72"/>
      <c r="BB10" s="72"/>
      <c r="BC10" s="72"/>
      <c r="BD10" s="72"/>
      <c r="BE10" s="72"/>
      <c r="BF10" s="72"/>
      <c r="BG10" s="73"/>
      <c r="BH10" s="72"/>
      <c r="BI10" s="72"/>
      <c r="BJ10" s="75"/>
      <c r="BK10" s="72"/>
      <c r="BL10" s="72"/>
      <c r="BM10" s="72"/>
      <c r="BN10" s="72"/>
      <c r="BO10" s="72"/>
      <c r="BP10" s="72"/>
      <c r="BQ10" s="72"/>
      <c r="BR10" s="72"/>
      <c r="BS10" s="73"/>
      <c r="BT10" s="72"/>
      <c r="BU10" s="72"/>
      <c r="BV10" s="73"/>
      <c r="BW10" s="73"/>
      <c r="BX10" s="73"/>
    </row>
    <row r="11" spans="1:76" ht="11.25" customHeight="1">
      <c r="A11" s="70" t="s">
        <v>192</v>
      </c>
      <c r="B11" s="70" t="s">
        <v>205</v>
      </c>
      <c r="C11" s="70"/>
      <c r="D11" s="70"/>
      <c r="E11" s="70"/>
      <c r="F11" s="71" t="s">
        <v>206</v>
      </c>
      <c r="G11" s="71"/>
      <c r="H11" s="72"/>
      <c r="I11" s="73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3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4"/>
      <c r="AR11" s="72"/>
      <c r="AS11" s="72"/>
      <c r="AT11" s="73"/>
      <c r="AU11" s="72"/>
      <c r="AV11" s="72"/>
      <c r="AW11" s="72"/>
      <c r="AX11" s="72"/>
      <c r="AY11" s="72"/>
      <c r="AZ11" s="73"/>
      <c r="BA11" s="72"/>
      <c r="BB11" s="72"/>
      <c r="BC11" s="72"/>
      <c r="BD11" s="72"/>
      <c r="BE11" s="72"/>
      <c r="BF11" s="72"/>
      <c r="BG11" s="73"/>
      <c r="BH11" s="72"/>
      <c r="BI11" s="72"/>
      <c r="BJ11" s="75"/>
      <c r="BK11" s="72"/>
      <c r="BL11" s="72"/>
      <c r="BM11" s="72"/>
      <c r="BN11" s="72"/>
      <c r="BO11" s="72"/>
      <c r="BP11" s="72"/>
      <c r="BQ11" s="72"/>
      <c r="BR11" s="72"/>
      <c r="BS11" s="73"/>
      <c r="BT11" s="72"/>
      <c r="BU11" s="72"/>
      <c r="BV11" s="73"/>
      <c r="BW11" s="73"/>
      <c r="BX11" s="73"/>
    </row>
    <row r="12" spans="1:76" ht="11.25" customHeight="1">
      <c r="A12" s="70" t="s">
        <v>207</v>
      </c>
      <c r="B12" s="70"/>
      <c r="C12" s="70"/>
      <c r="D12" s="70"/>
      <c r="E12" s="70"/>
      <c r="F12" s="71" t="s">
        <v>208</v>
      </c>
      <c r="G12" s="71"/>
      <c r="H12" s="72"/>
      <c r="I12" s="73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3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4"/>
      <c r="AR12" s="72"/>
      <c r="AS12" s="72"/>
      <c r="AT12" s="73"/>
      <c r="AU12" s="72"/>
      <c r="AV12" s="72"/>
      <c r="AW12" s="72"/>
      <c r="AX12" s="72"/>
      <c r="AY12" s="72"/>
      <c r="AZ12" s="73"/>
      <c r="BA12" s="72"/>
      <c r="BB12" s="72"/>
      <c r="BC12" s="72"/>
      <c r="BD12" s="72"/>
      <c r="BE12" s="72"/>
      <c r="BF12" s="72"/>
      <c r="BG12" s="73"/>
      <c r="BH12" s="72"/>
      <c r="BI12" s="72"/>
      <c r="BJ12" s="75"/>
      <c r="BK12" s="72"/>
      <c r="BL12" s="72"/>
      <c r="BM12" s="72"/>
      <c r="BN12" s="72"/>
      <c r="BO12" s="72"/>
      <c r="BP12" s="72"/>
      <c r="BQ12" s="72"/>
      <c r="BR12" s="72"/>
      <c r="BS12" s="73"/>
      <c r="BT12" s="72"/>
      <c r="BU12" s="72"/>
      <c r="BV12" s="73"/>
      <c r="BW12" s="73"/>
      <c r="BX12" s="73"/>
    </row>
    <row r="13" spans="1:76" ht="11.25" customHeight="1">
      <c r="A13" s="70" t="s">
        <v>192</v>
      </c>
      <c r="B13" s="70" t="s">
        <v>209</v>
      </c>
      <c r="C13" s="70"/>
      <c r="D13" s="70"/>
      <c r="E13" s="70"/>
      <c r="F13" s="71" t="s">
        <v>210</v>
      </c>
      <c r="G13" s="71"/>
      <c r="H13" s="72"/>
      <c r="I13" s="73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3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4"/>
      <c r="AR13" s="72"/>
      <c r="AS13" s="72"/>
      <c r="AT13" s="73"/>
      <c r="AU13" s="72"/>
      <c r="AV13" s="72"/>
      <c r="AW13" s="72"/>
      <c r="AX13" s="72"/>
      <c r="AY13" s="72"/>
      <c r="AZ13" s="73"/>
      <c r="BA13" s="72"/>
      <c r="BB13" s="72"/>
      <c r="BC13" s="72"/>
      <c r="BD13" s="72"/>
      <c r="BE13" s="72"/>
      <c r="BF13" s="72"/>
      <c r="BG13" s="73"/>
      <c r="BH13" s="72"/>
      <c r="BI13" s="72"/>
      <c r="BJ13" s="75"/>
      <c r="BK13" s="72"/>
      <c r="BL13" s="72"/>
      <c r="BM13" s="72"/>
      <c r="BN13" s="72"/>
      <c r="BO13" s="72"/>
      <c r="BP13" s="72"/>
      <c r="BQ13" s="72"/>
      <c r="BR13" s="72"/>
      <c r="BS13" s="73"/>
      <c r="BT13" s="72"/>
      <c r="BU13" s="72"/>
      <c r="BV13" s="73"/>
      <c r="BW13" s="73"/>
      <c r="BX13" s="73"/>
    </row>
    <row r="14" spans="1:76" ht="11.25" customHeight="1">
      <c r="A14" s="70"/>
      <c r="B14" s="70" t="s">
        <v>192</v>
      </c>
      <c r="C14" s="70" t="s">
        <v>211</v>
      </c>
      <c r="D14" s="70"/>
      <c r="E14" s="70"/>
      <c r="F14" s="71" t="s">
        <v>212</v>
      </c>
      <c r="G14" s="71"/>
      <c r="H14" s="72"/>
      <c r="I14" s="73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3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4"/>
      <c r="AR14" s="72"/>
      <c r="AS14" s="72"/>
      <c r="AT14" s="73"/>
      <c r="AU14" s="72"/>
      <c r="AV14" s="72"/>
      <c r="AW14" s="72"/>
      <c r="AX14" s="72"/>
      <c r="AY14" s="72"/>
      <c r="AZ14" s="73"/>
      <c r="BA14" s="72"/>
      <c r="BB14" s="72"/>
      <c r="BC14" s="72"/>
      <c r="BD14" s="72"/>
      <c r="BE14" s="72"/>
      <c r="BF14" s="72"/>
      <c r="BG14" s="73"/>
      <c r="BH14" s="72"/>
      <c r="BI14" s="72"/>
      <c r="BJ14" s="75"/>
      <c r="BK14" s="72"/>
      <c r="BL14" s="72"/>
      <c r="BM14" s="72"/>
      <c r="BN14" s="72"/>
      <c r="BO14" s="72"/>
      <c r="BP14" s="72"/>
      <c r="BQ14" s="72"/>
      <c r="BR14" s="72"/>
      <c r="BS14" s="73"/>
      <c r="BT14" s="72"/>
      <c r="BU14" s="72"/>
      <c r="BV14" s="73"/>
      <c r="BW14" s="73"/>
      <c r="BX14" s="73"/>
    </row>
    <row r="15" spans="1:76" ht="11.25" customHeight="1">
      <c r="A15" s="70"/>
      <c r="B15" s="70" t="s">
        <v>192</v>
      </c>
      <c r="C15" s="70" t="s">
        <v>213</v>
      </c>
      <c r="D15" s="70"/>
      <c r="E15" s="70"/>
      <c r="F15" s="71" t="s">
        <v>214</v>
      </c>
      <c r="G15" s="71"/>
      <c r="H15" s="72"/>
      <c r="I15" s="73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3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4"/>
      <c r="AR15" s="72"/>
      <c r="AS15" s="72"/>
      <c r="AT15" s="73"/>
      <c r="AU15" s="72"/>
      <c r="AV15" s="72"/>
      <c r="AW15" s="72"/>
      <c r="AX15" s="72"/>
      <c r="AY15" s="72"/>
      <c r="AZ15" s="73"/>
      <c r="BA15" s="72"/>
      <c r="BB15" s="72"/>
      <c r="BC15" s="72"/>
      <c r="BD15" s="72"/>
      <c r="BE15" s="72"/>
      <c r="BF15" s="72"/>
      <c r="BG15" s="73"/>
      <c r="BH15" s="72"/>
      <c r="BI15" s="72"/>
      <c r="BJ15" s="75"/>
      <c r="BK15" s="72"/>
      <c r="BL15" s="72"/>
      <c r="BM15" s="72"/>
      <c r="BN15" s="72"/>
      <c r="BO15" s="72"/>
      <c r="BP15" s="72"/>
      <c r="BQ15" s="72"/>
      <c r="BR15" s="72"/>
      <c r="BS15" s="73"/>
      <c r="BT15" s="72"/>
      <c r="BU15" s="72"/>
      <c r="BV15" s="73"/>
      <c r="BW15" s="73"/>
      <c r="BX15" s="73"/>
    </row>
    <row r="16" spans="1:76" ht="11.25" customHeight="1">
      <c r="A16" s="70"/>
      <c r="B16" s="70" t="s">
        <v>192</v>
      </c>
      <c r="C16" s="70" t="s">
        <v>215</v>
      </c>
      <c r="D16" s="70"/>
      <c r="E16" s="70"/>
      <c r="F16" s="71" t="s">
        <v>216</v>
      </c>
      <c r="G16" s="71"/>
      <c r="H16" s="72"/>
      <c r="I16" s="73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3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4"/>
      <c r="AR16" s="72"/>
      <c r="AS16" s="72"/>
      <c r="AT16" s="73"/>
      <c r="AU16" s="72"/>
      <c r="AV16" s="72"/>
      <c r="AW16" s="72"/>
      <c r="AX16" s="72"/>
      <c r="AY16" s="72"/>
      <c r="AZ16" s="73"/>
      <c r="BA16" s="72"/>
      <c r="BB16" s="72"/>
      <c r="BC16" s="72"/>
      <c r="BD16" s="72"/>
      <c r="BE16" s="72"/>
      <c r="BF16" s="72"/>
      <c r="BG16" s="73"/>
      <c r="BH16" s="72"/>
      <c r="BI16" s="72"/>
      <c r="BJ16" s="75"/>
      <c r="BK16" s="72"/>
      <c r="BL16" s="72"/>
      <c r="BM16" s="72"/>
      <c r="BN16" s="72"/>
      <c r="BO16" s="72"/>
      <c r="BP16" s="72"/>
      <c r="BQ16" s="72"/>
      <c r="BR16" s="72"/>
      <c r="BS16" s="73"/>
      <c r="BT16" s="72"/>
      <c r="BU16" s="72"/>
      <c r="BV16" s="73"/>
      <c r="BW16" s="73"/>
      <c r="BX16" s="73"/>
    </row>
    <row r="17" spans="1:76" ht="11.25" customHeight="1">
      <c r="A17" s="70"/>
      <c r="B17" s="70" t="s">
        <v>192</v>
      </c>
      <c r="C17" s="70" t="s">
        <v>217</v>
      </c>
      <c r="D17" s="70"/>
      <c r="E17" s="70"/>
      <c r="F17" s="71" t="s">
        <v>218</v>
      </c>
      <c r="G17" s="71"/>
      <c r="H17" s="72"/>
      <c r="I17" s="73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3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4"/>
      <c r="AR17" s="72"/>
      <c r="AS17" s="72"/>
      <c r="AT17" s="73"/>
      <c r="AU17" s="72"/>
      <c r="AV17" s="72"/>
      <c r="AW17" s="72"/>
      <c r="AX17" s="72"/>
      <c r="AY17" s="72"/>
      <c r="AZ17" s="73"/>
      <c r="BA17" s="72"/>
      <c r="BB17" s="72"/>
      <c r="BC17" s="72"/>
      <c r="BD17" s="72"/>
      <c r="BE17" s="72"/>
      <c r="BF17" s="72"/>
      <c r="BG17" s="73"/>
      <c r="BH17" s="72"/>
      <c r="BI17" s="72"/>
      <c r="BJ17" s="75"/>
      <c r="BK17" s="72"/>
      <c r="BL17" s="72"/>
      <c r="BM17" s="72"/>
      <c r="BN17" s="72"/>
      <c r="BO17" s="72"/>
      <c r="BP17" s="72"/>
      <c r="BQ17" s="72"/>
      <c r="BR17" s="72"/>
      <c r="BS17" s="73"/>
      <c r="BT17" s="72"/>
      <c r="BU17" s="72"/>
      <c r="BV17" s="73"/>
      <c r="BW17" s="73"/>
      <c r="BX17" s="73"/>
    </row>
    <row r="18" spans="1:76" ht="11.25" customHeight="1">
      <c r="A18" s="70"/>
      <c r="B18" s="70" t="s">
        <v>192</v>
      </c>
      <c r="C18" s="70" t="s">
        <v>219</v>
      </c>
      <c r="D18" s="70"/>
      <c r="E18" s="70"/>
      <c r="F18" s="71" t="s">
        <v>220</v>
      </c>
      <c r="G18" s="71"/>
      <c r="H18" s="72"/>
      <c r="I18" s="73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3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4"/>
      <c r="AR18" s="72"/>
      <c r="AS18" s="72"/>
      <c r="AT18" s="73"/>
      <c r="AU18" s="72"/>
      <c r="AV18" s="72"/>
      <c r="AW18" s="72"/>
      <c r="AX18" s="72"/>
      <c r="AY18" s="72"/>
      <c r="AZ18" s="73"/>
      <c r="BA18" s="72"/>
      <c r="BB18" s="72"/>
      <c r="BC18" s="72"/>
      <c r="BD18" s="72"/>
      <c r="BE18" s="72"/>
      <c r="BF18" s="72"/>
      <c r="BG18" s="73"/>
      <c r="BH18" s="72"/>
      <c r="BI18" s="72"/>
      <c r="BJ18" s="75"/>
      <c r="BK18" s="72"/>
      <c r="BL18" s="72"/>
      <c r="BM18" s="72"/>
      <c r="BN18" s="72"/>
      <c r="BO18" s="72"/>
      <c r="BP18" s="72"/>
      <c r="BQ18" s="72"/>
      <c r="BR18" s="72"/>
      <c r="BS18" s="73"/>
      <c r="BT18" s="72"/>
      <c r="BU18" s="72"/>
      <c r="BV18" s="73"/>
      <c r="BW18" s="73"/>
      <c r="BX18" s="73"/>
    </row>
    <row r="19" spans="1:76" ht="11.25" customHeight="1">
      <c r="A19" s="70"/>
      <c r="B19" s="70" t="s">
        <v>192</v>
      </c>
      <c r="C19" s="70" t="s">
        <v>221</v>
      </c>
      <c r="D19" s="70"/>
      <c r="E19" s="70"/>
      <c r="F19" s="71" t="s">
        <v>222</v>
      </c>
      <c r="G19" s="71"/>
      <c r="H19" s="72"/>
      <c r="I19" s="73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3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4"/>
      <c r="AR19" s="72"/>
      <c r="AS19" s="72"/>
      <c r="AT19" s="73"/>
      <c r="AU19" s="72"/>
      <c r="AV19" s="72"/>
      <c r="AW19" s="72"/>
      <c r="AX19" s="72"/>
      <c r="AY19" s="72"/>
      <c r="AZ19" s="73"/>
      <c r="BA19" s="72"/>
      <c r="BB19" s="72"/>
      <c r="BC19" s="72"/>
      <c r="BD19" s="72"/>
      <c r="BE19" s="72"/>
      <c r="BF19" s="72"/>
      <c r="BG19" s="73"/>
      <c r="BH19" s="72"/>
      <c r="BI19" s="72"/>
      <c r="BJ19" s="75"/>
      <c r="BK19" s="72"/>
      <c r="BL19" s="72"/>
      <c r="BM19" s="72"/>
      <c r="BN19" s="72"/>
      <c r="BO19" s="72"/>
      <c r="BP19" s="72"/>
      <c r="BQ19" s="72"/>
      <c r="BR19" s="72"/>
      <c r="BS19" s="73"/>
      <c r="BT19" s="72"/>
      <c r="BU19" s="72"/>
      <c r="BV19" s="73"/>
      <c r="BW19" s="73"/>
      <c r="BX19" s="73"/>
    </row>
    <row r="20" spans="1:76" ht="11.25" customHeight="1">
      <c r="A20" s="70"/>
      <c r="B20" s="70" t="s">
        <v>192</v>
      </c>
      <c r="C20" s="70" t="s">
        <v>223</v>
      </c>
      <c r="D20" s="70"/>
      <c r="E20" s="70"/>
      <c r="F20" s="71" t="s">
        <v>224</v>
      </c>
      <c r="G20" s="71"/>
      <c r="H20" s="72"/>
      <c r="I20" s="73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3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4"/>
      <c r="AR20" s="72"/>
      <c r="AS20" s="72"/>
      <c r="AT20" s="73"/>
      <c r="AU20" s="72"/>
      <c r="AV20" s="72"/>
      <c r="AW20" s="72"/>
      <c r="AX20" s="72"/>
      <c r="AY20" s="72"/>
      <c r="AZ20" s="73"/>
      <c r="BA20" s="72"/>
      <c r="BB20" s="72"/>
      <c r="BC20" s="72"/>
      <c r="BD20" s="72"/>
      <c r="BE20" s="72"/>
      <c r="BF20" s="72"/>
      <c r="BG20" s="73"/>
      <c r="BH20" s="72"/>
      <c r="BI20" s="72"/>
      <c r="BJ20" s="75"/>
      <c r="BK20" s="72"/>
      <c r="BL20" s="72"/>
      <c r="BM20" s="72"/>
      <c r="BN20" s="72"/>
      <c r="BO20" s="72"/>
      <c r="BP20" s="72"/>
      <c r="BQ20" s="72"/>
      <c r="BR20" s="72"/>
      <c r="BS20" s="73"/>
      <c r="BT20" s="72"/>
      <c r="BU20" s="72"/>
      <c r="BV20" s="73"/>
      <c r="BW20" s="73"/>
      <c r="BX20" s="73"/>
    </row>
    <row r="21" spans="1:76" ht="11.25" customHeight="1">
      <c r="A21" s="70"/>
      <c r="B21" s="70" t="s">
        <v>192</v>
      </c>
      <c r="C21" s="70" t="s">
        <v>225</v>
      </c>
      <c r="D21" s="70"/>
      <c r="E21" s="70"/>
      <c r="F21" s="71" t="s">
        <v>226</v>
      </c>
      <c r="G21" s="71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3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4"/>
      <c r="AR21" s="72"/>
      <c r="AS21" s="72"/>
      <c r="AT21" s="73"/>
      <c r="AU21" s="72"/>
      <c r="AV21" s="72"/>
      <c r="AW21" s="72"/>
      <c r="AX21" s="72"/>
      <c r="AY21" s="72"/>
      <c r="AZ21" s="73"/>
      <c r="BA21" s="72"/>
      <c r="BB21" s="72"/>
      <c r="BC21" s="72"/>
      <c r="BD21" s="72"/>
      <c r="BE21" s="72"/>
      <c r="BF21" s="72"/>
      <c r="BG21" s="73"/>
      <c r="BH21" s="72"/>
      <c r="BI21" s="72"/>
      <c r="BJ21" s="75"/>
      <c r="BK21" s="72"/>
      <c r="BL21" s="72"/>
      <c r="BM21" s="72"/>
      <c r="BN21" s="72"/>
      <c r="BO21" s="72"/>
      <c r="BP21" s="72"/>
      <c r="BQ21" s="72"/>
      <c r="BR21" s="72"/>
      <c r="BS21" s="73"/>
      <c r="BT21" s="72"/>
      <c r="BU21" s="72"/>
      <c r="BV21" s="73"/>
      <c r="BW21" s="73"/>
      <c r="BX21" s="73"/>
    </row>
    <row r="22" spans="1:76" ht="11.25" customHeight="1">
      <c r="A22" s="70"/>
      <c r="B22" s="70" t="s">
        <v>192</v>
      </c>
      <c r="C22" s="70" t="s">
        <v>227</v>
      </c>
      <c r="D22" s="70"/>
      <c r="E22" s="70"/>
      <c r="F22" s="71" t="s">
        <v>228</v>
      </c>
      <c r="G22" s="71"/>
      <c r="H22" s="72"/>
      <c r="I22" s="73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3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4"/>
      <c r="AR22" s="72"/>
      <c r="AS22" s="72"/>
      <c r="AT22" s="73"/>
      <c r="AU22" s="72"/>
      <c r="AV22" s="72"/>
      <c r="AW22" s="72"/>
      <c r="AX22" s="72"/>
      <c r="AY22" s="72"/>
      <c r="AZ22" s="73"/>
      <c r="BA22" s="72"/>
      <c r="BB22" s="72"/>
      <c r="BC22" s="72"/>
      <c r="BD22" s="72"/>
      <c r="BE22" s="72"/>
      <c r="BF22" s="72"/>
      <c r="BG22" s="73"/>
      <c r="BH22" s="72"/>
      <c r="BI22" s="72"/>
      <c r="BJ22" s="75"/>
      <c r="BK22" s="72"/>
      <c r="BL22" s="72"/>
      <c r="BM22" s="72"/>
      <c r="BN22" s="72"/>
      <c r="BO22" s="72"/>
      <c r="BP22" s="72"/>
      <c r="BQ22" s="72"/>
      <c r="BR22" s="72"/>
      <c r="BS22" s="73"/>
      <c r="BT22" s="72"/>
      <c r="BU22" s="72"/>
      <c r="BV22" s="73"/>
      <c r="BW22" s="73"/>
      <c r="BX22" s="73"/>
    </row>
    <row r="23" spans="1:76" ht="11.25" customHeight="1">
      <c r="A23" s="70"/>
      <c r="B23" s="70" t="s">
        <v>192</v>
      </c>
      <c r="C23" s="70" t="s">
        <v>229</v>
      </c>
      <c r="D23" s="70"/>
      <c r="E23" s="70"/>
      <c r="F23" s="71" t="s">
        <v>230</v>
      </c>
      <c r="G23" s="71"/>
      <c r="H23" s="72"/>
      <c r="I23" s="73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3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4"/>
      <c r="AR23" s="72"/>
      <c r="AS23" s="72"/>
      <c r="AT23" s="73"/>
      <c r="AU23" s="72"/>
      <c r="AV23" s="72"/>
      <c r="AW23" s="72"/>
      <c r="AX23" s="72"/>
      <c r="AY23" s="72"/>
      <c r="AZ23" s="73"/>
      <c r="BA23" s="72"/>
      <c r="BB23" s="72"/>
      <c r="BC23" s="72"/>
      <c r="BD23" s="72"/>
      <c r="BE23" s="72"/>
      <c r="BF23" s="72"/>
      <c r="BG23" s="73"/>
      <c r="BH23" s="72"/>
      <c r="BI23" s="72"/>
      <c r="BJ23" s="75"/>
      <c r="BK23" s="72"/>
      <c r="BL23" s="72"/>
      <c r="BM23" s="72"/>
      <c r="BN23" s="72"/>
      <c r="BO23" s="72"/>
      <c r="BP23" s="72"/>
      <c r="BQ23" s="72"/>
      <c r="BR23" s="72"/>
      <c r="BS23" s="73"/>
      <c r="BT23" s="72"/>
      <c r="BU23" s="72"/>
      <c r="BV23" s="73"/>
      <c r="BW23" s="73"/>
      <c r="BX23" s="73"/>
    </row>
    <row r="24" spans="1:76" ht="11.25" customHeight="1">
      <c r="A24" s="70"/>
      <c r="B24" s="70" t="s">
        <v>192</v>
      </c>
      <c r="C24" s="70" t="s">
        <v>231</v>
      </c>
      <c r="D24" s="70"/>
      <c r="E24" s="70"/>
      <c r="F24" s="71" t="s">
        <v>232</v>
      </c>
      <c r="G24" s="71"/>
      <c r="H24" s="72"/>
      <c r="I24" s="73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3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4"/>
      <c r="AR24" s="72"/>
      <c r="AS24" s="72"/>
      <c r="AT24" s="73"/>
      <c r="AU24" s="72"/>
      <c r="AV24" s="72"/>
      <c r="AW24" s="72"/>
      <c r="AX24" s="72"/>
      <c r="AY24" s="72"/>
      <c r="AZ24" s="73"/>
      <c r="BA24" s="72"/>
      <c r="BB24" s="72"/>
      <c r="BC24" s="72"/>
      <c r="BD24" s="72"/>
      <c r="BE24" s="72"/>
      <c r="BF24" s="72"/>
      <c r="BG24" s="73"/>
      <c r="BH24" s="72"/>
      <c r="BI24" s="72"/>
      <c r="BJ24" s="75"/>
      <c r="BK24" s="72"/>
      <c r="BL24" s="72"/>
      <c r="BM24" s="72"/>
      <c r="BN24" s="72"/>
      <c r="BO24" s="72"/>
      <c r="BP24" s="72"/>
      <c r="BQ24" s="72"/>
      <c r="BR24" s="72"/>
      <c r="BS24" s="73"/>
      <c r="BT24" s="72"/>
      <c r="BU24" s="72"/>
      <c r="BV24" s="73"/>
      <c r="BW24" s="73"/>
      <c r="BX24" s="73"/>
    </row>
    <row r="25" spans="1:76" ht="11.25" customHeight="1">
      <c r="A25" s="70"/>
      <c r="B25" s="70" t="s">
        <v>192</v>
      </c>
      <c r="C25" s="70" t="s">
        <v>233</v>
      </c>
      <c r="D25" s="70"/>
      <c r="E25" s="70"/>
      <c r="F25" s="71" t="s">
        <v>234</v>
      </c>
      <c r="G25" s="71"/>
      <c r="H25" s="72"/>
      <c r="I25" s="73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3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4"/>
      <c r="AR25" s="72"/>
      <c r="AS25" s="72"/>
      <c r="AT25" s="73"/>
      <c r="AU25" s="72"/>
      <c r="AV25" s="72"/>
      <c r="AW25" s="72"/>
      <c r="AX25" s="72"/>
      <c r="AY25" s="72"/>
      <c r="AZ25" s="73"/>
      <c r="BA25" s="72"/>
      <c r="BB25" s="72"/>
      <c r="BC25" s="72"/>
      <c r="BD25" s="72"/>
      <c r="BE25" s="72"/>
      <c r="BF25" s="72"/>
      <c r="BG25" s="73"/>
      <c r="BH25" s="72"/>
      <c r="BI25" s="72"/>
      <c r="BJ25" s="75"/>
      <c r="BK25" s="72"/>
      <c r="BL25" s="72"/>
      <c r="BM25" s="72"/>
      <c r="BN25" s="72"/>
      <c r="BO25" s="72"/>
      <c r="BP25" s="72"/>
      <c r="BQ25" s="72"/>
      <c r="BR25" s="72"/>
      <c r="BS25" s="73"/>
      <c r="BT25" s="72"/>
      <c r="BU25" s="72"/>
      <c r="BV25" s="73"/>
      <c r="BW25" s="73"/>
      <c r="BX25" s="73"/>
    </row>
    <row r="26" spans="1:76" ht="11.25" customHeight="1">
      <c r="A26" s="70"/>
      <c r="B26" s="70" t="s">
        <v>192</v>
      </c>
      <c r="C26" s="70" t="s">
        <v>235</v>
      </c>
      <c r="D26" s="70"/>
      <c r="E26" s="70"/>
      <c r="F26" s="71" t="s">
        <v>236</v>
      </c>
      <c r="G26" s="71"/>
      <c r="H26" s="72"/>
      <c r="I26" s="73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3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4"/>
      <c r="AR26" s="72"/>
      <c r="AS26" s="72"/>
      <c r="AT26" s="73"/>
      <c r="AU26" s="72"/>
      <c r="AV26" s="72"/>
      <c r="AW26" s="72"/>
      <c r="AX26" s="72"/>
      <c r="AY26" s="72"/>
      <c r="AZ26" s="73"/>
      <c r="BA26" s="72"/>
      <c r="BB26" s="72"/>
      <c r="BC26" s="72"/>
      <c r="BD26" s="72"/>
      <c r="BE26" s="72"/>
      <c r="BF26" s="72"/>
      <c r="BG26" s="73"/>
      <c r="BH26" s="72"/>
      <c r="BI26" s="72"/>
      <c r="BJ26" s="75"/>
      <c r="BK26" s="72"/>
      <c r="BL26" s="72"/>
      <c r="BM26" s="72"/>
      <c r="BN26" s="72"/>
      <c r="BO26" s="72"/>
      <c r="BP26" s="72"/>
      <c r="BQ26" s="72"/>
      <c r="BR26" s="72"/>
      <c r="BS26" s="73"/>
      <c r="BT26" s="72"/>
      <c r="BU26" s="72"/>
      <c r="BV26" s="73"/>
      <c r="BW26" s="73"/>
      <c r="BX26" s="73"/>
    </row>
    <row r="27" spans="1:76" ht="11.25" customHeight="1">
      <c r="A27" s="70" t="s">
        <v>192</v>
      </c>
      <c r="B27" s="70" t="s">
        <v>237</v>
      </c>
      <c r="C27" s="70"/>
      <c r="D27" s="70"/>
      <c r="E27" s="70"/>
      <c r="F27" s="71" t="s">
        <v>238</v>
      </c>
      <c r="G27" s="71"/>
      <c r="H27" s="72"/>
      <c r="I27" s="73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3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4"/>
      <c r="AR27" s="72"/>
      <c r="AS27" s="72"/>
      <c r="AT27" s="73"/>
      <c r="AU27" s="72"/>
      <c r="AV27" s="72"/>
      <c r="AW27" s="72"/>
      <c r="AX27" s="72"/>
      <c r="AY27" s="72"/>
      <c r="AZ27" s="73"/>
      <c r="BA27" s="72"/>
      <c r="BB27" s="72"/>
      <c r="BC27" s="72"/>
      <c r="BD27" s="72"/>
      <c r="BE27" s="72"/>
      <c r="BF27" s="72"/>
      <c r="BG27" s="73"/>
      <c r="BH27" s="72"/>
      <c r="BI27" s="72"/>
      <c r="BJ27" s="75"/>
      <c r="BK27" s="72"/>
      <c r="BL27" s="72"/>
      <c r="BM27" s="72"/>
      <c r="BN27" s="72"/>
      <c r="BO27" s="72"/>
      <c r="BP27" s="72"/>
      <c r="BQ27" s="72"/>
      <c r="BR27" s="72"/>
      <c r="BS27" s="73"/>
      <c r="BT27" s="72"/>
      <c r="BU27" s="72"/>
      <c r="BV27" s="73"/>
      <c r="BW27" s="73"/>
      <c r="BX27" s="73"/>
    </row>
    <row r="28" spans="1:76" ht="11.25" customHeight="1">
      <c r="A28" s="70"/>
      <c r="B28" s="70" t="s">
        <v>192</v>
      </c>
      <c r="C28" s="70" t="s">
        <v>239</v>
      </c>
      <c r="D28" s="70"/>
      <c r="E28" s="70"/>
      <c r="F28" s="71" t="s">
        <v>240</v>
      </c>
      <c r="G28" s="71"/>
      <c r="H28" s="72"/>
      <c r="I28" s="73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3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4"/>
      <c r="AR28" s="72"/>
      <c r="AS28" s="72"/>
      <c r="AT28" s="73"/>
      <c r="AU28" s="72"/>
      <c r="AV28" s="72"/>
      <c r="AW28" s="72"/>
      <c r="AX28" s="72"/>
      <c r="AY28" s="72"/>
      <c r="AZ28" s="73"/>
      <c r="BA28" s="72"/>
      <c r="BB28" s="72"/>
      <c r="BC28" s="72"/>
      <c r="BD28" s="72"/>
      <c r="BE28" s="72"/>
      <c r="BF28" s="72"/>
      <c r="BG28" s="73"/>
      <c r="BH28" s="72"/>
      <c r="BI28" s="72"/>
      <c r="BJ28" s="75"/>
      <c r="BK28" s="72"/>
      <c r="BL28" s="72"/>
      <c r="BM28" s="72"/>
      <c r="BN28" s="72"/>
      <c r="BO28" s="72"/>
      <c r="BP28" s="72"/>
      <c r="BQ28" s="72"/>
      <c r="BR28" s="72"/>
      <c r="BS28" s="73"/>
      <c r="BT28" s="72"/>
      <c r="BU28" s="72"/>
      <c r="BV28" s="73"/>
      <c r="BW28" s="73"/>
      <c r="BX28" s="73"/>
    </row>
    <row r="29" spans="1:76" ht="11.25" customHeight="1">
      <c r="A29" s="70"/>
      <c r="B29" s="70" t="s">
        <v>192</v>
      </c>
      <c r="C29" s="70" t="s">
        <v>241</v>
      </c>
      <c r="D29" s="70"/>
      <c r="E29" s="70"/>
      <c r="F29" s="71" t="s">
        <v>242</v>
      </c>
      <c r="G29" s="71"/>
      <c r="H29" s="72"/>
      <c r="I29" s="73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3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4"/>
      <c r="AR29" s="72"/>
      <c r="AS29" s="72"/>
      <c r="AT29" s="73"/>
      <c r="AU29" s="72"/>
      <c r="AV29" s="72"/>
      <c r="AW29" s="72"/>
      <c r="AX29" s="72"/>
      <c r="AY29" s="72"/>
      <c r="AZ29" s="73"/>
      <c r="BA29" s="72"/>
      <c r="BB29" s="72"/>
      <c r="BC29" s="72"/>
      <c r="BD29" s="72"/>
      <c r="BE29" s="72"/>
      <c r="BF29" s="72"/>
      <c r="BG29" s="73"/>
      <c r="BH29" s="72"/>
      <c r="BI29" s="72"/>
      <c r="BJ29" s="75"/>
      <c r="BK29" s="72"/>
      <c r="BL29" s="72"/>
      <c r="BM29" s="72"/>
      <c r="BN29" s="72"/>
      <c r="BO29" s="72"/>
      <c r="BP29" s="72"/>
      <c r="BQ29" s="72"/>
      <c r="BR29" s="72"/>
      <c r="BS29" s="73"/>
      <c r="BT29" s="72"/>
      <c r="BU29" s="72"/>
      <c r="BV29" s="73"/>
      <c r="BW29" s="73"/>
      <c r="BX29" s="73"/>
    </row>
    <row r="30" spans="1:76" ht="11.25" customHeight="1">
      <c r="A30" s="70"/>
      <c r="B30" s="70" t="s">
        <v>192</v>
      </c>
      <c r="C30" s="70" t="s">
        <v>243</v>
      </c>
      <c r="D30" s="70"/>
      <c r="E30" s="70"/>
      <c r="F30" s="71" t="s">
        <v>244</v>
      </c>
      <c r="G30" s="71"/>
      <c r="H30" s="72"/>
      <c r="I30" s="73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3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4"/>
      <c r="AR30" s="72"/>
      <c r="AS30" s="72"/>
      <c r="AT30" s="73"/>
      <c r="AU30" s="72"/>
      <c r="AV30" s="72"/>
      <c r="AW30" s="72"/>
      <c r="AX30" s="72"/>
      <c r="AY30" s="72"/>
      <c r="AZ30" s="73"/>
      <c r="BA30" s="72"/>
      <c r="BB30" s="72"/>
      <c r="BC30" s="72"/>
      <c r="BD30" s="72"/>
      <c r="BE30" s="72"/>
      <c r="BF30" s="72"/>
      <c r="BG30" s="73"/>
      <c r="BH30" s="72"/>
      <c r="BI30" s="72"/>
      <c r="BJ30" s="75"/>
      <c r="BK30" s="72"/>
      <c r="BL30" s="72"/>
      <c r="BM30" s="72"/>
      <c r="BN30" s="72"/>
      <c r="BO30" s="72"/>
      <c r="BP30" s="72"/>
      <c r="BQ30" s="72"/>
      <c r="BR30" s="72"/>
      <c r="BS30" s="73"/>
      <c r="BT30" s="72"/>
      <c r="BU30" s="72"/>
      <c r="BV30" s="73"/>
      <c r="BW30" s="73"/>
      <c r="BX30" s="73"/>
    </row>
    <row r="31" spans="1:76" ht="11.25" customHeight="1">
      <c r="A31" s="70"/>
      <c r="B31" s="70" t="s">
        <v>192</v>
      </c>
      <c r="C31" s="70" t="s">
        <v>245</v>
      </c>
      <c r="D31" s="70"/>
      <c r="E31" s="70"/>
      <c r="F31" s="71" t="s">
        <v>246</v>
      </c>
      <c r="G31" s="71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3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4"/>
      <c r="AR31" s="72"/>
      <c r="AS31" s="72"/>
      <c r="AT31" s="73"/>
      <c r="AU31" s="72"/>
      <c r="AV31" s="72"/>
      <c r="AW31" s="72"/>
      <c r="AX31" s="72"/>
      <c r="AY31" s="72"/>
      <c r="AZ31" s="73"/>
      <c r="BA31" s="72"/>
      <c r="BB31" s="72"/>
      <c r="BC31" s="72"/>
      <c r="BD31" s="72"/>
      <c r="BE31" s="72"/>
      <c r="BF31" s="72"/>
      <c r="BG31" s="73"/>
      <c r="BH31" s="72"/>
      <c r="BI31" s="72"/>
      <c r="BJ31" s="75"/>
      <c r="BK31" s="72"/>
      <c r="BL31" s="72"/>
      <c r="BM31" s="72"/>
      <c r="BN31" s="72"/>
      <c r="BO31" s="72"/>
      <c r="BP31" s="72"/>
      <c r="BQ31" s="72"/>
      <c r="BR31" s="72"/>
      <c r="BS31" s="73"/>
      <c r="BT31" s="72"/>
      <c r="BU31" s="72"/>
      <c r="BV31" s="73"/>
      <c r="BW31" s="73"/>
      <c r="BX31" s="73"/>
    </row>
    <row r="32" spans="1:76" ht="11.25" customHeight="1">
      <c r="A32" s="70"/>
      <c r="B32" s="70" t="s">
        <v>192</v>
      </c>
      <c r="C32" s="70" t="s">
        <v>247</v>
      </c>
      <c r="D32" s="70"/>
      <c r="E32" s="70"/>
      <c r="F32" s="71" t="s">
        <v>248</v>
      </c>
      <c r="G32" s="71"/>
      <c r="H32" s="72"/>
      <c r="I32" s="73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3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4"/>
      <c r="AR32" s="72"/>
      <c r="AS32" s="72"/>
      <c r="AT32" s="73"/>
      <c r="AU32" s="72"/>
      <c r="AV32" s="72"/>
      <c r="AW32" s="72"/>
      <c r="AX32" s="72"/>
      <c r="AY32" s="72"/>
      <c r="AZ32" s="73"/>
      <c r="BA32" s="72"/>
      <c r="BB32" s="72"/>
      <c r="BC32" s="72"/>
      <c r="BD32" s="72"/>
      <c r="BE32" s="72"/>
      <c r="BF32" s="72"/>
      <c r="BG32" s="73"/>
      <c r="BH32" s="72"/>
      <c r="BI32" s="72"/>
      <c r="BJ32" s="75"/>
      <c r="BK32" s="72"/>
      <c r="BL32" s="72"/>
      <c r="BM32" s="72"/>
      <c r="BN32" s="72"/>
      <c r="BO32" s="72"/>
      <c r="BP32" s="72"/>
      <c r="BQ32" s="72"/>
      <c r="BR32" s="72"/>
      <c r="BS32" s="73"/>
      <c r="BT32" s="72"/>
      <c r="BU32" s="72"/>
      <c r="BV32" s="73"/>
      <c r="BW32" s="73"/>
      <c r="BX32" s="73"/>
    </row>
    <row r="33" spans="1:78" ht="11.25" customHeight="1">
      <c r="A33" s="70"/>
      <c r="B33" s="70" t="s">
        <v>192</v>
      </c>
      <c r="C33" s="70" t="s">
        <v>249</v>
      </c>
      <c r="D33" s="70"/>
      <c r="E33" s="70"/>
      <c r="F33" s="71" t="s">
        <v>250</v>
      </c>
      <c r="G33" s="71"/>
      <c r="H33" s="72"/>
      <c r="I33" s="73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3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4"/>
      <c r="AR33" s="72"/>
      <c r="AS33" s="72"/>
      <c r="AT33" s="73"/>
      <c r="AU33" s="72"/>
      <c r="AV33" s="72"/>
      <c r="AW33" s="72"/>
      <c r="AX33" s="72"/>
      <c r="AY33" s="72"/>
      <c r="AZ33" s="73"/>
      <c r="BA33" s="72"/>
      <c r="BB33" s="72"/>
      <c r="BC33" s="72"/>
      <c r="BD33" s="72"/>
      <c r="BE33" s="72"/>
      <c r="BF33" s="72"/>
      <c r="BG33" s="73"/>
      <c r="BH33" s="72"/>
      <c r="BI33" s="72"/>
      <c r="BJ33" s="75"/>
      <c r="BK33" s="72"/>
      <c r="BL33" s="72"/>
      <c r="BM33" s="72"/>
      <c r="BN33" s="72"/>
      <c r="BO33" s="72"/>
      <c r="BP33" s="72"/>
      <c r="BQ33" s="72"/>
      <c r="BR33" s="72"/>
      <c r="BS33" s="73"/>
      <c r="BT33" s="72"/>
      <c r="BU33" s="72"/>
      <c r="BV33" s="73"/>
      <c r="BW33" s="73"/>
      <c r="BX33" s="73"/>
    </row>
    <row r="34" spans="1:78" ht="11.25" customHeight="1">
      <c r="A34" s="70"/>
      <c r="B34" s="70" t="s">
        <v>192</v>
      </c>
      <c r="C34" s="70" t="s">
        <v>251</v>
      </c>
      <c r="D34" s="70"/>
      <c r="E34" s="70"/>
      <c r="F34" s="71" t="s">
        <v>252</v>
      </c>
      <c r="G34" s="71"/>
      <c r="H34" s="72"/>
      <c r="I34" s="73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3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4"/>
      <c r="AR34" s="72"/>
      <c r="AS34" s="72"/>
      <c r="AT34" s="73"/>
      <c r="AU34" s="72"/>
      <c r="AV34" s="72"/>
      <c r="AW34" s="72"/>
      <c r="AX34" s="72"/>
      <c r="AY34" s="72"/>
      <c r="AZ34" s="73"/>
      <c r="BA34" s="72"/>
      <c r="BB34" s="72"/>
      <c r="BC34" s="72"/>
      <c r="BD34" s="72"/>
      <c r="BE34" s="72"/>
      <c r="BF34" s="72"/>
      <c r="BG34" s="73"/>
      <c r="BH34" s="72"/>
      <c r="BI34" s="72"/>
      <c r="BJ34" s="75"/>
      <c r="BK34" s="72"/>
      <c r="BL34" s="72"/>
      <c r="BM34" s="72"/>
      <c r="BN34" s="72"/>
      <c r="BO34" s="72"/>
      <c r="BP34" s="72"/>
      <c r="BQ34" s="72"/>
      <c r="BR34" s="72"/>
      <c r="BS34" s="73"/>
      <c r="BT34" s="72"/>
      <c r="BU34" s="72"/>
      <c r="BV34" s="73"/>
      <c r="BW34" s="73"/>
      <c r="BX34" s="73"/>
    </row>
    <row r="35" spans="1:78" ht="11.25" customHeight="1">
      <c r="A35" s="70" t="s">
        <v>192</v>
      </c>
      <c r="B35" s="70" t="s">
        <v>253</v>
      </c>
      <c r="C35" s="70"/>
      <c r="D35" s="70"/>
      <c r="E35" s="70"/>
      <c r="F35" s="71" t="s">
        <v>254</v>
      </c>
      <c r="G35" s="71"/>
      <c r="H35" s="72"/>
      <c r="I35" s="73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3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4"/>
      <c r="AR35" s="72"/>
      <c r="AS35" s="72"/>
      <c r="AT35" s="73"/>
      <c r="AU35" s="72"/>
      <c r="AV35" s="72"/>
      <c r="AW35" s="72"/>
      <c r="AX35" s="72"/>
      <c r="AY35" s="72"/>
      <c r="AZ35" s="73"/>
      <c r="BA35" s="72"/>
      <c r="BB35" s="72"/>
      <c r="BC35" s="72"/>
      <c r="BD35" s="72"/>
      <c r="BE35" s="72"/>
      <c r="BF35" s="72"/>
      <c r="BG35" s="73"/>
      <c r="BH35" s="72"/>
      <c r="BI35" s="72"/>
      <c r="BJ35" s="75"/>
      <c r="BK35" s="72"/>
      <c r="BL35" s="72"/>
      <c r="BM35" s="72"/>
      <c r="BN35" s="72"/>
      <c r="BO35" s="72"/>
      <c r="BP35" s="72"/>
      <c r="BQ35" s="72"/>
      <c r="BR35" s="72"/>
      <c r="BS35" s="73"/>
      <c r="BT35" s="72"/>
      <c r="BU35" s="72"/>
      <c r="BV35" s="73"/>
      <c r="BW35" s="73"/>
      <c r="BX35" s="73"/>
    </row>
    <row r="36" spans="1:78" ht="11.25" customHeight="1">
      <c r="A36" s="70"/>
      <c r="B36" s="70" t="s">
        <v>192</v>
      </c>
      <c r="C36" s="70" t="s">
        <v>255</v>
      </c>
      <c r="D36" s="70"/>
      <c r="E36" s="70"/>
      <c r="F36" s="71" t="s">
        <v>256</v>
      </c>
      <c r="G36" s="71"/>
      <c r="H36" s="72"/>
      <c r="I36" s="73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3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4"/>
      <c r="AR36" s="72"/>
      <c r="AS36" s="72"/>
      <c r="AT36" s="73"/>
      <c r="AU36" s="72"/>
      <c r="AV36" s="72"/>
      <c r="AW36" s="72"/>
      <c r="AX36" s="72"/>
      <c r="AY36" s="72"/>
      <c r="AZ36" s="73"/>
      <c r="BA36" s="72"/>
      <c r="BB36" s="72"/>
      <c r="BC36" s="72"/>
      <c r="BD36" s="72"/>
      <c r="BE36" s="72"/>
      <c r="BF36" s="72"/>
      <c r="BG36" s="73"/>
      <c r="BH36" s="72"/>
      <c r="BI36" s="72"/>
      <c r="BJ36" s="75"/>
      <c r="BK36" s="72"/>
      <c r="BL36" s="72"/>
      <c r="BM36" s="72"/>
      <c r="BN36" s="72"/>
      <c r="BO36" s="72"/>
      <c r="BP36" s="72"/>
      <c r="BQ36" s="72"/>
      <c r="BR36" s="72"/>
      <c r="BS36" s="73"/>
      <c r="BT36" s="72"/>
      <c r="BU36" s="72"/>
      <c r="BV36" s="73"/>
      <c r="BW36" s="73"/>
      <c r="BX36" s="73"/>
    </row>
    <row r="37" spans="1:78" ht="11.25" customHeight="1">
      <c r="A37" s="76"/>
      <c r="B37" s="76" t="s">
        <v>192</v>
      </c>
      <c r="C37" s="76" t="s">
        <v>257</v>
      </c>
      <c r="D37" s="76"/>
      <c r="E37" s="76"/>
      <c r="F37" s="77" t="s">
        <v>258</v>
      </c>
      <c r="G37" s="77"/>
      <c r="H37" s="78"/>
      <c r="I37" s="79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79"/>
      <c r="X37" s="80"/>
      <c r="Y37" s="80"/>
      <c r="Z37" s="80"/>
      <c r="AA37" s="80"/>
      <c r="AB37" s="80"/>
      <c r="AC37" s="80"/>
      <c r="AD37" s="80"/>
      <c r="AE37" s="80">
        <f>AE48*0.75</f>
        <v>761.25</v>
      </c>
      <c r="AF37" s="80"/>
      <c r="AG37" s="80"/>
      <c r="AH37" s="80"/>
      <c r="AI37" s="80"/>
      <c r="AJ37" s="80"/>
      <c r="AK37" s="80"/>
      <c r="AL37" s="80">
        <f>AL48*0.75</f>
        <v>787.5</v>
      </c>
      <c r="AM37" s="80">
        <f>AM48*0.75</f>
        <v>697.5</v>
      </c>
      <c r="AN37" s="80"/>
      <c r="AO37" s="80"/>
      <c r="AP37" s="80"/>
      <c r="AQ37" s="78"/>
      <c r="AR37" s="80"/>
      <c r="AS37" s="80">
        <f>AS48*0.75</f>
        <v>277.5</v>
      </c>
      <c r="AT37" s="79"/>
      <c r="AU37" s="80">
        <f>AU48*0.3</f>
        <v>2336.6999999999998</v>
      </c>
      <c r="AV37" s="80"/>
      <c r="AW37" s="80"/>
      <c r="AX37" s="80"/>
      <c r="AY37" s="80"/>
      <c r="AZ37" s="79"/>
      <c r="BA37" s="80"/>
      <c r="BB37" s="80"/>
      <c r="BC37" s="80"/>
      <c r="BD37" s="80"/>
      <c r="BE37" s="80"/>
      <c r="BF37" s="80">
        <f>BF48*0.75</f>
        <v>5.25</v>
      </c>
      <c r="BG37" s="79"/>
      <c r="BH37" s="80"/>
      <c r="BI37" s="80"/>
      <c r="BJ37" s="81"/>
      <c r="BK37" s="80"/>
      <c r="BL37" s="80"/>
      <c r="BM37" s="80"/>
      <c r="BN37" s="80"/>
      <c r="BO37" s="80"/>
      <c r="BP37" s="80"/>
      <c r="BQ37" s="80"/>
      <c r="BR37" s="80"/>
      <c r="BS37" s="79"/>
      <c r="BT37" s="80"/>
      <c r="BU37" s="80"/>
      <c r="BV37" s="79"/>
      <c r="BW37" s="79">
        <f>BW48*0.75</f>
        <v>176.25</v>
      </c>
      <c r="BX37" s="79">
        <f>BX48*0.75</f>
        <v>237</v>
      </c>
      <c r="BY37" s="52"/>
      <c r="BZ37" s="53">
        <f>SUM(H37:BX37)</f>
        <v>5278.95</v>
      </c>
    </row>
    <row r="38" spans="1:78" ht="11.25" customHeight="1">
      <c r="A38" s="70"/>
      <c r="B38" s="70" t="s">
        <v>192</v>
      </c>
      <c r="C38" s="70" t="s">
        <v>259</v>
      </c>
      <c r="D38" s="70"/>
      <c r="E38" s="70"/>
      <c r="F38" s="71" t="s">
        <v>260</v>
      </c>
      <c r="G38" s="71"/>
      <c r="H38" s="72"/>
      <c r="I38" s="73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3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4"/>
      <c r="AR38" s="72"/>
      <c r="AS38" s="72"/>
      <c r="AT38" s="73"/>
      <c r="AU38" s="72"/>
      <c r="AV38" s="72"/>
      <c r="AW38" s="72"/>
      <c r="AX38" s="72"/>
      <c r="AY38" s="72"/>
      <c r="AZ38" s="73"/>
      <c r="BA38" s="72"/>
      <c r="BB38" s="72"/>
      <c r="BC38" s="72"/>
      <c r="BD38" s="72"/>
      <c r="BE38" s="72"/>
      <c r="BF38" s="72"/>
      <c r="BG38" s="73"/>
      <c r="BH38" s="72"/>
      <c r="BI38" s="72"/>
      <c r="BJ38" s="75"/>
      <c r="BK38" s="72"/>
      <c r="BL38" s="72"/>
      <c r="BM38" s="72"/>
      <c r="BN38" s="72"/>
      <c r="BO38" s="72"/>
      <c r="BP38" s="72"/>
      <c r="BQ38" s="72"/>
      <c r="BR38" s="72"/>
      <c r="BS38" s="73"/>
      <c r="BT38" s="72"/>
      <c r="BU38" s="72"/>
      <c r="BV38" s="73"/>
      <c r="BW38" s="73"/>
      <c r="BX38" s="73"/>
    </row>
    <row r="39" spans="1:78" ht="11.25" customHeight="1">
      <c r="A39" s="70"/>
      <c r="B39" s="70" t="s">
        <v>192</v>
      </c>
      <c r="C39" s="70" t="s">
        <v>261</v>
      </c>
      <c r="D39" s="70"/>
      <c r="E39" s="70"/>
      <c r="F39" s="71" t="s">
        <v>262</v>
      </c>
      <c r="G39" s="71"/>
      <c r="H39" s="72"/>
      <c r="I39" s="73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3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4"/>
      <c r="AR39" s="72"/>
      <c r="AS39" s="72"/>
      <c r="AT39" s="73"/>
      <c r="AU39" s="72"/>
      <c r="AV39" s="72"/>
      <c r="AW39" s="72"/>
      <c r="AX39" s="72"/>
      <c r="AY39" s="72"/>
      <c r="AZ39" s="73"/>
      <c r="BA39" s="72"/>
      <c r="BB39" s="72"/>
      <c r="BC39" s="72"/>
      <c r="BD39" s="72"/>
      <c r="BE39" s="72"/>
      <c r="BF39" s="72"/>
      <c r="BG39" s="73"/>
      <c r="BH39" s="72"/>
      <c r="BI39" s="72"/>
      <c r="BJ39" s="75"/>
      <c r="BK39" s="72"/>
      <c r="BL39" s="72"/>
      <c r="BM39" s="72"/>
      <c r="BN39" s="72"/>
      <c r="BO39" s="72"/>
      <c r="BP39" s="72"/>
      <c r="BQ39" s="72"/>
      <c r="BR39" s="72"/>
      <c r="BS39" s="73"/>
      <c r="BT39" s="72"/>
      <c r="BU39" s="72"/>
      <c r="BV39" s="73"/>
      <c r="BW39" s="73"/>
      <c r="BX39" s="73"/>
    </row>
    <row r="40" spans="1:78" ht="11.25" customHeight="1">
      <c r="A40" s="70"/>
      <c r="B40" s="70" t="s">
        <v>192</v>
      </c>
      <c r="C40" s="70" t="s">
        <v>263</v>
      </c>
      <c r="D40" s="70"/>
      <c r="E40" s="70"/>
      <c r="F40" s="71" t="s">
        <v>264</v>
      </c>
      <c r="G40" s="71"/>
      <c r="H40" s="72"/>
      <c r="I40" s="73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3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4"/>
      <c r="AR40" s="72"/>
      <c r="AS40" s="72"/>
      <c r="AT40" s="73"/>
      <c r="AU40" s="72"/>
      <c r="AV40" s="72"/>
      <c r="AW40" s="72"/>
      <c r="AX40" s="72"/>
      <c r="AY40" s="72"/>
      <c r="AZ40" s="73"/>
      <c r="BA40" s="72"/>
      <c r="BB40" s="72"/>
      <c r="BC40" s="72"/>
      <c r="BD40" s="72"/>
      <c r="BE40" s="72"/>
      <c r="BF40" s="72"/>
      <c r="BG40" s="73"/>
      <c r="BH40" s="72"/>
      <c r="BI40" s="72"/>
      <c r="BJ40" s="75"/>
      <c r="BK40" s="72"/>
      <c r="BL40" s="72"/>
      <c r="BM40" s="72"/>
      <c r="BN40" s="72"/>
      <c r="BO40" s="72"/>
      <c r="BP40" s="72"/>
      <c r="BQ40" s="72"/>
      <c r="BR40" s="72"/>
      <c r="BS40" s="73"/>
      <c r="BT40" s="72"/>
      <c r="BU40" s="72"/>
      <c r="BV40" s="73"/>
      <c r="BW40" s="73"/>
      <c r="BX40" s="73"/>
    </row>
    <row r="41" spans="1:78" ht="11.25" customHeight="1">
      <c r="A41" s="70" t="s">
        <v>265</v>
      </c>
      <c r="B41" s="70"/>
      <c r="C41" s="70"/>
      <c r="D41" s="70"/>
      <c r="E41" s="70"/>
      <c r="F41" s="71" t="s">
        <v>266</v>
      </c>
      <c r="G41" s="71"/>
      <c r="H41" s="72"/>
      <c r="I41" s="73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3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4"/>
      <c r="AR41" s="72"/>
      <c r="AS41" s="72"/>
      <c r="AT41" s="73"/>
      <c r="AU41" s="72"/>
      <c r="AV41" s="72"/>
      <c r="AW41" s="72"/>
      <c r="AX41" s="72"/>
      <c r="AY41" s="72"/>
      <c r="AZ41" s="73"/>
      <c r="BA41" s="72"/>
      <c r="BB41" s="72"/>
      <c r="BC41" s="72"/>
      <c r="BD41" s="72"/>
      <c r="BE41" s="72"/>
      <c r="BF41" s="72"/>
      <c r="BG41" s="73"/>
      <c r="BH41" s="72"/>
      <c r="BI41" s="72"/>
      <c r="BJ41" s="75"/>
      <c r="BK41" s="72"/>
      <c r="BL41" s="72"/>
      <c r="BM41" s="72"/>
      <c r="BN41" s="72"/>
      <c r="BO41" s="72"/>
      <c r="BP41" s="72"/>
      <c r="BQ41" s="72"/>
      <c r="BR41" s="72"/>
      <c r="BS41" s="73"/>
      <c r="BT41" s="72"/>
      <c r="BU41" s="72"/>
      <c r="BV41" s="73"/>
      <c r="BW41" s="73"/>
      <c r="BX41" s="73"/>
    </row>
    <row r="42" spans="1:78"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</row>
    <row r="43" spans="1:78">
      <c r="B43" s="83" t="s">
        <v>301</v>
      </c>
      <c r="C43" s="51" t="str">
        <f>C37</f>
        <v>Residential</v>
      </c>
      <c r="L43" s="84">
        <f>L37/1000*41.868</f>
        <v>0</v>
      </c>
      <c r="M43" s="84">
        <f>M37/1000*41.868</f>
        <v>0</v>
      </c>
      <c r="N43" s="84">
        <f>N37/1000*41.868</f>
        <v>0</v>
      </c>
      <c r="AE43" s="84">
        <f>AE37/1000*41.868</f>
        <v>31.872015000000001</v>
      </c>
      <c r="AL43" s="84">
        <f>AL37/1000*41.868</f>
        <v>32.971049999999998</v>
      </c>
      <c r="AM43" s="84">
        <f>AM37/1000*41.868</f>
        <v>29.202930000000002</v>
      </c>
      <c r="AS43" s="84">
        <f>AS37/1000*41.868</f>
        <v>11.618370000000002</v>
      </c>
      <c r="AU43" s="84">
        <f>AU37/1000*41.868</f>
        <v>97.832955600000005</v>
      </c>
      <c r="BF43" s="84">
        <f>BF37/1000*41.868</f>
        <v>0.21980700000000003</v>
      </c>
      <c r="BW43" s="84">
        <f>BW37/1000*41.868</f>
        <v>7.3792349999999995</v>
      </c>
      <c r="BX43" s="84">
        <f>BX37/1000*41.868</f>
        <v>9.9227159999999994</v>
      </c>
    </row>
    <row r="48" spans="1:78">
      <c r="A48" s="51" t="str">
        <f>A2</f>
        <v>ktoe</v>
      </c>
      <c r="C48" s="51" t="s">
        <v>1011</v>
      </c>
      <c r="W48" s="51">
        <f>3356+150</f>
        <v>3506</v>
      </c>
      <c r="AE48" s="51">
        <v>1015</v>
      </c>
      <c r="AL48" s="51">
        <v>1050</v>
      </c>
      <c r="AM48" s="51">
        <v>930</v>
      </c>
      <c r="AS48" s="51">
        <v>370</v>
      </c>
      <c r="AT48" s="51">
        <f>7174+615</f>
        <v>7789</v>
      </c>
      <c r="AU48" s="51">
        <f>AT48</f>
        <v>7789</v>
      </c>
      <c r="BF48" s="51">
        <v>7</v>
      </c>
      <c r="BW48" s="51">
        <v>235</v>
      </c>
      <c r="BX48" s="51">
        <f>225+91</f>
        <v>316</v>
      </c>
    </row>
    <row r="49" spans="3:3">
      <c r="C49" s="51" t="s">
        <v>1001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A1:F23"/>
  <sheetViews>
    <sheetView zoomScale="55" zoomScaleNormal="55" workbookViewId="0">
      <selection activeCell="P34" sqref="P34"/>
    </sheetView>
  </sheetViews>
  <sheetFormatPr defaultRowHeight="16.5" customHeight="1"/>
  <cols>
    <col min="1" max="1" width="28.44140625" customWidth="1"/>
    <col min="2" max="2" width="28.109375" customWidth="1"/>
    <col min="3" max="3" width="18.44140625" customWidth="1"/>
    <col min="4" max="4" width="13.44140625" bestFit="1" customWidth="1"/>
    <col min="5" max="5" width="14.5546875" bestFit="1" customWidth="1"/>
  </cols>
  <sheetData>
    <row r="1" spans="1:6" ht="16.5" customHeight="1">
      <c r="A1" s="1" t="s">
        <v>140</v>
      </c>
      <c r="B1" s="2"/>
      <c r="E1" s="13" t="s">
        <v>294</v>
      </c>
      <c r="F1" s="14" t="str">
        <f>'En.Bal-Final_Energy'!F2</f>
        <v>2017</v>
      </c>
    </row>
    <row r="2" spans="1:6" ht="16.5" customHeight="1">
      <c r="A2" s="3" t="s">
        <v>141</v>
      </c>
      <c r="B2" s="4" t="s">
        <v>301</v>
      </c>
      <c r="E2" s="13" t="s">
        <v>295</v>
      </c>
      <c r="F2" s="3">
        <v>2050</v>
      </c>
    </row>
    <row r="3" spans="1:6" ht="16.5" customHeight="1">
      <c r="A3" s="3" t="s">
        <v>142</v>
      </c>
      <c r="B3" s="4" t="s">
        <v>927</v>
      </c>
      <c r="E3" s="13" t="s">
        <v>404</v>
      </c>
      <c r="F3" s="3">
        <v>1</v>
      </c>
    </row>
    <row r="4" spans="1:6" ht="16.5" customHeight="1">
      <c r="A4" s="3" t="s">
        <v>143</v>
      </c>
      <c r="B4" s="4" t="s">
        <v>133</v>
      </c>
    </row>
    <row r="5" spans="1:6" ht="16.5" customHeight="1">
      <c r="A5" s="3" t="s">
        <v>298</v>
      </c>
      <c r="B5" s="4" t="s">
        <v>302</v>
      </c>
      <c r="C5" s="15"/>
    </row>
    <row r="8" spans="1:6" ht="16.5" customHeight="1">
      <c r="A8" s="50" t="s">
        <v>282</v>
      </c>
      <c r="B8" s="50"/>
    </row>
    <row r="10" spans="1:6" ht="16.5" customHeight="1">
      <c r="A10" s="1" t="s">
        <v>267</v>
      </c>
      <c r="B10" s="1" t="s">
        <v>283</v>
      </c>
      <c r="C10" s="1" t="s">
        <v>284</v>
      </c>
      <c r="D10" s="1" t="s">
        <v>285</v>
      </c>
      <c r="E10" s="1" t="s">
        <v>286</v>
      </c>
    </row>
    <row r="11" spans="1:6" ht="16.5" customHeight="1">
      <c r="A11" s="12" t="s">
        <v>287</v>
      </c>
      <c r="B11" s="3" t="s">
        <v>288</v>
      </c>
      <c r="C11" s="3" t="s">
        <v>289</v>
      </c>
      <c r="D11" s="17" t="s">
        <v>50</v>
      </c>
      <c r="E11" s="16"/>
    </row>
    <row r="12" spans="1:6" ht="16.5" customHeight="1">
      <c r="A12" s="12" t="s">
        <v>277</v>
      </c>
      <c r="B12" s="3" t="s">
        <v>290</v>
      </c>
      <c r="C12" s="3" t="s">
        <v>291</v>
      </c>
      <c r="D12" s="16" t="s">
        <v>928</v>
      </c>
      <c r="E12" s="16" t="str">
        <f>B3&amp;"/"&amp;B2</f>
        <v>M$/PJ</v>
      </c>
    </row>
    <row r="13" spans="1:6" ht="16.5" customHeight="1">
      <c r="A13" s="12" t="s">
        <v>276</v>
      </c>
      <c r="B13" s="3" t="s">
        <v>292</v>
      </c>
      <c r="C13" s="3" t="s">
        <v>289</v>
      </c>
      <c r="D13" s="17" t="str">
        <f>B2&amp;"/year"</f>
        <v>PJ/year</v>
      </c>
      <c r="E13" s="16"/>
    </row>
    <row r="14" spans="1:6" ht="16.5" customHeight="1">
      <c r="A14" s="12" t="s">
        <v>3</v>
      </c>
      <c r="B14" s="3" t="s">
        <v>41</v>
      </c>
      <c r="C14" s="3" t="s">
        <v>289</v>
      </c>
      <c r="D14" s="16" t="s">
        <v>929</v>
      </c>
      <c r="E14" s="16" t="str">
        <f>B3&amp;"/"&amp;B2&amp;"/a"</f>
        <v>M$/PJ/a</v>
      </c>
    </row>
    <row r="15" spans="1:6" ht="16.5" customHeight="1">
      <c r="A15" s="12" t="s">
        <v>6</v>
      </c>
      <c r="B15" s="3" t="s">
        <v>40</v>
      </c>
      <c r="C15" s="3" t="s">
        <v>289</v>
      </c>
      <c r="D15" s="16" t="s">
        <v>928</v>
      </c>
      <c r="E15" s="16" t="str">
        <f>B3&amp;"/"&amp;B2</f>
        <v>M$/PJ</v>
      </c>
    </row>
    <row r="16" spans="1:6" ht="16.5" customHeight="1">
      <c r="A16" s="12" t="s">
        <v>278</v>
      </c>
      <c r="B16" s="3" t="s">
        <v>293</v>
      </c>
      <c r="C16" s="3" t="s">
        <v>289</v>
      </c>
      <c r="D16" s="16" t="s">
        <v>299</v>
      </c>
      <c r="E16" s="16" t="str">
        <f>B2&amp;"/"&amp;B5</f>
        <v>PJ/GW</v>
      </c>
    </row>
    <row r="17" spans="1:5" ht="16.5" customHeight="1">
      <c r="A17" s="12" t="s">
        <v>287</v>
      </c>
      <c r="B17" s="3" t="s">
        <v>288</v>
      </c>
      <c r="C17" s="3" t="s">
        <v>289</v>
      </c>
      <c r="D17" s="17" t="s">
        <v>50</v>
      </c>
      <c r="E17" s="16"/>
    </row>
    <row r="18" spans="1:5" ht="16.5" customHeight="1">
      <c r="A18" s="12" t="s">
        <v>268</v>
      </c>
      <c r="B18" s="3" t="s">
        <v>296</v>
      </c>
      <c r="C18" s="3"/>
      <c r="D18" s="17" t="s">
        <v>398</v>
      </c>
      <c r="E18" s="16" t="s">
        <v>381</v>
      </c>
    </row>
    <row r="19" spans="1:5" ht="16.5" customHeight="1">
      <c r="A19" s="12" t="s">
        <v>278</v>
      </c>
      <c r="B19" s="3" t="s">
        <v>297</v>
      </c>
      <c r="C19" s="3"/>
      <c r="D19" s="17" t="str">
        <f>IF(B2="PJ","TJ/unit","GJ/unit")</f>
        <v>TJ/unit</v>
      </c>
      <c r="E19" s="16"/>
    </row>
    <row r="20" spans="1:5" ht="16.5" customHeight="1">
      <c r="A20" s="12" t="s">
        <v>144</v>
      </c>
      <c r="B20" s="3" t="s">
        <v>300</v>
      </c>
      <c r="C20" s="3" t="s">
        <v>289</v>
      </c>
      <c r="D20" s="16" t="s">
        <v>274</v>
      </c>
      <c r="E20" s="16"/>
    </row>
    <row r="21" spans="1:5" ht="16.5" customHeight="1">
      <c r="A21" s="12" t="s">
        <v>268</v>
      </c>
      <c r="B21" s="3" t="s">
        <v>296</v>
      </c>
      <c r="C21" s="3" t="s">
        <v>303</v>
      </c>
      <c r="D21" s="17" t="str">
        <f>B2&amp;"/year"</f>
        <v>PJ/year</v>
      </c>
      <c r="E21" s="16"/>
    </row>
    <row r="22" spans="1:5" ht="16.5" customHeight="1">
      <c r="A22" s="12" t="s">
        <v>20</v>
      </c>
      <c r="B22" s="3" t="s">
        <v>27</v>
      </c>
      <c r="C22" s="3" t="s">
        <v>257</v>
      </c>
      <c r="D22" s="17" t="s">
        <v>311</v>
      </c>
      <c r="E22" s="16"/>
    </row>
    <row r="23" spans="1:5" ht="16.5" customHeight="1">
      <c r="A23" s="12" t="s">
        <v>21</v>
      </c>
      <c r="B23" s="3" t="s">
        <v>319</v>
      </c>
      <c r="C23" s="3" t="s">
        <v>257</v>
      </c>
      <c r="D23" s="17" t="s">
        <v>311</v>
      </c>
      <c r="E23" s="16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80"/>
  <sheetViews>
    <sheetView tabSelected="1" zoomScale="55" zoomScaleNormal="55" workbookViewId="0">
      <selection sqref="A1:XFD1048576"/>
    </sheetView>
  </sheetViews>
  <sheetFormatPr defaultColWidth="13.5546875" defaultRowHeight="14.4"/>
  <cols>
    <col min="1" max="1" width="10.44140625" style="18" customWidth="1"/>
    <col min="2" max="2" width="23.88671875" style="18" customWidth="1"/>
    <col min="3" max="3" width="18.88671875" style="18" bestFit="1" customWidth="1"/>
    <col min="4" max="4" width="18.88671875" style="18" customWidth="1"/>
    <col min="5" max="5" width="17.88671875" style="18" customWidth="1"/>
    <col min="6" max="6" width="8.6640625" style="18" customWidth="1"/>
    <col min="7" max="7" width="30.5546875" style="18" customWidth="1"/>
    <col min="8" max="8" width="19" style="19" customWidth="1"/>
    <col min="9" max="9" width="47.5546875" style="19" bestFit="1" customWidth="1"/>
    <col min="10" max="12" width="47.5546875" style="19" customWidth="1"/>
    <col min="13" max="13" width="47.5546875" style="18" bestFit="1" customWidth="1"/>
    <col min="14" max="14" width="13.109375" style="18" bestFit="1" customWidth="1"/>
    <col min="15" max="15" width="18.5546875" style="18" customWidth="1"/>
    <col min="16" max="16" width="8.109375" style="18" bestFit="1" customWidth="1"/>
    <col min="17" max="17" width="13.109375" style="19" bestFit="1" customWidth="1"/>
    <col min="18" max="18" width="19.44140625" style="19" bestFit="1" customWidth="1"/>
    <col min="19" max="19" width="14.33203125" style="18" bestFit="1" customWidth="1"/>
    <col min="20" max="20" width="24.5546875" style="18" bestFit="1" customWidth="1"/>
    <col min="21" max="21" width="45.88671875" style="18" bestFit="1" customWidth="1"/>
    <col min="22" max="23" width="14.6640625" style="18" bestFit="1" customWidth="1"/>
    <col min="24" max="24" width="26.6640625" style="18" customWidth="1"/>
    <col min="25" max="25" width="21.109375" style="18" customWidth="1"/>
    <col min="26" max="26" width="18.33203125" style="18" customWidth="1"/>
    <col min="27" max="27" width="11.6640625" style="18" customWidth="1"/>
    <col min="28" max="28" width="30.6640625" style="18" customWidth="1"/>
    <col min="29" max="29" width="13.5546875" style="18" customWidth="1"/>
    <col min="30" max="16384" width="13.5546875" style="18"/>
  </cols>
  <sheetData>
    <row r="1" spans="1:27" ht="17.399999999999999">
      <c r="A1" s="36" t="s">
        <v>425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Q1" s="18"/>
      <c r="R1" s="18"/>
    </row>
    <row r="2" spans="1:27">
      <c r="G2" s="19"/>
      <c r="I2" s="18"/>
      <c r="J2" s="18"/>
      <c r="K2" s="18"/>
      <c r="L2" s="18"/>
      <c r="M2" s="19"/>
      <c r="N2" s="19"/>
      <c r="O2" s="19"/>
      <c r="Q2" s="18"/>
      <c r="R2" s="18"/>
    </row>
    <row r="3" spans="1:27">
      <c r="A3" s="86" t="s">
        <v>305</v>
      </c>
      <c r="B3" s="86"/>
      <c r="E3" s="18">
        <v>1</v>
      </c>
      <c r="G3" s="19"/>
      <c r="H3" s="105" t="s">
        <v>402</v>
      </c>
      <c r="I3" s="86"/>
      <c r="J3" s="86"/>
      <c r="K3" s="86"/>
      <c r="L3" s="86"/>
      <c r="M3" s="19"/>
      <c r="N3" s="19"/>
      <c r="O3" s="19"/>
      <c r="Q3" s="18"/>
      <c r="R3" s="5" t="s">
        <v>145</v>
      </c>
      <c r="S3" s="5"/>
      <c r="T3" s="5"/>
      <c r="U3" s="5"/>
      <c r="V3" s="5"/>
      <c r="W3" s="5"/>
      <c r="X3" s="5"/>
      <c r="Y3" s="5"/>
      <c r="Z3" s="5"/>
      <c r="AA3" s="5"/>
    </row>
    <row r="4" spans="1:27">
      <c r="A4" s="86" t="s">
        <v>450</v>
      </c>
      <c r="G4" s="88" t="s">
        <v>1</v>
      </c>
      <c r="H4" s="194" t="s">
        <v>8</v>
      </c>
      <c r="I4" s="121" t="s">
        <v>999</v>
      </c>
      <c r="J4" s="121" t="s">
        <v>307</v>
      </c>
      <c r="K4" s="121" t="s">
        <v>308</v>
      </c>
      <c r="L4" s="121" t="s">
        <v>309</v>
      </c>
      <c r="Q4" s="18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30.75" customHeight="1" thickBot="1">
      <c r="A5" s="92"/>
      <c r="B5" s="92" t="s">
        <v>275</v>
      </c>
      <c r="C5" s="92" t="s">
        <v>314</v>
      </c>
      <c r="D5" s="93" t="s">
        <v>449</v>
      </c>
      <c r="E5" s="93" t="s">
        <v>999</v>
      </c>
      <c r="G5" s="92" t="s">
        <v>312</v>
      </c>
      <c r="H5" s="94" t="s">
        <v>313</v>
      </c>
      <c r="I5" s="124" t="s">
        <v>453</v>
      </c>
      <c r="J5" s="93"/>
      <c r="K5" s="93"/>
      <c r="L5" s="93" t="s">
        <v>403</v>
      </c>
      <c r="Q5" s="18"/>
      <c r="R5" s="87" t="s">
        <v>39</v>
      </c>
      <c r="S5" s="87"/>
      <c r="T5" s="87" t="s">
        <v>317</v>
      </c>
      <c r="U5" s="87"/>
      <c r="V5" s="87"/>
      <c r="W5" s="87"/>
      <c r="X5" s="87"/>
      <c r="Y5" s="87"/>
      <c r="Z5" s="87"/>
      <c r="AA5" s="5"/>
    </row>
    <row r="6" spans="1:27" ht="15" thickBot="1">
      <c r="A6" s="92"/>
      <c r="B6" s="92"/>
      <c r="C6" s="92"/>
      <c r="D6" s="93" t="s">
        <v>363</v>
      </c>
      <c r="E6" s="193" t="str">
        <f>General!$D$22</f>
        <v>000dwellings</v>
      </c>
      <c r="G6" s="92" t="s">
        <v>269</v>
      </c>
      <c r="H6" s="94"/>
      <c r="I6" s="193" t="str">
        <f>General!$D$22</f>
        <v>000dwellings</v>
      </c>
      <c r="J6" s="93"/>
      <c r="K6" s="93"/>
      <c r="L6" s="93" t="str">
        <f>General!$D$20</f>
        <v>Years</v>
      </c>
      <c r="Q6" s="18"/>
      <c r="R6" s="106" t="s">
        <v>19</v>
      </c>
      <c r="S6" s="106"/>
      <c r="T6" s="87"/>
      <c r="U6" s="87"/>
      <c r="V6" s="87"/>
      <c r="W6" s="87"/>
      <c r="X6" s="87"/>
      <c r="Y6" s="87"/>
      <c r="Z6" s="87"/>
      <c r="AA6" s="5"/>
    </row>
    <row r="7" spans="1:27">
      <c r="A7" s="334">
        <v>1</v>
      </c>
      <c r="B7" s="335" t="str">
        <f>Commodities!AB7</f>
        <v>Detached - Area1</v>
      </c>
      <c r="C7" s="335" t="str">
        <f>RIGHT(Commodities!AA7,4)</f>
        <v>DTA1</v>
      </c>
      <c r="D7" s="27">
        <f>D8*2</f>
        <v>110</v>
      </c>
      <c r="E7" s="27">
        <f>1279.48-E8</f>
        <v>633.34259999999995</v>
      </c>
      <c r="G7" s="5" t="str">
        <f>T9</f>
        <v>RSD_DW_DTA1</v>
      </c>
      <c r="H7" s="336" t="str">
        <f>Commodities!$AA$7</f>
        <v>RSD_DTA1</v>
      </c>
      <c r="I7" s="337">
        <f t="shared" ref="I7:I8" si="0">E21</f>
        <v>633.34259999999995</v>
      </c>
      <c r="J7" s="19">
        <v>1</v>
      </c>
      <c r="K7" s="19">
        <v>3</v>
      </c>
      <c r="L7" s="19">
        <v>75</v>
      </c>
      <c r="Q7" s="18"/>
      <c r="R7" s="91" t="s">
        <v>13</v>
      </c>
      <c r="S7" s="91" t="s">
        <v>34</v>
      </c>
      <c r="T7" s="91" t="s">
        <v>1</v>
      </c>
      <c r="U7" s="91" t="s">
        <v>2</v>
      </c>
      <c r="V7" s="91" t="s">
        <v>20</v>
      </c>
      <c r="W7" s="91" t="s">
        <v>21</v>
      </c>
      <c r="X7" s="91" t="s">
        <v>22</v>
      </c>
      <c r="Y7" s="91" t="s">
        <v>23</v>
      </c>
      <c r="Z7" s="91" t="s">
        <v>24</v>
      </c>
      <c r="AA7" s="5"/>
    </row>
    <row r="8" spans="1:27" ht="15.75" customHeight="1" thickBot="1">
      <c r="A8" s="334">
        <v>2</v>
      </c>
      <c r="B8" s="335" t="str">
        <f>Commodities!AB8</f>
        <v>Apartment - Area1</v>
      </c>
      <c r="C8" s="335" t="str">
        <f>RIGHT(Commodities!AA8,4)</f>
        <v>APA1</v>
      </c>
      <c r="D8" s="27">
        <v>55</v>
      </c>
      <c r="E8" s="27">
        <f>1279.48*50.5%</f>
        <v>646.13740000000007</v>
      </c>
      <c r="G8" s="5" t="str">
        <f t="shared" ref="G8" si="1">T10</f>
        <v>RSD_DW_APA1</v>
      </c>
      <c r="H8" s="336" t="str">
        <f>Commodities!$AA$8</f>
        <v>RSD_APA1</v>
      </c>
      <c r="I8" s="337">
        <f t="shared" si="0"/>
        <v>646.13740000000007</v>
      </c>
      <c r="J8" s="19">
        <v>1</v>
      </c>
      <c r="K8" s="19">
        <v>3</v>
      </c>
      <c r="L8" s="19">
        <v>80</v>
      </c>
      <c r="P8" s="18" t="s">
        <v>400</v>
      </c>
      <c r="Q8" s="18"/>
      <c r="R8" s="95" t="s">
        <v>44</v>
      </c>
      <c r="S8" s="95" t="s">
        <v>35</v>
      </c>
      <c r="T8" s="95" t="s">
        <v>25</v>
      </c>
      <c r="U8" s="95" t="s">
        <v>26</v>
      </c>
      <c r="V8" s="95" t="s">
        <v>27</v>
      </c>
      <c r="W8" s="95" t="s">
        <v>28</v>
      </c>
      <c r="X8" s="95" t="s">
        <v>48</v>
      </c>
      <c r="Y8" s="95" t="s">
        <v>47</v>
      </c>
      <c r="Z8" s="95" t="s">
        <v>29</v>
      </c>
      <c r="AA8" s="5"/>
    </row>
    <row r="9" spans="1:27">
      <c r="A9" s="334"/>
      <c r="B9" s="335"/>
      <c r="C9" s="335"/>
      <c r="D9" s="27"/>
      <c r="E9" s="27"/>
      <c r="G9" s="5"/>
      <c r="H9" s="336"/>
      <c r="I9" s="337"/>
      <c r="Q9" s="18"/>
      <c r="R9" s="5" t="s">
        <v>318</v>
      </c>
      <c r="S9" s="5"/>
      <c r="T9" s="5" t="str">
        <f t="shared" ref="T9:T10" si="2">"RSD_DW_"&amp;C7</f>
        <v>RSD_DW_DTA1</v>
      </c>
      <c r="U9" s="5" t="str">
        <f t="shared" ref="U9:U10" si="3">B7</f>
        <v>Detached - Area1</v>
      </c>
      <c r="V9" s="5" t="str">
        <f>General!$D$22</f>
        <v>000dwellings</v>
      </c>
      <c r="W9" s="5" t="str">
        <f>General!$D$23</f>
        <v>000dwellings</v>
      </c>
      <c r="X9" s="5"/>
      <c r="Y9" s="5"/>
      <c r="Z9" s="85"/>
      <c r="AA9" s="5"/>
    </row>
    <row r="10" spans="1:27">
      <c r="A10" s="334"/>
      <c r="B10" s="335"/>
      <c r="C10" s="335"/>
      <c r="D10" s="27"/>
      <c r="E10" s="27"/>
      <c r="G10" s="5"/>
      <c r="H10" s="336"/>
      <c r="I10" s="337"/>
      <c r="Q10" s="18"/>
      <c r="R10" s="5"/>
      <c r="S10" s="5"/>
      <c r="T10" s="5" t="str">
        <f t="shared" si="2"/>
        <v>RSD_DW_APA1</v>
      </c>
      <c r="U10" s="5" t="str">
        <f t="shared" si="3"/>
        <v>Apartment - Area1</v>
      </c>
      <c r="V10" s="5" t="str">
        <f>General!$D$22</f>
        <v>000dwellings</v>
      </c>
      <c r="W10" s="5" t="str">
        <f>General!$D$23</f>
        <v>000dwellings</v>
      </c>
      <c r="X10" s="5"/>
      <c r="Y10" s="5"/>
      <c r="Z10" s="85"/>
      <c r="AA10" s="5"/>
    </row>
    <row r="11" spans="1:27">
      <c r="A11" s="334"/>
      <c r="B11" s="335"/>
      <c r="C11" s="335"/>
      <c r="D11" s="27"/>
      <c r="E11" s="27"/>
      <c r="G11" s="5"/>
      <c r="H11" s="336"/>
      <c r="I11" s="337"/>
      <c r="Q11" s="18"/>
      <c r="R11" s="5" t="s">
        <v>147</v>
      </c>
      <c r="S11" s="5"/>
      <c r="T11" s="5"/>
      <c r="U11" s="5"/>
      <c r="V11" s="5"/>
      <c r="W11" s="5"/>
      <c r="X11" s="5"/>
      <c r="Y11" s="5"/>
      <c r="Z11" s="85"/>
      <c r="AA11" s="5"/>
    </row>
    <row r="12" spans="1:27">
      <c r="A12" s="334"/>
      <c r="B12" s="335"/>
      <c r="C12" s="335"/>
      <c r="D12" s="27"/>
      <c r="E12" s="27"/>
      <c r="G12" s="5"/>
      <c r="H12" s="336"/>
      <c r="I12" s="337"/>
      <c r="Q12" s="18"/>
      <c r="R12" s="5" t="s">
        <v>147</v>
      </c>
      <c r="S12" s="5"/>
      <c r="T12" s="5"/>
      <c r="U12" s="5"/>
      <c r="V12" s="5"/>
      <c r="W12" s="5"/>
      <c r="X12" s="5"/>
      <c r="Y12" s="5"/>
      <c r="Z12" s="85"/>
      <c r="AA12" s="5"/>
    </row>
    <row r="13" spans="1:27">
      <c r="A13" s="334"/>
      <c r="B13" s="335"/>
      <c r="C13" s="335"/>
      <c r="D13" s="27"/>
      <c r="E13" s="27"/>
      <c r="G13" s="5"/>
      <c r="H13" s="336"/>
      <c r="I13" s="337"/>
      <c r="Q13" s="18"/>
      <c r="R13" s="5" t="s">
        <v>147</v>
      </c>
      <c r="S13" s="5"/>
      <c r="T13" s="5"/>
      <c r="U13" s="5"/>
      <c r="V13" s="5"/>
      <c r="W13" s="5"/>
      <c r="X13" s="5"/>
      <c r="Y13" s="5"/>
      <c r="Z13" s="85"/>
      <c r="AA13" s="5"/>
    </row>
    <row r="14" spans="1:27">
      <c r="A14" s="334"/>
      <c r="B14" s="335"/>
      <c r="C14" s="335"/>
      <c r="D14" s="27"/>
      <c r="E14" s="27"/>
      <c r="G14" s="5"/>
      <c r="H14" s="336"/>
      <c r="I14" s="337"/>
      <c r="Q14" s="18"/>
      <c r="R14" s="5" t="s">
        <v>147</v>
      </c>
      <c r="S14" s="5"/>
      <c r="T14" s="5"/>
      <c r="U14" s="5"/>
      <c r="V14" s="5"/>
      <c r="W14" s="5"/>
      <c r="X14" s="5"/>
      <c r="Y14" s="5"/>
      <c r="Z14" s="85"/>
      <c r="AA14" s="5"/>
    </row>
    <row r="15" spans="1:27">
      <c r="A15" s="334"/>
      <c r="B15" s="335"/>
      <c r="C15" s="338"/>
      <c r="D15" s="338"/>
      <c r="E15" s="27">
        <f>SUM(E7:E14)</f>
        <v>1279.48</v>
      </c>
      <c r="F15" s="27"/>
      <c r="G15" s="19"/>
      <c r="I15" s="20"/>
      <c r="J15" s="20"/>
      <c r="K15" s="20"/>
      <c r="L15" s="20"/>
      <c r="M15" s="20"/>
      <c r="N15" s="20"/>
      <c r="O15" s="20"/>
      <c r="Q15" s="18"/>
      <c r="R15" s="5" t="s">
        <v>147</v>
      </c>
      <c r="S15" s="5"/>
      <c r="T15" s="5"/>
      <c r="U15" s="5"/>
      <c r="V15" s="5"/>
      <c r="W15" s="5"/>
      <c r="X15" s="5"/>
      <c r="Y15" s="5"/>
      <c r="Z15" s="85"/>
      <c r="AA15" s="5"/>
    </row>
    <row r="16" spans="1:27">
      <c r="R16" s="5" t="s">
        <v>147</v>
      </c>
      <c r="S16" s="100"/>
      <c r="T16" s="100"/>
      <c r="U16" s="100"/>
      <c r="V16" s="100"/>
      <c r="W16" s="100"/>
      <c r="X16" s="100"/>
      <c r="Y16" s="100"/>
      <c r="Z16" s="101"/>
    </row>
    <row r="17" spans="1:27">
      <c r="F17" s="10"/>
      <c r="I17" s="28" t="s">
        <v>310</v>
      </c>
      <c r="J17" s="28"/>
      <c r="Q17" s="18"/>
      <c r="R17" s="5" t="s">
        <v>270</v>
      </c>
      <c r="S17" s="5"/>
      <c r="T17" s="5" t="str">
        <f t="shared" ref="T17:T18" si="4">"RSD_UMSH_"&amp;C7</f>
        <v>RSD_UMSH_DTA1</v>
      </c>
      <c r="U17" s="5" t="str">
        <f t="shared" ref="U17:U18" si="5">"Unmet Space Heating Dummy Tech for "&amp;B7</f>
        <v>Unmet Space Heating Dummy Tech for Detached - Area1</v>
      </c>
      <c r="V17" s="5" t="s">
        <v>301</v>
      </c>
      <c r="W17" s="5" t="s">
        <v>461</v>
      </c>
      <c r="X17" s="11" t="s">
        <v>125</v>
      </c>
      <c r="Y17" s="5"/>
      <c r="Z17" s="85"/>
      <c r="AA17" s="5"/>
    </row>
    <row r="18" spans="1:27">
      <c r="A18" s="43" t="s">
        <v>451</v>
      </c>
      <c r="B18" s="33"/>
      <c r="C18" s="33"/>
      <c r="D18" s="10"/>
      <c r="E18" s="10"/>
      <c r="F18" s="10"/>
      <c r="G18" s="88" t="s">
        <v>1</v>
      </c>
      <c r="H18" s="121" t="s">
        <v>8</v>
      </c>
      <c r="I18" s="194" t="s">
        <v>306</v>
      </c>
      <c r="J18" s="121" t="s">
        <v>999</v>
      </c>
      <c r="M18" s="86"/>
      <c r="N18" s="19"/>
      <c r="O18" s="19"/>
      <c r="Q18" s="18"/>
      <c r="R18" s="5"/>
      <c r="S18" s="5"/>
      <c r="T18" s="5" t="str">
        <f t="shared" si="4"/>
        <v>RSD_UMSH_APA1</v>
      </c>
      <c r="U18" s="5" t="str">
        <f t="shared" si="5"/>
        <v>Unmet Space Heating Dummy Tech for Apartment - Area1</v>
      </c>
      <c r="V18" s="5" t="s">
        <v>301</v>
      </c>
      <c r="W18" s="5" t="s">
        <v>461</v>
      </c>
      <c r="X18" s="11" t="s">
        <v>125</v>
      </c>
      <c r="Y18" s="5"/>
      <c r="Z18" s="85"/>
    </row>
    <row r="19" spans="1:27" ht="14.25" customHeight="1" thickBot="1">
      <c r="A19" s="92"/>
      <c r="B19" s="92" t="s">
        <v>275</v>
      </c>
      <c r="C19" s="92" t="s">
        <v>314</v>
      </c>
      <c r="D19" s="93" t="s">
        <v>452</v>
      </c>
      <c r="E19" s="93" t="s">
        <v>999</v>
      </c>
      <c r="F19" s="27"/>
      <c r="G19" s="92" t="s">
        <v>312</v>
      </c>
      <c r="H19" s="93" t="s">
        <v>313</v>
      </c>
      <c r="I19" s="94" t="s">
        <v>315</v>
      </c>
      <c r="J19" s="124" t="s">
        <v>453</v>
      </c>
      <c r="N19" s="19"/>
      <c r="O19" s="339"/>
      <c r="Q19" s="18"/>
      <c r="R19" s="5"/>
      <c r="S19" s="5"/>
      <c r="T19" s="5"/>
      <c r="U19" s="5"/>
      <c r="V19" s="5"/>
      <c r="W19" s="5"/>
      <c r="X19" s="11"/>
      <c r="Y19" s="5"/>
      <c r="Z19" s="85"/>
    </row>
    <row r="20" spans="1:27" ht="28.2" thickBot="1">
      <c r="A20" s="92"/>
      <c r="B20" s="92"/>
      <c r="C20" s="92"/>
      <c r="D20" s="93" t="s">
        <v>998</v>
      </c>
      <c r="E20" s="193" t="str">
        <f>General!$D$22</f>
        <v>000dwellings</v>
      </c>
      <c r="F20" s="27"/>
      <c r="G20" s="92" t="s">
        <v>269</v>
      </c>
      <c r="H20" s="93"/>
      <c r="I20" s="94"/>
      <c r="J20" s="193" t="str">
        <f>General!$D$22</f>
        <v>000dwellings</v>
      </c>
      <c r="N20" s="19"/>
      <c r="O20" s="339"/>
      <c r="Q20" s="18"/>
      <c r="R20" s="5"/>
      <c r="S20" s="5"/>
      <c r="T20" s="5"/>
      <c r="U20" s="5"/>
      <c r="V20" s="5"/>
      <c r="W20" s="5"/>
      <c r="X20" s="11"/>
      <c r="Y20" s="5"/>
      <c r="Z20" s="85"/>
    </row>
    <row r="21" spans="1:27">
      <c r="A21" s="334">
        <v>1</v>
      </c>
      <c r="B21" s="335" t="str">
        <f t="shared" ref="B21:C22" si="6">B7</f>
        <v>Detached - Area1</v>
      </c>
      <c r="C21" s="335" t="str">
        <f t="shared" si="6"/>
        <v>DTA1</v>
      </c>
      <c r="D21" s="340">
        <v>1</v>
      </c>
      <c r="E21" s="27">
        <f t="shared" ref="E21:E22" si="7">D21*E7</f>
        <v>633.34259999999995</v>
      </c>
      <c r="F21" s="27"/>
      <c r="H21" s="19" t="str">
        <f>Commodities!AA7</f>
        <v>RSD_DTA1</v>
      </c>
      <c r="I21" s="341" t="str">
        <f t="shared" ref="I21:I22" si="8">BASE_YEAR</f>
        <v>2017</v>
      </c>
      <c r="J21" s="339">
        <f t="shared" ref="J21:J22" si="9">I7</f>
        <v>633.34259999999995</v>
      </c>
      <c r="N21" s="19"/>
      <c r="O21" s="19"/>
      <c r="Q21" s="18"/>
      <c r="R21" s="5"/>
      <c r="S21" s="5"/>
      <c r="T21" s="5"/>
      <c r="U21" s="5"/>
      <c r="V21" s="5"/>
      <c r="W21" s="5"/>
      <c r="X21" s="11"/>
      <c r="Y21" s="5"/>
      <c r="Z21" s="85"/>
    </row>
    <row r="22" spans="1:27">
      <c r="A22" s="334">
        <v>2</v>
      </c>
      <c r="B22" s="335" t="str">
        <f t="shared" si="6"/>
        <v>Apartment - Area1</v>
      </c>
      <c r="C22" s="335" t="str">
        <f t="shared" si="6"/>
        <v>APA1</v>
      </c>
      <c r="D22" s="340">
        <v>1</v>
      </c>
      <c r="E22" s="27">
        <f t="shared" si="7"/>
        <v>646.13740000000007</v>
      </c>
      <c r="F22" s="27"/>
      <c r="H22" s="19" t="str">
        <f>Commodities!AA8</f>
        <v>RSD_APA1</v>
      </c>
      <c r="I22" s="341" t="str">
        <f t="shared" si="8"/>
        <v>2017</v>
      </c>
      <c r="J22" s="339">
        <f t="shared" si="9"/>
        <v>646.13740000000007</v>
      </c>
      <c r="N22" s="19"/>
      <c r="O22" s="19"/>
      <c r="Q22" s="18"/>
      <c r="R22" s="5"/>
      <c r="S22" s="5"/>
      <c r="T22" s="5"/>
      <c r="U22" s="5"/>
      <c r="V22" s="5"/>
      <c r="W22" s="5"/>
      <c r="X22" s="11"/>
      <c r="Y22" s="5"/>
      <c r="Z22" s="85"/>
    </row>
    <row r="23" spans="1:27">
      <c r="A23" s="334"/>
      <c r="B23" s="335"/>
      <c r="C23" s="335"/>
      <c r="D23" s="340"/>
      <c r="E23" s="27"/>
      <c r="F23" s="27"/>
      <c r="I23" s="341"/>
      <c r="J23" s="339"/>
      <c r="N23" s="19"/>
      <c r="O23" s="19"/>
      <c r="Q23" s="18"/>
      <c r="R23" s="5"/>
      <c r="S23" s="5"/>
      <c r="T23" s="5"/>
      <c r="U23" s="5"/>
      <c r="V23" s="5"/>
      <c r="W23" s="5"/>
      <c r="X23" s="11"/>
      <c r="Y23" s="5"/>
      <c r="Z23" s="85"/>
    </row>
    <row r="24" spans="1:27">
      <c r="A24" s="334"/>
      <c r="B24" s="335"/>
      <c r="C24" s="335"/>
      <c r="D24" s="340"/>
      <c r="E24" s="27"/>
      <c r="F24" s="27"/>
      <c r="I24" s="341"/>
      <c r="J24" s="339"/>
      <c r="N24" s="19"/>
      <c r="O24" s="342"/>
      <c r="Q24" s="18"/>
      <c r="R24" s="5"/>
      <c r="S24" s="5"/>
      <c r="T24" s="5"/>
      <c r="U24" s="5"/>
      <c r="V24" s="5"/>
      <c r="W24" s="5"/>
      <c r="X24" s="11"/>
      <c r="Y24" s="5"/>
      <c r="Z24" s="85"/>
    </row>
    <row r="25" spans="1:27">
      <c r="A25" s="334"/>
      <c r="B25" s="335"/>
      <c r="C25" s="335"/>
      <c r="D25" s="340"/>
      <c r="E25" s="27"/>
      <c r="F25" s="344"/>
      <c r="I25" s="341"/>
      <c r="J25" s="339"/>
      <c r="N25" s="19"/>
      <c r="O25" s="342"/>
      <c r="Q25" s="18"/>
      <c r="R25" s="18"/>
    </row>
    <row r="26" spans="1:27">
      <c r="A26" s="334"/>
      <c r="B26" s="335"/>
      <c r="C26" s="335"/>
      <c r="D26" s="340"/>
      <c r="E26" s="27"/>
      <c r="F26" s="344"/>
      <c r="I26" s="341"/>
      <c r="J26" s="339"/>
      <c r="Q26" s="18"/>
      <c r="R26" s="18"/>
    </row>
    <row r="27" spans="1:27">
      <c r="A27" s="334"/>
      <c r="B27" s="335"/>
      <c r="C27" s="335"/>
      <c r="D27" s="340"/>
      <c r="E27" s="27"/>
      <c r="F27" s="344"/>
      <c r="I27" s="341"/>
      <c r="J27" s="339"/>
      <c r="O27" s="343"/>
      <c r="Q27" s="18"/>
    </row>
    <row r="28" spans="1:27">
      <c r="A28" s="334"/>
      <c r="B28" s="335"/>
      <c r="C28" s="335"/>
      <c r="D28" s="340"/>
      <c r="E28" s="27"/>
      <c r="F28" s="49"/>
      <c r="I28" s="341"/>
      <c r="J28" s="339"/>
      <c r="N28" s="19"/>
      <c r="O28" s="19"/>
      <c r="Q28" s="18"/>
      <c r="R28" s="18"/>
    </row>
    <row r="29" spans="1:27">
      <c r="A29" s="51"/>
      <c r="B29" s="51"/>
      <c r="C29" s="49"/>
      <c r="D29" s="49"/>
      <c r="E29" s="49"/>
      <c r="F29" s="49"/>
      <c r="Q29" s="18"/>
      <c r="R29" s="18"/>
    </row>
    <row r="30" spans="1:27">
      <c r="A30" s="51"/>
      <c r="B30" s="51"/>
      <c r="C30" s="49"/>
      <c r="D30" s="49"/>
      <c r="E30" s="45">
        <f>SUMPRODUCT(D7:D14,E7:E14)</f>
        <v>105205.24299999999</v>
      </c>
      <c r="F30" s="49"/>
      <c r="G30" s="49"/>
      <c r="H30" s="44"/>
      <c r="Q30" s="18"/>
      <c r="R30" s="18"/>
    </row>
    <row r="31" spans="1:27">
      <c r="A31" s="51"/>
      <c r="B31" s="51"/>
      <c r="C31" s="49"/>
      <c r="D31" s="49"/>
      <c r="E31" s="49"/>
      <c r="F31" s="49"/>
      <c r="Q31" s="18"/>
      <c r="R31" s="18"/>
    </row>
    <row r="32" spans="1:27">
      <c r="A32" s="51"/>
      <c r="B32" s="51"/>
      <c r="C32" s="49"/>
      <c r="D32" s="49"/>
      <c r="E32" s="49"/>
      <c r="F32" s="49"/>
      <c r="Q32" s="18"/>
      <c r="R32" s="18"/>
    </row>
    <row r="33" spans="1:18">
      <c r="B33" s="198"/>
      <c r="C33" s="345"/>
      <c r="D33" s="345"/>
      <c r="E33" s="345"/>
      <c r="F33" s="345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</row>
    <row r="34" spans="1:18">
      <c r="H34" s="18"/>
      <c r="I34" s="18"/>
      <c r="J34" s="18"/>
      <c r="K34" s="18"/>
      <c r="L34" s="18"/>
      <c r="Q34" s="18"/>
      <c r="R34" s="18"/>
    </row>
    <row r="35" spans="1:18">
      <c r="H35" s="18"/>
      <c r="I35" s="18"/>
      <c r="J35" s="18"/>
      <c r="K35" s="18"/>
      <c r="L35" s="18"/>
      <c r="Q35" s="18"/>
      <c r="R35" s="18"/>
    </row>
    <row r="36" spans="1:18">
      <c r="H36" s="18"/>
      <c r="I36" s="18"/>
      <c r="J36" s="18"/>
      <c r="K36" s="18"/>
      <c r="L36" s="18"/>
      <c r="Q36" s="18"/>
      <c r="R36" s="18"/>
    </row>
    <row r="37" spans="1:18">
      <c r="H37" s="18"/>
      <c r="I37" s="18"/>
      <c r="J37" s="18"/>
      <c r="K37" s="18"/>
      <c r="L37" s="18"/>
      <c r="Q37" s="18"/>
      <c r="R37" s="18"/>
    </row>
    <row r="38" spans="1:18">
      <c r="H38" s="18"/>
      <c r="I38" s="18"/>
      <c r="J38" s="18"/>
      <c r="K38" s="18"/>
      <c r="L38" s="18"/>
      <c r="Q38" s="18"/>
      <c r="R38" s="18"/>
    </row>
    <row r="39" spans="1:18">
      <c r="A39" s="51"/>
      <c r="H39" s="18"/>
      <c r="I39" s="18"/>
      <c r="J39" s="18"/>
      <c r="K39" s="18"/>
      <c r="L39" s="18"/>
      <c r="Q39" s="18"/>
      <c r="R39" s="18"/>
    </row>
    <row r="40" spans="1:18">
      <c r="H40" s="18"/>
      <c r="I40" s="18"/>
      <c r="J40" s="18"/>
      <c r="K40" s="18"/>
      <c r="L40" s="18"/>
      <c r="Q40" s="18"/>
      <c r="R40" s="18"/>
    </row>
    <row r="41" spans="1:18">
      <c r="H41" s="18"/>
      <c r="I41" s="18"/>
      <c r="J41" s="18"/>
      <c r="K41" s="18"/>
      <c r="L41" s="18"/>
      <c r="Q41" s="18"/>
      <c r="R41" s="18"/>
    </row>
    <row r="42" spans="1:18">
      <c r="H42" s="18"/>
      <c r="I42" s="18"/>
      <c r="J42" s="18"/>
      <c r="K42" s="18"/>
      <c r="L42" s="18"/>
      <c r="Q42" s="18"/>
      <c r="R42" s="18"/>
    </row>
    <row r="43" spans="1:18">
      <c r="H43" s="18"/>
      <c r="I43" s="18"/>
      <c r="J43" s="18"/>
      <c r="K43" s="18"/>
      <c r="L43" s="18"/>
      <c r="Q43" s="18"/>
      <c r="R43" s="18"/>
    </row>
    <row r="44" spans="1:18">
      <c r="H44" s="18"/>
      <c r="I44" s="18"/>
      <c r="J44" s="18"/>
      <c r="K44" s="18"/>
      <c r="L44" s="18"/>
      <c r="Q44" s="18"/>
      <c r="R44" s="18"/>
    </row>
    <row r="45" spans="1:18">
      <c r="H45" s="18"/>
      <c r="I45" s="18"/>
      <c r="J45" s="18"/>
      <c r="K45" s="18"/>
      <c r="L45" s="18"/>
      <c r="Q45" s="18"/>
      <c r="R45" s="18"/>
    </row>
    <row r="46" spans="1:18">
      <c r="H46" s="18"/>
      <c r="I46" s="18"/>
      <c r="J46" s="18"/>
      <c r="K46" s="18"/>
      <c r="L46" s="18"/>
      <c r="Q46" s="18"/>
      <c r="R46" s="18"/>
    </row>
    <row r="47" spans="1:18">
      <c r="H47" s="18"/>
      <c r="I47" s="18"/>
      <c r="J47" s="18"/>
      <c r="K47" s="18"/>
      <c r="L47" s="18"/>
      <c r="Q47" s="18"/>
      <c r="R47" s="18"/>
    </row>
    <row r="48" spans="1:18">
      <c r="H48" s="18"/>
      <c r="I48" s="18"/>
      <c r="J48" s="18"/>
      <c r="K48" s="18"/>
      <c r="L48" s="18"/>
      <c r="Q48" s="18"/>
      <c r="R48" s="18"/>
    </row>
    <row r="49" spans="8:18">
      <c r="H49" s="18"/>
      <c r="I49" s="18"/>
      <c r="J49" s="18"/>
      <c r="K49" s="18"/>
      <c r="L49" s="18"/>
      <c r="Q49" s="18"/>
      <c r="R49" s="18"/>
    </row>
    <row r="50" spans="8:18">
      <c r="H50" s="18"/>
      <c r="I50" s="18"/>
      <c r="J50" s="18"/>
      <c r="K50" s="18"/>
      <c r="L50" s="18"/>
      <c r="Q50" s="18"/>
      <c r="R50" s="18"/>
    </row>
    <row r="51" spans="8:18">
      <c r="H51" s="18"/>
      <c r="I51" s="18"/>
      <c r="J51" s="18"/>
      <c r="K51" s="18"/>
      <c r="L51" s="18"/>
      <c r="Q51" s="18"/>
      <c r="R51" s="18"/>
    </row>
    <row r="52" spans="8:18">
      <c r="H52" s="18"/>
      <c r="I52" s="18"/>
      <c r="J52" s="18"/>
      <c r="K52" s="18"/>
      <c r="L52" s="18"/>
      <c r="Q52" s="18"/>
      <c r="R52" s="18"/>
    </row>
    <row r="53" spans="8:18">
      <c r="H53" s="18"/>
      <c r="I53" s="18"/>
      <c r="J53" s="18"/>
      <c r="K53" s="18"/>
      <c r="L53" s="18"/>
      <c r="Q53" s="18"/>
      <c r="R53" s="18"/>
    </row>
    <row r="54" spans="8:18">
      <c r="H54" s="18"/>
      <c r="I54" s="18"/>
      <c r="J54" s="18"/>
      <c r="K54" s="18"/>
      <c r="L54" s="18"/>
      <c r="Q54" s="18"/>
      <c r="R54" s="18"/>
    </row>
    <row r="55" spans="8:18">
      <c r="H55" s="18"/>
      <c r="I55" s="18"/>
      <c r="J55" s="18"/>
      <c r="K55" s="18"/>
      <c r="L55" s="18"/>
      <c r="Q55" s="18"/>
      <c r="R55" s="18"/>
    </row>
    <row r="56" spans="8:18">
      <c r="H56" s="18"/>
      <c r="I56" s="18"/>
      <c r="J56" s="18"/>
      <c r="K56" s="18"/>
      <c r="L56" s="18"/>
      <c r="Q56" s="18"/>
      <c r="R56" s="18"/>
    </row>
    <row r="57" spans="8:18">
      <c r="H57" s="18"/>
      <c r="I57" s="18"/>
      <c r="J57" s="18"/>
      <c r="K57" s="18"/>
      <c r="L57" s="18"/>
      <c r="Q57" s="18"/>
      <c r="R57" s="18"/>
    </row>
    <row r="58" spans="8:18">
      <c r="H58" s="18"/>
      <c r="I58" s="18"/>
      <c r="J58" s="18"/>
      <c r="K58" s="18"/>
      <c r="L58" s="18"/>
      <c r="Q58" s="18"/>
      <c r="R58" s="18"/>
    </row>
    <row r="59" spans="8:18">
      <c r="H59" s="18"/>
      <c r="I59" s="18"/>
      <c r="J59" s="18"/>
      <c r="K59" s="18"/>
      <c r="L59" s="18"/>
      <c r="Q59" s="18"/>
      <c r="R59" s="18"/>
    </row>
    <row r="60" spans="8:18">
      <c r="H60" s="18"/>
      <c r="I60" s="18"/>
      <c r="J60" s="18"/>
      <c r="K60" s="18"/>
      <c r="L60" s="18"/>
      <c r="Q60" s="18"/>
      <c r="R60" s="18"/>
    </row>
    <row r="61" spans="8:18">
      <c r="H61" s="18"/>
      <c r="I61" s="18"/>
      <c r="J61" s="18"/>
      <c r="K61" s="18"/>
      <c r="L61" s="18"/>
      <c r="Q61" s="18"/>
      <c r="R61" s="18"/>
    </row>
    <row r="62" spans="8:18">
      <c r="H62" s="18"/>
      <c r="I62" s="18"/>
      <c r="J62" s="18"/>
      <c r="K62" s="18"/>
      <c r="L62" s="18"/>
      <c r="Q62" s="18"/>
      <c r="R62" s="18"/>
    </row>
    <row r="63" spans="8:18">
      <c r="H63" s="18"/>
      <c r="I63" s="18"/>
      <c r="J63" s="18"/>
      <c r="K63" s="18"/>
      <c r="L63" s="18"/>
      <c r="Q63" s="18"/>
      <c r="R63" s="18"/>
    </row>
    <row r="64" spans="8:18">
      <c r="H64" s="18"/>
      <c r="I64" s="18"/>
      <c r="J64" s="18"/>
      <c r="K64" s="18"/>
      <c r="L64" s="18"/>
      <c r="Q64" s="18"/>
      <c r="R64" s="18"/>
    </row>
    <row r="65" s="18" customFormat="1"/>
    <row r="66" s="18" customFormat="1"/>
    <row r="67" s="18" customFormat="1"/>
    <row r="68" s="18" customFormat="1"/>
    <row r="69" s="18" customFormat="1"/>
    <row r="70" s="18" customFormat="1"/>
    <row r="71" s="18" customFormat="1"/>
    <row r="72" s="18" customFormat="1"/>
    <row r="73" s="18" customFormat="1"/>
    <row r="74" s="18" customFormat="1"/>
    <row r="75" s="18" customFormat="1"/>
    <row r="76" s="18" customFormat="1"/>
    <row r="77" s="18" customFormat="1"/>
    <row r="78" s="18" customFormat="1"/>
    <row r="79" s="18" customFormat="1"/>
    <row r="80" s="18" customFormat="1"/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Q225"/>
  <sheetViews>
    <sheetView topLeftCell="G1" zoomScale="70" zoomScaleNormal="70" workbookViewId="0">
      <selection activeCell="H35" sqref="H35"/>
    </sheetView>
  </sheetViews>
  <sheetFormatPr defaultRowHeight="13.2"/>
  <cols>
    <col min="1" max="1" width="33.5546875" style="51" customWidth="1"/>
    <col min="2" max="2" width="4.44140625" style="51" customWidth="1"/>
    <col min="3" max="3" width="27" style="51" customWidth="1"/>
    <col min="4" max="4" width="28.33203125" style="51" customWidth="1"/>
    <col min="5" max="5" width="18.109375" style="51" customWidth="1"/>
    <col min="6" max="6" width="26.33203125" style="44" bestFit="1" customWidth="1"/>
    <col min="7" max="7" width="8.5546875" style="51" customWidth="1"/>
    <col min="8" max="8" width="48.109375" style="44" bestFit="1" customWidth="1"/>
    <col min="9" max="9" width="50" style="51" customWidth="1"/>
    <col min="10" max="10" width="70.109375" style="51" customWidth="1"/>
    <col min="11" max="11" width="28.33203125" style="51" customWidth="1"/>
    <col min="12" max="12" width="34.109375" style="51" customWidth="1"/>
    <col min="13" max="13" width="44.5546875" style="51" customWidth="1"/>
    <col min="14" max="14" width="38.6640625" style="51" customWidth="1"/>
    <col min="15" max="15" width="45.5546875" style="51" customWidth="1"/>
    <col min="16" max="16" width="46.5546875" style="51" customWidth="1"/>
    <col min="17" max="17" width="45" style="51" customWidth="1"/>
    <col min="18" max="16384" width="8.88671875" style="51"/>
  </cols>
  <sheetData>
    <row r="1" spans="1:17" ht="17.399999999999999">
      <c r="A1" s="36" t="s">
        <v>436</v>
      </c>
      <c r="B1" s="36"/>
      <c r="C1" s="36"/>
      <c r="D1" s="36"/>
      <c r="E1" s="36"/>
      <c r="F1" s="199"/>
      <c r="G1" s="36"/>
      <c r="H1" s="36"/>
      <c r="I1" s="36"/>
      <c r="J1" s="36"/>
      <c r="K1" s="36"/>
    </row>
    <row r="2" spans="1:17" ht="13.8" thickBot="1"/>
    <row r="3" spans="1:17" ht="15" thickBot="1">
      <c r="A3" s="295"/>
      <c r="B3" s="295"/>
      <c r="E3" s="18"/>
      <c r="K3" s="254" t="s">
        <v>330</v>
      </c>
    </row>
    <row r="4" spans="1:17" ht="15" thickBot="1">
      <c r="A4" s="295"/>
      <c r="B4" s="295"/>
      <c r="E4" s="86" t="s">
        <v>320</v>
      </c>
      <c r="F4" s="28"/>
      <c r="H4" s="148" t="s">
        <v>459</v>
      </c>
      <c r="I4" s="255"/>
      <c r="J4" s="148"/>
      <c r="K4" s="256" t="s">
        <v>464</v>
      </c>
      <c r="L4" s="257"/>
      <c r="M4" s="257"/>
      <c r="N4" s="257"/>
      <c r="O4" s="258"/>
      <c r="P4" s="259" t="s">
        <v>465</v>
      </c>
    </row>
    <row r="5" spans="1:17" ht="21.75" customHeight="1">
      <c r="A5" s="295"/>
      <c r="B5" s="295"/>
      <c r="C5" s="88" t="s">
        <v>1</v>
      </c>
      <c r="D5" s="88" t="s">
        <v>7</v>
      </c>
      <c r="E5" s="194" t="s">
        <v>306</v>
      </c>
      <c r="F5" s="121" t="s">
        <v>999</v>
      </c>
      <c r="H5" s="296"/>
      <c r="I5" s="297"/>
      <c r="J5" s="297"/>
      <c r="K5" s="298"/>
      <c r="L5" s="41"/>
      <c r="M5" s="41"/>
      <c r="N5" s="41"/>
      <c r="O5" s="299"/>
      <c r="P5" s="300"/>
    </row>
    <row r="6" spans="1:17" s="134" customFormat="1" ht="44.25" customHeight="1" thickBot="1">
      <c r="A6" s="301"/>
      <c r="B6" s="301"/>
      <c r="C6" s="127" t="s">
        <v>312</v>
      </c>
      <c r="D6" s="260" t="s">
        <v>323</v>
      </c>
      <c r="E6" s="128"/>
      <c r="F6" s="130"/>
      <c r="H6" s="261" t="s">
        <v>455</v>
      </c>
      <c r="I6" s="261" t="s">
        <v>456</v>
      </c>
      <c r="J6" s="261" t="s">
        <v>463</v>
      </c>
      <c r="K6" s="262"/>
      <c r="L6" s="263" t="s">
        <v>456</v>
      </c>
      <c r="M6" s="264"/>
      <c r="N6" s="263" t="s">
        <v>457</v>
      </c>
      <c r="O6" s="265"/>
      <c r="P6" s="266" t="s">
        <v>467</v>
      </c>
      <c r="Q6" s="51"/>
    </row>
    <row r="7" spans="1:17" ht="40.5" customHeight="1" thickBot="1">
      <c r="A7" s="295"/>
      <c r="B7" s="295"/>
      <c r="C7" s="92" t="s">
        <v>269</v>
      </c>
      <c r="D7" s="92"/>
      <c r="E7" s="123"/>
      <c r="F7" s="193" t="s">
        <v>322</v>
      </c>
      <c r="H7" s="93"/>
      <c r="I7" s="193" t="s">
        <v>322</v>
      </c>
      <c r="J7" s="193" t="s">
        <v>322</v>
      </c>
      <c r="K7" s="267" t="s">
        <v>332</v>
      </c>
      <c r="L7" s="268" t="s">
        <v>466</v>
      </c>
      <c r="M7" s="269" t="s">
        <v>454</v>
      </c>
      <c r="N7" s="268" t="s">
        <v>466</v>
      </c>
      <c r="O7" s="270" t="s">
        <v>454</v>
      </c>
      <c r="P7" s="266" t="s">
        <v>468</v>
      </c>
    </row>
    <row r="8" spans="1:17" ht="14.4">
      <c r="A8" s="295" t="s">
        <v>321</v>
      </c>
      <c r="B8" s="295"/>
      <c r="C8" s="41" t="str">
        <f>RSD_Stock!G7</f>
        <v>RSD_DW_DTA1</v>
      </c>
      <c r="D8" s="41" t="str">
        <f>Commodities!$AA$15</f>
        <v>RSD_DTA1_SH</v>
      </c>
      <c r="E8" s="271"/>
      <c r="F8" s="302">
        <f>J8</f>
        <v>7.5107674848589073E-2</v>
      </c>
      <c r="H8" s="143" t="s">
        <v>778</v>
      </c>
      <c r="I8" s="272">
        <f>SUM(RSD_Tech_SpHeat!$K$7:$K$14)/RSD_Stock!E21</f>
        <v>7.5107674848589073E-2</v>
      </c>
      <c r="J8" s="273">
        <f>I8*1</f>
        <v>7.5107674848589073E-2</v>
      </c>
      <c r="K8" s="274">
        <f>RSD_Stock!D7</f>
        <v>110</v>
      </c>
      <c r="L8" s="272">
        <f>I8/K8</f>
        <v>6.8279704407808251E-4</v>
      </c>
      <c r="M8" s="275">
        <f>L8*277777.777777778</f>
        <v>189.66584557724528</v>
      </c>
      <c r="N8" s="272">
        <f t="shared" ref="N8:N9" si="0">J8/K8</f>
        <v>6.8279704407808251E-4</v>
      </c>
      <c r="O8" s="276">
        <f>N8*277777.777777778</f>
        <v>189.66584557724528</v>
      </c>
      <c r="P8" s="277">
        <f>SUM(RSD_Tech_SpHeat!$L$7:$L$14)/RSD_Stock!$E$21/$K$8*277777.777777778</f>
        <v>322.79710623659901</v>
      </c>
    </row>
    <row r="9" spans="1:17" ht="14.4">
      <c r="A9" s="295" t="s">
        <v>462</v>
      </c>
      <c r="B9" s="295"/>
      <c r="C9" s="41" t="str">
        <f>RSD_Stock!G8</f>
        <v>RSD_DW_APA1</v>
      </c>
      <c r="D9" s="41" t="str">
        <f>Commodities!$AA$16</f>
        <v>RSD_APA1_SH</v>
      </c>
      <c r="E9" s="271"/>
      <c r="F9" s="302">
        <f t="shared" ref="F9" si="1">J9</f>
        <v>5.8382141054673507E-2</v>
      </c>
      <c r="H9" s="143" t="s">
        <v>779</v>
      </c>
      <c r="I9" s="272">
        <f>SUM(RSD_Tech_SpHeat!$K$15:$K$22)/RSD_Stock!E22</f>
        <v>5.8382141054673507E-2</v>
      </c>
      <c r="J9" s="273">
        <f>I9*1</f>
        <v>5.8382141054673507E-2</v>
      </c>
      <c r="K9" s="274">
        <f>RSD_Stock!D8</f>
        <v>55</v>
      </c>
      <c r="L9" s="272">
        <f t="shared" ref="L9" si="2">I9/K9</f>
        <v>1.0614934737213364E-3</v>
      </c>
      <c r="M9" s="278">
        <f t="shared" ref="M9" si="3">L9*277777.777777778</f>
        <v>294.859298255927</v>
      </c>
      <c r="N9" s="272">
        <f t="shared" si="0"/>
        <v>1.0614934737213364E-3</v>
      </c>
      <c r="O9" s="279">
        <f t="shared" ref="O9" si="4">N9*277777.777777778</f>
        <v>294.859298255927</v>
      </c>
      <c r="P9" s="280">
        <f>SUM(RSD_Tech_SpHeat!$L$15:$L$22)/RSD_Stock!$E$22/$K$9*277777.777777778</f>
        <v>387.37778387523969</v>
      </c>
    </row>
    <row r="10" spans="1:17" ht="14.4">
      <c r="A10" s="295"/>
      <c r="B10" s="295"/>
      <c r="C10" s="41" t="s">
        <v>147</v>
      </c>
      <c r="D10" s="41"/>
      <c r="E10" s="271"/>
      <c r="F10" s="302"/>
      <c r="H10" s="143"/>
      <c r="I10" s="272"/>
      <c r="J10" s="273"/>
      <c r="K10" s="274"/>
      <c r="L10" s="272"/>
      <c r="M10" s="275"/>
      <c r="N10" s="272"/>
      <c r="O10" s="276"/>
      <c r="P10" s="280"/>
    </row>
    <row r="11" spans="1:17" ht="14.4">
      <c r="A11" s="295"/>
      <c r="B11" s="295"/>
      <c r="C11" s="41" t="s">
        <v>147</v>
      </c>
      <c r="D11" s="41"/>
      <c r="E11" s="271"/>
      <c r="F11" s="302"/>
      <c r="H11" s="143"/>
      <c r="I11" s="272"/>
      <c r="J11" s="273"/>
      <c r="K11" s="274"/>
      <c r="L11" s="272"/>
      <c r="M11" s="278"/>
      <c r="N11" s="272"/>
      <c r="O11" s="279"/>
      <c r="P11" s="280"/>
    </row>
    <row r="12" spans="1:17" ht="14.4">
      <c r="A12" s="295"/>
      <c r="B12" s="295"/>
      <c r="C12" s="41" t="s">
        <v>147</v>
      </c>
      <c r="D12" s="41"/>
      <c r="E12" s="271"/>
      <c r="F12" s="302"/>
      <c r="H12" s="143"/>
      <c r="I12" s="272"/>
      <c r="J12" s="273"/>
      <c r="K12" s="274"/>
      <c r="L12" s="272"/>
      <c r="M12" s="275"/>
      <c r="N12" s="272"/>
      <c r="O12" s="276"/>
      <c r="P12" s="280"/>
    </row>
    <row r="13" spans="1:17" ht="14.4">
      <c r="A13" s="295"/>
      <c r="B13" s="295"/>
      <c r="C13" s="41" t="s">
        <v>147</v>
      </c>
      <c r="D13" s="41"/>
      <c r="E13" s="271"/>
      <c r="F13" s="302"/>
      <c r="H13" s="143"/>
      <c r="I13" s="272"/>
      <c r="J13" s="273"/>
      <c r="K13" s="274"/>
      <c r="L13" s="272"/>
      <c r="M13" s="278"/>
      <c r="N13" s="272"/>
      <c r="O13" s="279"/>
      <c r="P13" s="280"/>
    </row>
    <row r="14" spans="1:17" ht="14.4">
      <c r="A14" s="295"/>
      <c r="B14" s="295"/>
      <c r="C14" s="41" t="s">
        <v>147</v>
      </c>
      <c r="D14" s="41"/>
      <c r="E14" s="271"/>
      <c r="F14" s="302"/>
      <c r="H14" s="143"/>
      <c r="I14" s="272"/>
      <c r="J14" s="273"/>
      <c r="K14" s="274"/>
      <c r="L14" s="272"/>
      <c r="M14" s="275"/>
      <c r="N14" s="272"/>
      <c r="O14" s="276"/>
      <c r="P14" s="280"/>
    </row>
    <row r="15" spans="1:17" ht="15" thickBot="1">
      <c r="A15" s="303"/>
      <c r="B15" s="303"/>
      <c r="C15" s="152" t="s">
        <v>147</v>
      </c>
      <c r="D15" s="152"/>
      <c r="E15" s="304"/>
      <c r="F15" s="305"/>
      <c r="H15" s="177"/>
      <c r="I15" s="306"/>
      <c r="J15" s="307"/>
      <c r="K15" s="308"/>
      <c r="L15" s="309"/>
      <c r="M15" s="310"/>
      <c r="N15" s="309"/>
      <c r="O15" s="311"/>
      <c r="P15" s="312"/>
    </row>
    <row r="16" spans="1:17" ht="15" thickBot="1">
      <c r="A16" s="295" t="s">
        <v>324</v>
      </c>
      <c r="B16" s="295"/>
      <c r="C16" s="41" t="str">
        <f>RSD_Stock!T9</f>
        <v>RSD_DW_DTA1</v>
      </c>
      <c r="D16" s="41" t="str">
        <f>Commodities!AA23</f>
        <v>RSD_DTA1_WH</v>
      </c>
      <c r="E16" s="202"/>
      <c r="F16" s="302">
        <f>SUM(RSD_Tech_WaterHeat!$I$7:$I$12)/RSD_Stock!E21</f>
        <v>3.4947691056309807E-2</v>
      </c>
      <c r="M16" s="47">
        <f>SUMPRODUCT($M$8:$M$15,RSD_Stock!$E$7:$E$14)/RSD_Stock!$E$15</f>
        <v>242.78853917997952</v>
      </c>
      <c r="O16" s="47">
        <f>SUMPRODUCT($O$8:$O$15,RSD_Stock!$E$7:$E$14)/RSD_Stock!$E$15</f>
        <v>242.78853917997952</v>
      </c>
    </row>
    <row r="17" spans="1:15" ht="14.4">
      <c r="A17" s="295"/>
      <c r="B17" s="295"/>
      <c r="C17" s="41" t="str">
        <f>RSD_Stock!T10</f>
        <v>RSD_DW_APA1</v>
      </c>
      <c r="D17" s="41" t="str">
        <f>Commodities!AA24</f>
        <v>RSD_APA1_WH</v>
      </c>
      <c r="E17" s="202"/>
      <c r="F17" s="302">
        <f>SUM(RSD_Tech_WaterHeat!$I$13:$I$18)/RSD_Stock!E22</f>
        <v>4.7402713460264014E-2</v>
      </c>
      <c r="H17" s="51"/>
      <c r="M17" s="48"/>
      <c r="N17" s="41"/>
      <c r="O17" s="51" t="s">
        <v>997</v>
      </c>
    </row>
    <row r="18" spans="1:15" ht="17.399999999999999">
      <c r="A18" s="295"/>
      <c r="B18" s="295"/>
      <c r="C18" s="41" t="s">
        <v>147</v>
      </c>
      <c r="D18" s="41"/>
      <c r="E18" s="202"/>
      <c r="F18" s="302"/>
      <c r="H18" s="36" t="s">
        <v>458</v>
      </c>
      <c r="I18" s="36"/>
      <c r="J18" s="36"/>
      <c r="M18" s="48"/>
      <c r="N18" s="41"/>
    </row>
    <row r="19" spans="1:15" ht="14.4">
      <c r="A19" s="295"/>
      <c r="B19" s="295"/>
      <c r="C19" s="41" t="s">
        <v>147</v>
      </c>
      <c r="D19" s="41"/>
      <c r="E19" s="202"/>
      <c r="F19" s="302"/>
      <c r="H19" s="51"/>
      <c r="I19" s="313" t="s">
        <v>460</v>
      </c>
      <c r="M19" s="48"/>
      <c r="N19" s="41"/>
    </row>
    <row r="20" spans="1:15" ht="14.4">
      <c r="A20" s="295"/>
      <c r="B20" s="295"/>
      <c r="C20" s="41" t="s">
        <v>147</v>
      </c>
      <c r="D20" s="41"/>
      <c r="E20" s="202"/>
      <c r="F20" s="302"/>
      <c r="H20" s="63" t="s">
        <v>1</v>
      </c>
      <c r="I20" s="281" t="s">
        <v>8</v>
      </c>
      <c r="J20" s="121" t="s">
        <v>999</v>
      </c>
      <c r="K20" s="282" t="s">
        <v>991</v>
      </c>
      <c r="L20" s="282" t="s">
        <v>309</v>
      </c>
      <c r="M20" s="48"/>
      <c r="N20" s="41"/>
    </row>
    <row r="21" spans="1:15" ht="14.25" customHeight="1" thickBot="1">
      <c r="A21" s="295"/>
      <c r="B21" s="295"/>
      <c r="C21" s="41" t="s">
        <v>147</v>
      </c>
      <c r="D21" s="41"/>
      <c r="E21" s="202"/>
      <c r="F21" s="302"/>
      <c r="H21" s="127" t="s">
        <v>356</v>
      </c>
      <c r="I21" s="260" t="s">
        <v>323</v>
      </c>
      <c r="J21" s="127"/>
      <c r="K21" s="283"/>
      <c r="L21" s="283" t="s">
        <v>992</v>
      </c>
      <c r="M21" s="48"/>
      <c r="N21" s="41"/>
    </row>
    <row r="22" spans="1:15" ht="15" thickBot="1">
      <c r="A22" s="295"/>
      <c r="B22" s="295"/>
      <c r="C22" s="41" t="s">
        <v>147</v>
      </c>
      <c r="D22" s="41"/>
      <c r="E22" s="202"/>
      <c r="F22" s="302"/>
      <c r="H22" s="92" t="s">
        <v>269</v>
      </c>
      <c r="I22" s="92"/>
      <c r="J22" s="193" t="s">
        <v>301</v>
      </c>
      <c r="K22" s="283" t="s">
        <v>993</v>
      </c>
      <c r="L22" s="283" t="s">
        <v>274</v>
      </c>
      <c r="M22" s="48"/>
      <c r="N22" s="41"/>
    </row>
    <row r="23" spans="1:15" ht="14.4">
      <c r="A23" s="303"/>
      <c r="B23" s="303"/>
      <c r="C23" s="152" t="s">
        <v>147</v>
      </c>
      <c r="D23" s="152"/>
      <c r="E23" s="234"/>
      <c r="F23" s="305"/>
      <c r="H23" s="314" t="str">
        <f>RSD_Stock!T17</f>
        <v>RSD_UMSH_DTA1</v>
      </c>
      <c r="I23" s="315" t="str">
        <f>Commodities!$AA$15</f>
        <v>RSD_DTA1_SH</v>
      </c>
      <c r="J23" s="273">
        <f>(J8-I8)*RSD_Stock!I7</f>
        <v>0</v>
      </c>
      <c r="K23" s="284">
        <f>J23</f>
        <v>0</v>
      </c>
      <c r="L23" s="285">
        <f>RSD_Stock!L7</f>
        <v>75</v>
      </c>
      <c r="M23" s="48"/>
      <c r="N23" s="41"/>
    </row>
    <row r="24" spans="1:15" ht="14.4">
      <c r="A24" s="295" t="s">
        <v>325</v>
      </c>
      <c r="B24" s="295"/>
      <c r="C24" s="41" t="str">
        <f>RSD_Stock!T9</f>
        <v>RSD_DW_DTA1</v>
      </c>
      <c r="D24" s="41" t="str">
        <f>Commodities!AA31</f>
        <v>RSD_DTA1_SC</v>
      </c>
      <c r="E24" s="202"/>
      <c r="F24" s="302">
        <f>RSD_Tech_SpCool!I7/RSD_Stock!E21</f>
        <v>5.3511379935598834E-5</v>
      </c>
      <c r="H24" s="143" t="str">
        <f>RSD_Stock!T18</f>
        <v>RSD_UMSH_APA1</v>
      </c>
      <c r="I24" s="202" t="str">
        <f>Commodities!$AA$16</f>
        <v>RSD_APA1_SH</v>
      </c>
      <c r="J24" s="273">
        <f>(J9-I9)*RSD_Stock!I8</f>
        <v>0</v>
      </c>
      <c r="K24" s="284">
        <f t="shared" ref="K24" si="5">J24</f>
        <v>0</v>
      </c>
      <c r="L24" s="285">
        <f>RSD_Stock!L8</f>
        <v>80</v>
      </c>
      <c r="M24" s="48"/>
      <c r="N24" s="41"/>
    </row>
    <row r="25" spans="1:15" ht="14.4">
      <c r="A25" s="295"/>
      <c r="B25" s="295"/>
      <c r="C25" s="41" t="str">
        <f>RSD_Stock!T10</f>
        <v>RSD_DW_APA1</v>
      </c>
      <c r="D25" s="41" t="str">
        <f>Commodities!AA32</f>
        <v>RSD_APA1_SC</v>
      </c>
      <c r="E25" s="202"/>
      <c r="F25" s="302">
        <f>RSD_Tech_SpCool!I8/RSD_Stock!E22</f>
        <v>5.3511379935598834E-5</v>
      </c>
      <c r="H25" s="143"/>
      <c r="I25" s="202"/>
      <c r="J25" s="273"/>
      <c r="K25" s="284"/>
      <c r="L25" s="285"/>
      <c r="M25" s="48"/>
      <c r="N25" s="41"/>
    </row>
    <row r="26" spans="1:15" ht="14.4">
      <c r="A26" s="295"/>
      <c r="B26" s="295"/>
      <c r="C26" s="41"/>
      <c r="D26" s="41"/>
      <c r="E26" s="202"/>
      <c r="F26" s="302"/>
      <c r="H26" s="143"/>
      <c r="I26" s="202"/>
      <c r="J26" s="273"/>
      <c r="K26" s="284"/>
      <c r="L26" s="285"/>
      <c r="N26" s="41"/>
    </row>
    <row r="27" spans="1:15" ht="14.4">
      <c r="A27" s="295"/>
      <c r="B27" s="295"/>
      <c r="C27" s="41"/>
      <c r="D27" s="41"/>
      <c r="E27" s="202"/>
      <c r="F27" s="302"/>
      <c r="H27" s="143"/>
      <c r="I27" s="202"/>
      <c r="J27" s="273"/>
      <c r="K27" s="284"/>
      <c r="L27" s="285"/>
      <c r="N27" s="41"/>
    </row>
    <row r="28" spans="1:15" ht="14.4">
      <c r="A28" s="295"/>
      <c r="B28" s="295"/>
      <c r="C28" s="41"/>
      <c r="D28" s="41"/>
      <c r="E28" s="202"/>
      <c r="F28" s="302"/>
      <c r="H28" s="143"/>
      <c r="I28" s="202"/>
      <c r="J28" s="273"/>
      <c r="K28" s="284"/>
      <c r="L28" s="285"/>
    </row>
    <row r="29" spans="1:15" ht="14.4">
      <c r="A29" s="295"/>
      <c r="B29" s="295"/>
      <c r="C29" s="41"/>
      <c r="D29" s="41"/>
      <c r="E29" s="202"/>
      <c r="F29" s="302"/>
      <c r="H29" s="143"/>
      <c r="I29" s="202"/>
      <c r="J29" s="273"/>
      <c r="K29" s="284"/>
      <c r="L29" s="285"/>
    </row>
    <row r="30" spans="1:15" ht="14.4">
      <c r="A30" s="295"/>
      <c r="B30" s="295"/>
      <c r="C30" s="41"/>
      <c r="D30" s="41"/>
      <c r="E30" s="202"/>
      <c r="F30" s="302"/>
      <c r="H30" s="177"/>
      <c r="I30" s="234"/>
      <c r="J30" s="316"/>
      <c r="K30" s="317"/>
      <c r="L30" s="318"/>
    </row>
    <row r="31" spans="1:15" ht="14.4">
      <c r="A31" s="303"/>
      <c r="B31" s="303"/>
      <c r="C31" s="152"/>
      <c r="D31" s="152"/>
      <c r="E31" s="234"/>
      <c r="F31" s="305"/>
      <c r="H31" s="51"/>
    </row>
    <row r="32" spans="1:15" ht="14.4">
      <c r="A32" s="319"/>
      <c r="B32" s="319"/>
      <c r="C32" s="41"/>
      <c r="D32" s="41"/>
      <c r="E32" s="21"/>
      <c r="F32" s="210"/>
      <c r="G32" s="41"/>
      <c r="H32" s="51"/>
    </row>
    <row r="33" spans="1:12" ht="14.4">
      <c r="A33" s="319"/>
      <c r="B33" s="319"/>
      <c r="C33" s="41"/>
      <c r="D33" s="41"/>
      <c r="E33" s="21"/>
      <c r="F33" s="210"/>
      <c r="H33" s="51"/>
    </row>
    <row r="34" spans="1:12" ht="14.4">
      <c r="A34" s="319"/>
      <c r="B34" s="319"/>
      <c r="E34" s="86" t="s">
        <v>320</v>
      </c>
      <c r="F34" s="28"/>
      <c r="H34" s="51"/>
    </row>
    <row r="35" spans="1:12" ht="14.4">
      <c r="A35" s="319"/>
      <c r="B35" s="319"/>
      <c r="C35" s="88" t="s">
        <v>1</v>
      </c>
      <c r="D35" s="88" t="s">
        <v>7</v>
      </c>
      <c r="E35" s="194" t="s">
        <v>306</v>
      </c>
      <c r="F35" s="121" t="s">
        <v>999</v>
      </c>
      <c r="H35" s="51"/>
      <c r="J35" s="160"/>
      <c r="K35" s="160"/>
      <c r="L35" s="160"/>
    </row>
    <row r="36" spans="1:12" ht="15" thickBot="1">
      <c r="A36" s="319"/>
      <c r="B36" s="319"/>
      <c r="C36" s="92" t="s">
        <v>312</v>
      </c>
      <c r="D36" s="124" t="s">
        <v>323</v>
      </c>
      <c r="E36" s="123"/>
      <c r="F36" s="93"/>
      <c r="H36" s="51"/>
    </row>
    <row r="37" spans="1:12" ht="15" thickBot="1">
      <c r="A37" s="295"/>
      <c r="B37" s="295"/>
      <c r="C37" s="92" t="s">
        <v>269</v>
      </c>
      <c r="D37" s="92"/>
      <c r="E37" s="123"/>
      <c r="F37" s="193" t="s">
        <v>326</v>
      </c>
    </row>
    <row r="38" spans="1:12" ht="14.4">
      <c r="A38" s="295" t="s">
        <v>327</v>
      </c>
      <c r="B38" s="295"/>
      <c r="C38" s="41" t="str">
        <f t="shared" ref="C38:C45" si="6">C24</f>
        <v>RSD_DW_DTA1</v>
      </c>
      <c r="D38" s="320" t="str">
        <f>Commodities!AA39</f>
        <v>RSD_DTA1_CK</v>
      </c>
      <c r="E38" s="286"/>
      <c r="F38" s="210">
        <v>1</v>
      </c>
      <c r="H38" s="295" t="s">
        <v>340</v>
      </c>
    </row>
    <row r="39" spans="1:12" ht="14.4">
      <c r="A39" s="295"/>
      <c r="B39" s="295"/>
      <c r="C39" s="41" t="str">
        <f t="shared" si="6"/>
        <v>RSD_DW_APA1</v>
      </c>
      <c r="D39" s="41" t="str">
        <f>Commodities!AA40</f>
        <v>RSD_APA1_CK</v>
      </c>
      <c r="E39" s="286"/>
      <c r="F39" s="321">
        <f t="shared" ref="F39:F42" si="7">F38</f>
        <v>1</v>
      </c>
      <c r="H39" s="295"/>
    </row>
    <row r="40" spans="1:12" ht="14.4" hidden="1">
      <c r="A40" s="295"/>
      <c r="B40" s="295"/>
      <c r="C40" s="41">
        <f t="shared" si="6"/>
        <v>0</v>
      </c>
      <c r="D40" s="41" t="str">
        <f>Commodities!AA41</f>
        <v>RSD_DTA2_CK</v>
      </c>
      <c r="E40" s="286"/>
      <c r="F40" s="210">
        <f t="shared" si="7"/>
        <v>1</v>
      </c>
      <c r="H40" s="295"/>
    </row>
    <row r="41" spans="1:12" ht="14.4" hidden="1">
      <c r="A41" s="295"/>
      <c r="B41" s="295"/>
      <c r="C41" s="41">
        <f t="shared" si="6"/>
        <v>0</v>
      </c>
      <c r="D41" s="41" t="str">
        <f>Commodities!AA42</f>
        <v>RSD_APA2_CK</v>
      </c>
      <c r="E41" s="286"/>
      <c r="F41" s="210">
        <f t="shared" si="7"/>
        <v>1</v>
      </c>
      <c r="H41" s="295"/>
    </row>
    <row r="42" spans="1:12" ht="14.4" hidden="1">
      <c r="A42" s="295"/>
      <c r="B42" s="295"/>
      <c r="C42" s="41">
        <f t="shared" si="6"/>
        <v>0</v>
      </c>
      <c r="D42" s="41" t="str">
        <f>Commodities!AA43</f>
        <v>RSD_DTA3_CK</v>
      </c>
      <c r="E42" s="286"/>
      <c r="F42" s="210">
        <f t="shared" si="7"/>
        <v>1</v>
      </c>
      <c r="H42" s="295"/>
    </row>
    <row r="43" spans="1:12" ht="14.4" hidden="1">
      <c r="A43" s="295"/>
      <c r="B43" s="295"/>
      <c r="C43" s="41">
        <f t="shared" si="6"/>
        <v>0</v>
      </c>
      <c r="D43" s="41" t="str">
        <f>Commodities!AA44</f>
        <v>RSD_APA3_CK</v>
      </c>
      <c r="E43" s="286"/>
      <c r="F43" s="210">
        <v>1</v>
      </c>
      <c r="H43" s="295"/>
    </row>
    <row r="44" spans="1:12" ht="14.4" hidden="1">
      <c r="A44" s="295"/>
      <c r="B44" s="295"/>
      <c r="C44" s="41">
        <f t="shared" si="6"/>
        <v>0</v>
      </c>
      <c r="D44" s="41" t="str">
        <f>Commodities!AA45</f>
        <v>RSD_DTA4_CK</v>
      </c>
      <c r="E44" s="286"/>
      <c r="F44" s="210">
        <f>F43</f>
        <v>1</v>
      </c>
      <c r="H44" s="295"/>
    </row>
    <row r="45" spans="1:12" ht="14.4" hidden="1">
      <c r="A45" s="295"/>
      <c r="B45" s="295"/>
      <c r="C45" s="152">
        <f t="shared" si="6"/>
        <v>0</v>
      </c>
      <c r="D45" s="152" t="str">
        <f>Commodities!AA46</f>
        <v>RSD_APA4_CK</v>
      </c>
      <c r="E45" s="322"/>
      <c r="F45" s="323">
        <f t="shared" ref="F45" si="8">F44</f>
        <v>1</v>
      </c>
      <c r="H45" s="295"/>
    </row>
    <row r="46" spans="1:12" ht="14.4">
      <c r="A46" s="295"/>
      <c r="B46" s="295"/>
      <c r="C46" s="41" t="str">
        <f t="shared" ref="C46:C85" si="9">C38</f>
        <v>RSD_DW_DTA1</v>
      </c>
      <c r="D46" s="41" t="str">
        <f>Commodities!AA47</f>
        <v>RSD_DTA1_LI</v>
      </c>
      <c r="E46" s="286"/>
      <c r="F46" s="210">
        <v>5</v>
      </c>
      <c r="H46" s="295" t="s">
        <v>341</v>
      </c>
    </row>
    <row r="47" spans="1:12" ht="14.4">
      <c r="A47" s="295"/>
      <c r="B47" s="295"/>
      <c r="C47" s="41" t="str">
        <f t="shared" si="9"/>
        <v>RSD_DW_APA1</v>
      </c>
      <c r="D47" s="41" t="str">
        <f>Commodities!AA48</f>
        <v>RSD_APA1_LI</v>
      </c>
      <c r="E47" s="286"/>
      <c r="F47" s="210">
        <f t="shared" ref="F47:F50" si="10">F46</f>
        <v>5</v>
      </c>
      <c r="H47" s="295"/>
    </row>
    <row r="48" spans="1:12" ht="14.4" hidden="1">
      <c r="A48" s="295"/>
      <c r="B48" s="295"/>
      <c r="C48" s="41">
        <f t="shared" si="9"/>
        <v>0</v>
      </c>
      <c r="D48" s="41" t="str">
        <f>Commodities!AA49</f>
        <v>RSD_DTA2_LI</v>
      </c>
      <c r="E48" s="286"/>
      <c r="F48" s="210">
        <f t="shared" si="10"/>
        <v>5</v>
      </c>
      <c r="H48" s="295"/>
    </row>
    <row r="49" spans="1:8" ht="14.4" hidden="1">
      <c r="A49" s="295"/>
      <c r="B49" s="295"/>
      <c r="C49" s="41">
        <f t="shared" si="9"/>
        <v>0</v>
      </c>
      <c r="D49" s="41" t="str">
        <f>Commodities!AA50</f>
        <v>RSD_APA2_LI</v>
      </c>
      <c r="E49" s="286"/>
      <c r="F49" s="210">
        <f t="shared" si="10"/>
        <v>5</v>
      </c>
      <c r="H49" s="295"/>
    </row>
    <row r="50" spans="1:8" ht="14.4" hidden="1">
      <c r="A50" s="295"/>
      <c r="B50" s="295"/>
      <c r="C50" s="41">
        <f t="shared" si="9"/>
        <v>0</v>
      </c>
      <c r="D50" s="41" t="str">
        <f>Commodities!AA51</f>
        <v>RSD_DTA3_LI</v>
      </c>
      <c r="E50" s="286"/>
      <c r="F50" s="210">
        <f t="shared" si="10"/>
        <v>5</v>
      </c>
      <c r="H50" s="295"/>
    </row>
    <row r="51" spans="1:8" ht="14.4" hidden="1">
      <c r="A51" s="295"/>
      <c r="B51" s="295"/>
      <c r="C51" s="41">
        <f t="shared" si="9"/>
        <v>0</v>
      </c>
      <c r="D51" s="41" t="str">
        <f>Commodities!AA52</f>
        <v>RSD_APA3_LI</v>
      </c>
      <c r="E51" s="286"/>
      <c r="F51" s="210">
        <f>F50</f>
        <v>5</v>
      </c>
      <c r="H51" s="295"/>
    </row>
    <row r="52" spans="1:8" ht="14.4" hidden="1">
      <c r="A52" s="295"/>
      <c r="B52" s="295"/>
      <c r="C52" s="41">
        <f t="shared" si="9"/>
        <v>0</v>
      </c>
      <c r="D52" s="41" t="str">
        <f>Commodities!AA53</f>
        <v>RSD_DTA4_LI</v>
      </c>
      <c r="E52" s="286"/>
      <c r="F52" s="210">
        <f>F51</f>
        <v>5</v>
      </c>
      <c r="H52" s="295"/>
    </row>
    <row r="53" spans="1:8" ht="14.4" hidden="1">
      <c r="A53" s="295"/>
      <c r="B53" s="295"/>
      <c r="C53" s="152">
        <f t="shared" si="9"/>
        <v>0</v>
      </c>
      <c r="D53" s="152" t="str">
        <f>Commodities!AA54</f>
        <v>RSD_APA4_LI</v>
      </c>
      <c r="E53" s="322"/>
      <c r="F53" s="323">
        <f t="shared" ref="F53" si="11">F52</f>
        <v>5</v>
      </c>
      <c r="H53" s="295"/>
    </row>
    <row r="54" spans="1:8" ht="14.4">
      <c r="A54" s="295"/>
      <c r="B54" s="295"/>
      <c r="C54" s="41" t="str">
        <f t="shared" si="9"/>
        <v>RSD_DW_DTA1</v>
      </c>
      <c r="D54" s="41" t="str">
        <f>Commodities!AA55</f>
        <v>RSD_DTA1_RF</v>
      </c>
      <c r="E54" s="286"/>
      <c r="F54" s="324">
        <f t="shared" ref="F54:F61" si="12">J186</f>
        <v>1.2</v>
      </c>
      <c r="H54" s="295" t="s">
        <v>342</v>
      </c>
    </row>
    <row r="55" spans="1:8" ht="14.4">
      <c r="A55" s="295"/>
      <c r="B55" s="295"/>
      <c r="C55" s="41" t="str">
        <f t="shared" si="9"/>
        <v>RSD_DW_APA1</v>
      </c>
      <c r="D55" s="41" t="str">
        <f>Commodities!AA56</f>
        <v>RSD_APA1_RF</v>
      </c>
      <c r="E55" s="286"/>
      <c r="F55" s="325">
        <f t="shared" si="12"/>
        <v>1.2</v>
      </c>
      <c r="H55" s="295"/>
    </row>
    <row r="56" spans="1:8" ht="14.4" hidden="1">
      <c r="A56" s="295"/>
      <c r="B56" s="295"/>
      <c r="C56" s="41">
        <f t="shared" si="9"/>
        <v>0</v>
      </c>
      <c r="D56" s="41" t="str">
        <f>Commodities!AA57</f>
        <v>RSD_DTA2_RF</v>
      </c>
      <c r="E56" s="286"/>
      <c r="F56" s="325">
        <f t="shared" si="12"/>
        <v>1.2</v>
      </c>
      <c r="H56" s="295"/>
    </row>
    <row r="57" spans="1:8" ht="14.4" hidden="1">
      <c r="A57" s="295"/>
      <c r="B57" s="295"/>
      <c r="C57" s="41">
        <f t="shared" si="9"/>
        <v>0</v>
      </c>
      <c r="D57" s="41" t="str">
        <f>Commodities!AA58</f>
        <v>RSD_APA2_RF</v>
      </c>
      <c r="E57" s="286"/>
      <c r="F57" s="325">
        <f t="shared" si="12"/>
        <v>1.2</v>
      </c>
      <c r="H57" s="295"/>
    </row>
    <row r="58" spans="1:8" ht="14.4" hidden="1">
      <c r="A58" s="295"/>
      <c r="B58" s="295"/>
      <c r="C58" s="41">
        <f t="shared" si="9"/>
        <v>0</v>
      </c>
      <c r="D58" s="41" t="str">
        <f>Commodities!AA59</f>
        <v>RSD_DTA3_RF</v>
      </c>
      <c r="E58" s="286"/>
      <c r="F58" s="325">
        <f t="shared" si="12"/>
        <v>1.1000000000000001</v>
      </c>
      <c r="H58" s="295"/>
    </row>
    <row r="59" spans="1:8" ht="14.4" hidden="1">
      <c r="A59" s="295"/>
      <c r="B59" s="295"/>
      <c r="C59" s="41">
        <f t="shared" si="9"/>
        <v>0</v>
      </c>
      <c r="D59" s="41" t="str">
        <f>Commodities!AA60</f>
        <v>RSD_APA3_RF</v>
      </c>
      <c r="E59" s="286"/>
      <c r="F59" s="325">
        <f t="shared" si="12"/>
        <v>1.1000000000000001</v>
      </c>
      <c r="H59" s="295"/>
    </row>
    <row r="60" spans="1:8" ht="14.4" hidden="1">
      <c r="A60" s="295"/>
      <c r="B60" s="295"/>
      <c r="C60" s="41">
        <f t="shared" si="9"/>
        <v>0</v>
      </c>
      <c r="D60" s="41" t="str">
        <f>Commodities!AA61</f>
        <v>RSD_DTA4_RF</v>
      </c>
      <c r="E60" s="286"/>
      <c r="F60" s="325">
        <f t="shared" si="12"/>
        <v>1.1000000000000001</v>
      </c>
      <c r="H60" s="295"/>
    </row>
    <row r="61" spans="1:8" ht="14.4" hidden="1">
      <c r="A61" s="295"/>
      <c r="B61" s="295"/>
      <c r="C61" s="152">
        <f t="shared" si="9"/>
        <v>0</v>
      </c>
      <c r="D61" s="152" t="str">
        <f>Commodities!AA62</f>
        <v>RSD_APA4_RF</v>
      </c>
      <c r="E61" s="322"/>
      <c r="F61" s="321">
        <f t="shared" si="12"/>
        <v>1.1000000000000001</v>
      </c>
      <c r="H61" s="295"/>
    </row>
    <row r="62" spans="1:8" ht="14.4">
      <c r="A62" s="295"/>
      <c r="B62" s="295"/>
      <c r="C62" s="41" t="str">
        <f t="shared" si="9"/>
        <v>RSD_DW_DTA1</v>
      </c>
      <c r="D62" s="41" t="str">
        <f>Commodities!AA63</f>
        <v>RSD_DTA1_CW</v>
      </c>
      <c r="E62" s="286"/>
      <c r="F62" s="324">
        <f t="shared" ref="F62:F69" si="13">J196</f>
        <v>0.98</v>
      </c>
      <c r="H62" s="295" t="s">
        <v>401</v>
      </c>
    </row>
    <row r="63" spans="1:8" ht="14.4">
      <c r="A63" s="295"/>
      <c r="B63" s="295"/>
      <c r="C63" s="41" t="str">
        <f t="shared" si="9"/>
        <v>RSD_DW_APA1</v>
      </c>
      <c r="D63" s="41" t="str">
        <f>Commodities!AA64</f>
        <v>RSD_APA1_CW</v>
      </c>
      <c r="E63" s="286"/>
      <c r="F63" s="325">
        <f t="shared" si="13"/>
        <v>0.98</v>
      </c>
      <c r="H63" s="295"/>
    </row>
    <row r="64" spans="1:8" ht="14.4" hidden="1">
      <c r="A64" s="295"/>
      <c r="B64" s="295"/>
      <c r="C64" s="41">
        <f t="shared" si="9"/>
        <v>0</v>
      </c>
      <c r="D64" s="41" t="str">
        <f>Commodities!AA65</f>
        <v>RSD_DTA2_CW</v>
      </c>
      <c r="E64" s="286"/>
      <c r="F64" s="325">
        <f t="shared" si="13"/>
        <v>0.96</v>
      </c>
      <c r="H64" s="295"/>
    </row>
    <row r="65" spans="1:8" ht="14.4" hidden="1">
      <c r="A65" s="295"/>
      <c r="B65" s="295"/>
      <c r="C65" s="41">
        <f t="shared" si="9"/>
        <v>0</v>
      </c>
      <c r="D65" s="41" t="str">
        <f>Commodities!AA66</f>
        <v>RSD_APA2_CW</v>
      </c>
      <c r="E65" s="286"/>
      <c r="F65" s="325">
        <f t="shared" si="13"/>
        <v>0.96</v>
      </c>
      <c r="H65" s="295"/>
    </row>
    <row r="66" spans="1:8" ht="14.4" hidden="1">
      <c r="A66" s="295"/>
      <c r="B66" s="295"/>
      <c r="C66" s="41">
        <f t="shared" si="9"/>
        <v>0</v>
      </c>
      <c r="D66" s="41" t="str">
        <f>Commodities!AA67</f>
        <v>RSD_DTA3_CW</v>
      </c>
      <c r="E66" s="286"/>
      <c r="F66" s="325">
        <f t="shared" si="13"/>
        <v>0.92</v>
      </c>
      <c r="H66" s="295"/>
    </row>
    <row r="67" spans="1:8" ht="14.4" hidden="1">
      <c r="A67" s="295"/>
      <c r="B67" s="295"/>
      <c r="C67" s="41">
        <f t="shared" si="9"/>
        <v>0</v>
      </c>
      <c r="D67" s="41" t="str">
        <f>Commodities!AA68</f>
        <v>RSD_APA3_CW</v>
      </c>
      <c r="E67" s="286"/>
      <c r="F67" s="325">
        <f t="shared" si="13"/>
        <v>0.92</v>
      </c>
      <c r="H67" s="295"/>
    </row>
    <row r="68" spans="1:8" ht="14.4" hidden="1">
      <c r="A68" s="295"/>
      <c r="B68" s="295"/>
      <c r="C68" s="41">
        <f t="shared" si="9"/>
        <v>0</v>
      </c>
      <c r="D68" s="41" t="str">
        <f>Commodities!AA69</f>
        <v>RSD_DTA4_CW</v>
      </c>
      <c r="E68" s="286"/>
      <c r="F68" s="325">
        <f t="shared" si="13"/>
        <v>0.95</v>
      </c>
      <c r="H68" s="295"/>
    </row>
    <row r="69" spans="1:8" ht="14.4" hidden="1">
      <c r="A69" s="295"/>
      <c r="B69" s="295"/>
      <c r="C69" s="152">
        <f t="shared" si="9"/>
        <v>0</v>
      </c>
      <c r="D69" s="152" t="str">
        <f>Commodities!AA70</f>
        <v>RSD_APA4_CW</v>
      </c>
      <c r="E69" s="322"/>
      <c r="F69" s="321">
        <f t="shared" si="13"/>
        <v>0.95</v>
      </c>
      <c r="H69" s="295"/>
    </row>
    <row r="70" spans="1:8" ht="14.4">
      <c r="A70" s="295"/>
      <c r="B70" s="295"/>
      <c r="C70" s="41" t="str">
        <f t="shared" si="9"/>
        <v>RSD_DW_DTA1</v>
      </c>
      <c r="D70" s="41" t="str">
        <f>Commodities!AA71</f>
        <v>RSD_DTA1_DW</v>
      </c>
      <c r="E70" s="286"/>
      <c r="F70" s="324">
        <f t="shared" ref="F70:F77" si="14">J206</f>
        <v>0.01</v>
      </c>
      <c r="H70" s="295" t="s">
        <v>344</v>
      </c>
    </row>
    <row r="71" spans="1:8" ht="14.4">
      <c r="A71" s="295"/>
      <c r="B71" s="295"/>
      <c r="C71" s="41" t="str">
        <f t="shared" si="9"/>
        <v>RSD_DW_APA1</v>
      </c>
      <c r="D71" s="41" t="str">
        <f>Commodities!AA72</f>
        <v>RSD_APA1_DW</v>
      </c>
      <c r="E71" s="286"/>
      <c r="F71" s="325">
        <f t="shared" si="14"/>
        <v>0.01</v>
      </c>
      <c r="H71" s="295"/>
    </row>
    <row r="72" spans="1:8" ht="14.4" hidden="1">
      <c r="A72" s="295"/>
      <c r="B72" s="295"/>
      <c r="C72" s="41">
        <f t="shared" si="9"/>
        <v>0</v>
      </c>
      <c r="D72" s="41" t="str">
        <f>Commodities!AA73</f>
        <v>RSD_DTA2_DW</v>
      </c>
      <c r="E72" s="286"/>
      <c r="F72" s="325">
        <f t="shared" si="14"/>
        <v>0.04</v>
      </c>
      <c r="H72" s="295"/>
    </row>
    <row r="73" spans="1:8" ht="14.4" hidden="1">
      <c r="A73" s="295"/>
      <c r="B73" s="295"/>
      <c r="C73" s="41">
        <f t="shared" si="9"/>
        <v>0</v>
      </c>
      <c r="D73" s="41" t="str">
        <f>Commodities!AA74</f>
        <v>RSD_APA2_DW</v>
      </c>
      <c r="E73" s="286"/>
      <c r="F73" s="325">
        <f t="shared" si="14"/>
        <v>0.04</v>
      </c>
      <c r="H73" s="295"/>
    </row>
    <row r="74" spans="1:8" ht="14.4" hidden="1">
      <c r="A74" s="295"/>
      <c r="B74" s="295"/>
      <c r="C74" s="41">
        <f t="shared" si="9"/>
        <v>0</v>
      </c>
      <c r="D74" s="41" t="str">
        <f>Commodities!AA75</f>
        <v>RSD_DTA3_DW</v>
      </c>
      <c r="E74" s="286"/>
      <c r="F74" s="325">
        <f t="shared" si="14"/>
        <v>7.0000000000000007E-2</v>
      </c>
      <c r="H74" s="295"/>
    </row>
    <row r="75" spans="1:8" ht="14.4" hidden="1">
      <c r="A75" s="295"/>
      <c r="B75" s="295"/>
      <c r="C75" s="41">
        <f t="shared" si="9"/>
        <v>0</v>
      </c>
      <c r="D75" s="41" t="str">
        <f>Commodities!AA76</f>
        <v>RSD_APA3_DW</v>
      </c>
      <c r="E75" s="286"/>
      <c r="F75" s="325">
        <f t="shared" si="14"/>
        <v>7.0000000000000007E-2</v>
      </c>
      <c r="H75" s="295"/>
    </row>
    <row r="76" spans="1:8" ht="14.4" hidden="1">
      <c r="A76" s="295"/>
      <c r="B76" s="295"/>
      <c r="C76" s="41">
        <f t="shared" si="9"/>
        <v>0</v>
      </c>
      <c r="D76" s="41" t="str">
        <f>Commodities!AA77</f>
        <v>RSD_DTA4_DW</v>
      </c>
      <c r="E76" s="286"/>
      <c r="F76" s="325">
        <f t="shared" si="14"/>
        <v>0.03</v>
      </c>
      <c r="H76" s="295"/>
    </row>
    <row r="77" spans="1:8" ht="14.4" hidden="1">
      <c r="A77" s="295"/>
      <c r="B77" s="295"/>
      <c r="C77" s="152">
        <f t="shared" si="9"/>
        <v>0</v>
      </c>
      <c r="D77" s="152" t="str">
        <f>Commodities!AA78</f>
        <v>RSD_APA4_DW</v>
      </c>
      <c r="E77" s="322"/>
      <c r="F77" s="321">
        <f t="shared" si="14"/>
        <v>0.03</v>
      </c>
      <c r="H77" s="295"/>
    </row>
    <row r="78" spans="1:8" ht="14.4">
      <c r="A78" s="295"/>
      <c r="B78" s="295"/>
      <c r="C78" s="41" t="str">
        <f t="shared" si="9"/>
        <v>RSD_DW_DTA1</v>
      </c>
      <c r="D78" s="41" t="str">
        <f>Commodities!AA79</f>
        <v>RSD_DTA1_AP</v>
      </c>
      <c r="E78" s="286"/>
      <c r="F78" s="324">
        <f t="shared" ref="F78:F85" si="15">J216</f>
        <v>1</v>
      </c>
      <c r="H78" s="295" t="s">
        <v>345</v>
      </c>
    </row>
    <row r="79" spans="1:8" ht="14.4">
      <c r="A79" s="295"/>
      <c r="B79" s="295"/>
      <c r="C79" s="41" t="str">
        <f t="shared" si="9"/>
        <v>RSD_DW_APA1</v>
      </c>
      <c r="D79" s="41" t="str">
        <f>Commodities!AA80</f>
        <v>RSD_APA1_AP</v>
      </c>
      <c r="E79" s="286"/>
      <c r="F79" s="325">
        <f t="shared" si="15"/>
        <v>1</v>
      </c>
      <c r="H79" s="295"/>
    </row>
    <row r="80" spans="1:8" ht="14.4" hidden="1">
      <c r="A80" s="295"/>
      <c r="B80" s="295"/>
      <c r="C80" s="41">
        <f t="shared" si="9"/>
        <v>0</v>
      </c>
      <c r="D80" s="41" t="str">
        <f>Commodities!AA81</f>
        <v>RSD_DTA2_AP</v>
      </c>
      <c r="E80" s="286"/>
      <c r="F80" s="325">
        <f t="shared" si="15"/>
        <v>1</v>
      </c>
      <c r="H80" s="295"/>
    </row>
    <row r="81" spans="1:11" ht="14.4" hidden="1">
      <c r="A81" s="295"/>
      <c r="B81" s="295"/>
      <c r="C81" s="41">
        <f t="shared" si="9"/>
        <v>0</v>
      </c>
      <c r="D81" s="41" t="str">
        <f>Commodities!AA82</f>
        <v>RSD_APA2_AP</v>
      </c>
      <c r="E81" s="286"/>
      <c r="F81" s="325">
        <f t="shared" si="15"/>
        <v>1</v>
      </c>
      <c r="H81" s="295"/>
    </row>
    <row r="82" spans="1:11" ht="14.4" hidden="1">
      <c r="A82" s="295"/>
      <c r="B82" s="295"/>
      <c r="C82" s="41">
        <f t="shared" si="9"/>
        <v>0</v>
      </c>
      <c r="D82" s="41" t="str">
        <f>Commodities!AA83</f>
        <v>RSD_DTA3_AP</v>
      </c>
      <c r="E82" s="286"/>
      <c r="F82" s="325">
        <f t="shared" si="15"/>
        <v>1</v>
      </c>
      <c r="H82" s="295"/>
    </row>
    <row r="83" spans="1:11" ht="14.4" hidden="1">
      <c r="A83" s="295"/>
      <c r="B83" s="295"/>
      <c r="C83" s="41">
        <f t="shared" si="9"/>
        <v>0</v>
      </c>
      <c r="D83" s="41" t="str">
        <f>Commodities!AA84</f>
        <v>RSD_APA3_AP</v>
      </c>
      <c r="E83" s="286"/>
      <c r="F83" s="325">
        <f t="shared" si="15"/>
        <v>1</v>
      </c>
      <c r="H83" s="295"/>
    </row>
    <row r="84" spans="1:11" ht="14.4" hidden="1">
      <c r="A84" s="295"/>
      <c r="B84" s="295"/>
      <c r="C84" s="41">
        <f t="shared" si="9"/>
        <v>0</v>
      </c>
      <c r="D84" s="41" t="str">
        <f>Commodities!AA85</f>
        <v>RSD_DTA4_AP</v>
      </c>
      <c r="E84" s="286"/>
      <c r="F84" s="325">
        <f t="shared" si="15"/>
        <v>1</v>
      </c>
      <c r="H84" s="295"/>
    </row>
    <row r="85" spans="1:11" ht="14.4" hidden="1">
      <c r="A85" s="295"/>
      <c r="B85" s="295"/>
      <c r="C85" s="152">
        <f t="shared" si="9"/>
        <v>0</v>
      </c>
      <c r="D85" s="152" t="str">
        <f>Commodities!AA86</f>
        <v>RSD_APA4_AP</v>
      </c>
      <c r="E85" s="322"/>
      <c r="F85" s="321">
        <f t="shared" si="15"/>
        <v>1</v>
      </c>
      <c r="H85" s="295"/>
    </row>
    <row r="89" spans="1:11" ht="17.399999999999999">
      <c r="A89" s="36" t="s">
        <v>444</v>
      </c>
      <c r="B89" s="36"/>
      <c r="C89" s="36"/>
      <c r="D89" s="36"/>
      <c r="E89" s="36"/>
      <c r="F89" s="199"/>
      <c r="G89" s="36"/>
      <c r="H89" s="36"/>
      <c r="I89" s="36"/>
      <c r="J89" s="36"/>
      <c r="K89" s="36"/>
    </row>
    <row r="92" spans="1:11">
      <c r="C92" s="51" t="s">
        <v>976</v>
      </c>
    </row>
    <row r="93" spans="1:11" ht="14.4" thickBot="1">
      <c r="B93" s="88"/>
      <c r="C93" s="88" t="s">
        <v>437</v>
      </c>
      <c r="D93" s="88"/>
      <c r="E93" s="88"/>
    </row>
    <row r="94" spans="1:11" ht="13.8">
      <c r="A94" s="51" t="s">
        <v>995</v>
      </c>
      <c r="B94" s="51">
        <v>3</v>
      </c>
      <c r="C94" s="51" t="s">
        <v>865</v>
      </c>
      <c r="D94" s="51" t="s">
        <v>859</v>
      </c>
      <c r="E94" s="145">
        <f>HLOOKUP(D94,RSD_En_Balance!$D$109:$R$190,RSD_Demands!B94,FALSE)/HLOOKUP("Total",RSD_En_Balance!$D$109:$S$190,RSD_Demands!B94,FALSE)</f>
        <v>0</v>
      </c>
      <c r="F94" s="287" t="s">
        <v>438</v>
      </c>
      <c r="G94" s="288">
        <v>1</v>
      </c>
      <c r="H94" s="88" t="s">
        <v>440</v>
      </c>
      <c r="I94" s="88"/>
    </row>
    <row r="95" spans="1:11" ht="14.25" customHeight="1" thickBot="1">
      <c r="A95" s="51" t="s">
        <v>995</v>
      </c>
      <c r="B95" s="51">
        <v>3</v>
      </c>
      <c r="C95" s="51" t="s">
        <v>1007</v>
      </c>
      <c r="D95" s="51" t="s">
        <v>1003</v>
      </c>
      <c r="E95" s="145">
        <f>HLOOKUP(D95,RSD_En_Balance!$D$109:$R$190,RSD_Demands!B95,FALSE)/HLOOKUP("Total",RSD_En_Balance!$D$109:$S$190,RSD_Demands!B95,FALSE)</f>
        <v>0.50422376612953657</v>
      </c>
      <c r="F95" s="289"/>
      <c r="G95" s="290"/>
      <c r="H95" s="51" t="s">
        <v>481</v>
      </c>
      <c r="I95" s="291">
        <v>0.05</v>
      </c>
      <c r="J95" s="292" t="s">
        <v>1010</v>
      </c>
    </row>
    <row r="96" spans="1:11" ht="14.25" customHeight="1">
      <c r="A96" s="51" t="s">
        <v>995</v>
      </c>
      <c r="B96" s="51">
        <v>3</v>
      </c>
      <c r="C96" s="51" t="s">
        <v>585</v>
      </c>
      <c r="D96" s="51" t="s">
        <v>106</v>
      </c>
      <c r="E96" s="145">
        <f>HLOOKUP(D96,RSD_En_Balance!$D$109:$R$190,RSD_Demands!B96,FALSE)/HLOOKUP("Total",RSD_En_Balance!$D$109:$S$190,RSD_Demands!B96,FALSE)</f>
        <v>8.4590130463632979E-2</v>
      </c>
      <c r="G96" s="44"/>
      <c r="H96" s="51" t="s">
        <v>482</v>
      </c>
      <c r="I96" s="291">
        <f>I95</f>
        <v>0.05</v>
      </c>
      <c r="J96" s="292" t="s">
        <v>1010</v>
      </c>
    </row>
    <row r="97" spans="1:11" ht="14.25" customHeight="1">
      <c r="A97" s="51" t="s">
        <v>995</v>
      </c>
      <c r="B97" s="51">
        <v>3</v>
      </c>
      <c r="C97" s="51" t="s">
        <v>586</v>
      </c>
      <c r="D97" s="51" t="s">
        <v>365</v>
      </c>
      <c r="E97" s="145">
        <f>HLOOKUP(D97,RSD_En_Balance!$D$109:$R$190,RSD_Demands!B97,FALSE)/HLOOKUP("Total",RSD_En_Balance!$D$109:$S$190,RSD_Demands!B97,FALSE)</f>
        <v>0</v>
      </c>
      <c r="G97" s="44"/>
      <c r="H97" s="51" t="s">
        <v>483</v>
      </c>
      <c r="I97" s="291">
        <v>0.23</v>
      </c>
      <c r="J97" s="292"/>
    </row>
    <row r="98" spans="1:11" ht="14.25" customHeight="1">
      <c r="A98" s="51" t="s">
        <v>995</v>
      </c>
      <c r="B98" s="51">
        <v>3</v>
      </c>
      <c r="C98" s="51" t="s">
        <v>587</v>
      </c>
      <c r="D98" s="51" t="s">
        <v>108</v>
      </c>
      <c r="E98" s="145">
        <f>HLOOKUP(D98,RSD_En_Balance!$D$109:$R$190,RSD_Demands!B98,FALSE)/HLOOKUP("Total",RSD_En_Balance!$D$109:$S$190,RSD_Demands!B98,FALSE)</f>
        <v>2.7150510483898121E-3</v>
      </c>
      <c r="G98" s="44"/>
      <c r="H98" s="51" t="s">
        <v>484</v>
      </c>
      <c r="I98" s="291">
        <v>0.23</v>
      </c>
      <c r="J98" s="292"/>
    </row>
    <row r="99" spans="1:11" ht="14.25" customHeight="1">
      <c r="A99" s="51" t="s">
        <v>995</v>
      </c>
      <c r="B99" s="51">
        <v>3</v>
      </c>
      <c r="C99" s="51" t="s">
        <v>946</v>
      </c>
      <c r="D99" s="51" t="s">
        <v>102</v>
      </c>
      <c r="E99" s="145">
        <f>HLOOKUP(D99,RSD_En_Balance!$D$109:$R$190,RSD_Demands!B99,FALSE)/HLOOKUP("Total",RSD_En_Balance!$D$109:$S$190,RSD_Demands!B99,FALSE)</f>
        <v>0.40725765725847174</v>
      </c>
      <c r="G99" s="44"/>
      <c r="H99" s="51" t="s">
        <v>485</v>
      </c>
      <c r="I99" s="291">
        <v>0.6</v>
      </c>
      <c r="J99" s="292"/>
    </row>
    <row r="100" spans="1:11" ht="14.25" customHeight="1">
      <c r="A100" s="51" t="s">
        <v>996</v>
      </c>
      <c r="B100" s="51">
        <v>3</v>
      </c>
      <c r="C100" s="51" t="s">
        <v>588</v>
      </c>
      <c r="D100" s="51" t="s">
        <v>130</v>
      </c>
      <c r="E100" s="145">
        <f>HLOOKUP(D100,RSD_En_Balance!$D$109:$R$190,RSD_Demands!B100,FALSE)/HLOOKUP("Total",RSD_En_Balance!$D$109:$S$190,RSD_Demands!B100,FALSE)*40</f>
        <v>4.8535803998758204E-2</v>
      </c>
      <c r="G100" s="44"/>
      <c r="H100" s="51" t="s">
        <v>486</v>
      </c>
      <c r="I100" s="291">
        <v>0.6</v>
      </c>
      <c r="J100" s="292"/>
    </row>
    <row r="101" spans="1:11" ht="14.25" customHeight="1" thickBot="1">
      <c r="A101" s="51" t="s">
        <v>995</v>
      </c>
      <c r="B101" s="326">
        <v>3</v>
      </c>
      <c r="C101" s="326" t="s">
        <v>589</v>
      </c>
      <c r="D101" s="326" t="s">
        <v>104</v>
      </c>
      <c r="E101" s="327">
        <f>HLOOKUP(D101,RSD_En_Balance!$D$109:$R$190,RSD_Demands!B101,FALSE)/HLOOKUP("Total",RSD_En_Balance!$D$109:$S$190,RSD_Demands!B101,FALSE)</f>
        <v>0</v>
      </c>
      <c r="F101" s="145">
        <f>SUM(E94:E101)</f>
        <v>1.0473224088987891</v>
      </c>
      <c r="G101" s="44"/>
      <c r="H101" s="51" t="s">
        <v>487</v>
      </c>
      <c r="I101" s="291">
        <v>0.25</v>
      </c>
      <c r="J101" s="292"/>
    </row>
    <row r="102" spans="1:11" ht="14.25" customHeight="1" thickTop="1">
      <c r="A102" s="51" t="s">
        <v>995</v>
      </c>
      <c r="B102" s="51">
        <v>13</v>
      </c>
      <c r="C102" s="51" t="s">
        <v>866</v>
      </c>
      <c r="D102" s="51" t="s">
        <v>859</v>
      </c>
      <c r="E102" s="145">
        <f>HLOOKUP(D102,RSD_En_Balance!$D$109:$R$190,RSD_Demands!B102,FALSE)/HLOOKUP("Total",RSD_En_Balance!$D$109:$S$190,RSD_Demands!B102,FALSE)</f>
        <v>0</v>
      </c>
      <c r="G102" s="44"/>
      <c r="H102" s="51" t="s">
        <v>488</v>
      </c>
      <c r="I102" s="291">
        <v>0.25</v>
      </c>
      <c r="J102" s="292"/>
    </row>
    <row r="103" spans="1:11" ht="14.25" customHeight="1">
      <c r="A103" s="51" t="s">
        <v>995</v>
      </c>
      <c r="B103" s="51">
        <v>13</v>
      </c>
      <c r="C103" s="51" t="s">
        <v>1008</v>
      </c>
      <c r="D103" s="51" t="s">
        <v>1003</v>
      </c>
      <c r="E103" s="145">
        <f>HLOOKUP(D103,RSD_En_Balance!$D$109:$R$190,RSD_Demands!B103,FALSE)/HLOOKUP("Total",RSD_En_Balance!$D$109:$S$190,RSD_Demands!B103,FALSE)</f>
        <v>0</v>
      </c>
      <c r="G103" s="44"/>
      <c r="H103" s="51"/>
    </row>
    <row r="104" spans="1:11" ht="14.25" customHeight="1">
      <c r="A104" s="51" t="s">
        <v>995</v>
      </c>
      <c r="B104" s="51">
        <v>13</v>
      </c>
      <c r="C104" s="51" t="s">
        <v>590</v>
      </c>
      <c r="D104" s="51" t="s">
        <v>106</v>
      </c>
      <c r="E104" s="145">
        <f>HLOOKUP(D104,RSD_En_Balance!$D$109:$R$190,RSD_Demands!B104,FALSE)/HLOOKUP("Total",RSD_En_Balance!$D$109:$S$190,RSD_Demands!B104,FALSE)</f>
        <v>0.88832709232260632</v>
      </c>
      <c r="G104" s="44"/>
      <c r="H104" s="51"/>
    </row>
    <row r="105" spans="1:11" ht="14.25" customHeight="1">
      <c r="A105" s="51" t="s">
        <v>995</v>
      </c>
      <c r="B105" s="51">
        <v>13</v>
      </c>
      <c r="C105" s="51" t="s">
        <v>591</v>
      </c>
      <c r="D105" s="51" t="s">
        <v>365</v>
      </c>
      <c r="E105" s="145">
        <f>HLOOKUP(D105,RSD_En_Balance!$D$109:$R$190,RSD_Demands!B105,FALSE)/HLOOKUP("Total",RSD_En_Balance!$D$109:$S$190,RSD_Demands!B105,FALSE)</f>
        <v>0.11167290767739357</v>
      </c>
      <c r="G105" s="88"/>
      <c r="H105" s="88" t="s">
        <v>340</v>
      </c>
      <c r="I105" s="88"/>
      <c r="J105" s="88"/>
    </row>
    <row r="106" spans="1:11" ht="14.25" customHeight="1">
      <c r="A106" s="51" t="s">
        <v>995</v>
      </c>
      <c r="B106" s="51">
        <v>13</v>
      </c>
      <c r="C106" s="51" t="s">
        <v>592</v>
      </c>
      <c r="D106" s="51" t="s">
        <v>108</v>
      </c>
      <c r="E106" s="145">
        <f>HLOOKUP(D106,RSD_En_Balance!$D$109:$R$190,RSD_Demands!B106,FALSE)/HLOOKUP("Total",RSD_En_Balance!$D$109:$S$190,RSD_Demands!B106,FALSE)</f>
        <v>0</v>
      </c>
      <c r="G106" s="44">
        <v>6</v>
      </c>
      <c r="H106" s="328" t="s">
        <v>489</v>
      </c>
      <c r="I106" s="51" t="s">
        <v>106</v>
      </c>
      <c r="J106" s="145"/>
    </row>
    <row r="107" spans="1:11" ht="14.25" customHeight="1">
      <c r="A107" s="51" t="s">
        <v>995</v>
      </c>
      <c r="B107" s="51">
        <v>13</v>
      </c>
      <c r="C107" s="51" t="s">
        <v>961</v>
      </c>
      <c r="D107" s="51" t="s">
        <v>102</v>
      </c>
      <c r="E107" s="145">
        <f>HLOOKUP(D107,RSD_En_Balance!$D$109:$R$190,RSD_Demands!B107,FALSE)/HLOOKUP("Total",RSD_En_Balance!$D$109:$S$190,RSD_Demands!B107,FALSE)</f>
        <v>0</v>
      </c>
      <c r="G107" s="44">
        <v>6</v>
      </c>
      <c r="H107" s="328" t="s">
        <v>968</v>
      </c>
      <c r="I107" s="51" t="s">
        <v>859</v>
      </c>
      <c r="J107" s="145"/>
    </row>
    <row r="108" spans="1:11">
      <c r="A108" s="51" t="s">
        <v>996</v>
      </c>
      <c r="B108" s="51">
        <v>13</v>
      </c>
      <c r="C108" s="51" t="s">
        <v>593</v>
      </c>
      <c r="D108" s="51" t="s">
        <v>130</v>
      </c>
      <c r="E108" s="145">
        <f>HLOOKUP(D108,RSD_En_Balance!$D$109:$R$190,RSD_Demands!B108,FALSE)/HLOOKUP("Total",RSD_En_Balance!$D$109:$S$190,RSD_Demands!B108,FALSE)*4</f>
        <v>0</v>
      </c>
      <c r="G108" s="44">
        <f>G106</f>
        <v>6</v>
      </c>
      <c r="H108" s="328" t="s">
        <v>490</v>
      </c>
      <c r="I108" s="51" t="s">
        <v>104</v>
      </c>
      <c r="J108" s="145">
        <v>0.7</v>
      </c>
    </row>
    <row r="109" spans="1:11" ht="13.8" thickBot="1">
      <c r="A109" s="51" t="s">
        <v>995</v>
      </c>
      <c r="B109" s="326">
        <v>13</v>
      </c>
      <c r="C109" s="326" t="s">
        <v>594</v>
      </c>
      <c r="D109" s="326" t="s">
        <v>104</v>
      </c>
      <c r="E109" s="327">
        <f>HLOOKUP(D109,RSD_En_Balance!$D$109:$R$190,RSD_Demands!B109,FALSE)/HLOOKUP("Total",RSD_En_Balance!$D$109:$S$190,RSD_Demands!B109,FALSE)</f>
        <v>0</v>
      </c>
      <c r="F109" s="145">
        <f>SUM(E102:E109)</f>
        <v>0.99999999999999989</v>
      </c>
      <c r="G109" s="44">
        <f t="shared" ref="G109:G110" si="16">G108</f>
        <v>6</v>
      </c>
      <c r="H109" s="328" t="s">
        <v>491</v>
      </c>
      <c r="I109" s="51" t="s">
        <v>108</v>
      </c>
      <c r="J109" s="145"/>
    </row>
    <row r="110" spans="1:11" ht="14.4" thickTop="1" thickBot="1">
      <c r="A110" s="51" t="s">
        <v>995</v>
      </c>
      <c r="B110" s="51">
        <f>B109+10</f>
        <v>23</v>
      </c>
      <c r="C110" s="51" t="s">
        <v>867</v>
      </c>
      <c r="D110" s="51" t="s">
        <v>859</v>
      </c>
      <c r="E110" s="145" t="e">
        <f>HLOOKUP(D110,RSD_En_Balance!$D$109:$R$190,RSD_Demands!B110,FALSE)/HLOOKUP("Total",RSD_En_Balance!$D$109:$S$190,RSD_Demands!B110,FALSE)</f>
        <v>#DIV/0!</v>
      </c>
      <c r="G110" s="329">
        <f t="shared" si="16"/>
        <v>6</v>
      </c>
      <c r="H110" s="330" t="s">
        <v>492</v>
      </c>
      <c r="I110" s="326" t="s">
        <v>130</v>
      </c>
      <c r="J110" s="327">
        <f>1-SUM(J106:J109)</f>
        <v>0.30000000000000004</v>
      </c>
      <c r="K110" s="84">
        <f>SUM(J106:J110)</f>
        <v>1</v>
      </c>
    </row>
    <row r="111" spans="1:11" ht="13.8" thickTop="1">
      <c r="A111" s="51" t="s">
        <v>995</v>
      </c>
      <c r="B111" s="51">
        <f>B110</f>
        <v>23</v>
      </c>
      <c r="C111" s="51" t="s">
        <v>868</v>
      </c>
      <c r="D111" s="51" t="s">
        <v>860</v>
      </c>
      <c r="E111" s="145" t="e">
        <f>HLOOKUP(D111,RSD_En_Balance!$D$109:$R$190,RSD_Demands!B111,FALSE)/HLOOKUP("Total",RSD_En_Balance!$D$109:$S$190,RSD_Demands!B111,FALSE)</f>
        <v>#DIV/0!</v>
      </c>
      <c r="G111" s="44">
        <f>G110+10</f>
        <v>16</v>
      </c>
      <c r="H111" s="328" t="s">
        <v>493</v>
      </c>
      <c r="I111" s="51" t="s">
        <v>106</v>
      </c>
      <c r="J111" s="145">
        <v>0.7</v>
      </c>
    </row>
    <row r="112" spans="1:11">
      <c r="A112" s="51" t="s">
        <v>995</v>
      </c>
      <c r="B112" s="51">
        <f t="shared" ref="B112:B125" si="17">B111</f>
        <v>23</v>
      </c>
      <c r="C112" s="51" t="s">
        <v>595</v>
      </c>
      <c r="D112" s="51" t="s">
        <v>106</v>
      </c>
      <c r="E112" s="145" t="e">
        <f>HLOOKUP(D112,RSD_En_Balance!$D$109:$R$190,RSD_Demands!B112,FALSE)/HLOOKUP("Total",RSD_En_Balance!$D$109:$S$190,RSD_Demands!B112,FALSE)</f>
        <v>#DIV/0!</v>
      </c>
      <c r="G112" s="44">
        <f>G111</f>
        <v>16</v>
      </c>
      <c r="H112" s="328" t="s">
        <v>969</v>
      </c>
      <c r="I112" s="51" t="s">
        <v>859</v>
      </c>
      <c r="J112" s="145"/>
    </row>
    <row r="113" spans="1:11">
      <c r="A113" s="51" t="s">
        <v>995</v>
      </c>
      <c r="B113" s="51">
        <f t="shared" si="17"/>
        <v>23</v>
      </c>
      <c r="C113" s="51" t="s">
        <v>596</v>
      </c>
      <c r="D113" s="51" t="s">
        <v>365</v>
      </c>
      <c r="E113" s="145" t="e">
        <f>HLOOKUP(D113,RSD_En_Balance!$D$109:$R$190,RSD_Demands!B113,FALSE)/HLOOKUP("Total",RSD_En_Balance!$D$109:$S$190,RSD_Demands!B113,FALSE)</f>
        <v>#DIV/0!</v>
      </c>
      <c r="G113" s="44">
        <f>G111</f>
        <v>16</v>
      </c>
      <c r="H113" s="328" t="s">
        <v>494</v>
      </c>
      <c r="I113" s="51" t="s">
        <v>104</v>
      </c>
      <c r="J113" s="145"/>
    </row>
    <row r="114" spans="1:11">
      <c r="A114" s="51" t="s">
        <v>995</v>
      </c>
      <c r="B114" s="51">
        <f t="shared" si="17"/>
        <v>23</v>
      </c>
      <c r="C114" s="51" t="s">
        <v>597</v>
      </c>
      <c r="D114" s="51" t="s">
        <v>108</v>
      </c>
      <c r="E114" s="145" t="e">
        <f>HLOOKUP(D114,RSD_En_Balance!$D$109:$R$190,RSD_Demands!B114,FALSE)/HLOOKUP("Total",RSD_En_Balance!$D$109:$S$190,RSD_Demands!B114,FALSE)</f>
        <v>#DIV/0!</v>
      </c>
      <c r="G114" s="44">
        <f>G113</f>
        <v>16</v>
      </c>
      <c r="H114" s="328" t="s">
        <v>495</v>
      </c>
      <c r="I114" s="51" t="s">
        <v>108</v>
      </c>
      <c r="J114" s="145"/>
    </row>
    <row r="115" spans="1:11" ht="13.8" thickBot="1">
      <c r="A115" s="51" t="s">
        <v>995</v>
      </c>
      <c r="B115" s="51">
        <f t="shared" si="17"/>
        <v>23</v>
      </c>
      <c r="C115" s="51" t="s">
        <v>962</v>
      </c>
      <c r="D115" s="51" t="s">
        <v>102</v>
      </c>
      <c r="E115" s="145" t="e">
        <f>HLOOKUP(D115,RSD_En_Balance!$D$109:$R$190,RSD_Demands!B115,FALSE)/HLOOKUP("Total",RSD_En_Balance!$D$109:$S$190,RSD_Demands!B115,FALSE)</f>
        <v>#DIV/0!</v>
      </c>
      <c r="G115" s="329">
        <f>G114</f>
        <v>16</v>
      </c>
      <c r="H115" s="330" t="s">
        <v>496</v>
      </c>
      <c r="I115" s="326" t="s">
        <v>130</v>
      </c>
      <c r="J115" s="327">
        <f>1-SUM(J111:J114)</f>
        <v>0.30000000000000004</v>
      </c>
      <c r="K115" s="84">
        <f>SUM(J111:J115)</f>
        <v>1</v>
      </c>
    </row>
    <row r="116" spans="1:11" ht="13.8" thickTop="1">
      <c r="A116" s="51" t="s">
        <v>996</v>
      </c>
      <c r="B116" s="51">
        <f t="shared" si="17"/>
        <v>23</v>
      </c>
      <c r="C116" s="51" t="s">
        <v>598</v>
      </c>
      <c r="D116" s="51" t="s">
        <v>130</v>
      </c>
      <c r="E116" s="141" t="e">
        <f>HLOOKUP(D116,RSD_En_Balance!$D$109:$R$190,RSD_Demands!B116,FALSE)/HLOOKUP("Total",RSD_En_Balance!$D$109:$S$190,RSD_Demands!B116,FALSE)</f>
        <v>#DIV/0!</v>
      </c>
      <c r="G116" s="44">
        <f>G115+10</f>
        <v>26</v>
      </c>
      <c r="H116" s="328" t="s">
        <v>497</v>
      </c>
      <c r="I116" s="51" t="s">
        <v>108</v>
      </c>
      <c r="J116" s="145"/>
    </row>
    <row r="117" spans="1:11" ht="13.8" thickBot="1">
      <c r="A117" s="51" t="s">
        <v>995</v>
      </c>
      <c r="B117" s="326">
        <f t="shared" si="17"/>
        <v>23</v>
      </c>
      <c r="C117" s="326" t="s">
        <v>599</v>
      </c>
      <c r="D117" s="326" t="s">
        <v>104</v>
      </c>
      <c r="E117" s="327" t="e">
        <f>HLOOKUP(D117,RSD_En_Balance!$D$109:$R$190,RSD_Demands!B117,FALSE)/HLOOKUP("Total",RSD_En_Balance!$D$109:$S$190,RSD_Demands!B117,FALSE)</f>
        <v>#DIV/0!</v>
      </c>
      <c r="F117" s="145" t="e">
        <f>SUM(E110:E117)</f>
        <v>#DIV/0!</v>
      </c>
      <c r="G117" s="44">
        <f>G116</f>
        <v>26</v>
      </c>
      <c r="H117" s="328" t="s">
        <v>970</v>
      </c>
      <c r="I117" s="51" t="s">
        <v>859</v>
      </c>
      <c r="J117" s="145"/>
    </row>
    <row r="118" spans="1:11" ht="13.8" thickTop="1">
      <c r="A118" s="51" t="s">
        <v>995</v>
      </c>
      <c r="B118" s="51">
        <f>B117+10</f>
        <v>33</v>
      </c>
      <c r="C118" s="51" t="s">
        <v>869</v>
      </c>
      <c r="D118" s="51" t="s">
        <v>859</v>
      </c>
      <c r="E118" s="145" t="e">
        <f>HLOOKUP(D118,RSD_En_Balance!$D$109:$R$190,RSD_Demands!B118,FALSE)/HLOOKUP("Total",RSD_En_Balance!$D$109:$S$190,RSD_Demands!B118,FALSE)</f>
        <v>#DIV/0!</v>
      </c>
      <c r="G118" s="44">
        <f>G116</f>
        <v>26</v>
      </c>
      <c r="H118" s="328" t="s">
        <v>498</v>
      </c>
      <c r="I118" s="51" t="s">
        <v>106</v>
      </c>
      <c r="J118" s="145"/>
    </row>
    <row r="119" spans="1:11">
      <c r="A119" s="51" t="s">
        <v>995</v>
      </c>
      <c r="B119" s="51">
        <f t="shared" si="17"/>
        <v>33</v>
      </c>
      <c r="C119" s="51" t="s">
        <v>870</v>
      </c>
      <c r="D119" s="51" t="s">
        <v>860</v>
      </c>
      <c r="E119" s="145" t="e">
        <f>HLOOKUP(D119,RSD_En_Balance!$D$109:$R$190,RSD_Demands!B119,FALSE)/HLOOKUP("Total",RSD_En_Balance!$D$109:$S$190,RSD_Demands!B119,FALSE)</f>
        <v>#DIV/0!</v>
      </c>
      <c r="G119" s="44">
        <f>G118</f>
        <v>26</v>
      </c>
      <c r="H119" s="328" t="s">
        <v>499</v>
      </c>
      <c r="I119" s="51" t="s">
        <v>104</v>
      </c>
      <c r="J119" s="145">
        <v>0.65</v>
      </c>
    </row>
    <row r="120" spans="1:11" ht="13.8" thickBot="1">
      <c r="A120" s="51" t="s">
        <v>995</v>
      </c>
      <c r="B120" s="51">
        <f t="shared" si="17"/>
        <v>33</v>
      </c>
      <c r="C120" s="51" t="s">
        <v>600</v>
      </c>
      <c r="D120" s="51" t="s">
        <v>106</v>
      </c>
      <c r="E120" s="145" t="e">
        <f>HLOOKUP(D120,RSD_En_Balance!$D$109:$R$190,RSD_Demands!B120,FALSE)/HLOOKUP("Total",RSD_En_Balance!$D$109:$S$190,RSD_Demands!B120,FALSE)</f>
        <v>#DIV/0!</v>
      </c>
      <c r="G120" s="329">
        <f>G119</f>
        <v>26</v>
      </c>
      <c r="H120" s="330" t="s">
        <v>500</v>
      </c>
      <c r="I120" s="326" t="s">
        <v>130</v>
      </c>
      <c r="J120" s="327">
        <f>1-SUM(J116:J119)</f>
        <v>0.35</v>
      </c>
      <c r="K120" s="84">
        <f>SUM(J116:J120)</f>
        <v>1</v>
      </c>
    </row>
    <row r="121" spans="1:11" ht="13.8" thickTop="1">
      <c r="A121" s="51" t="s">
        <v>995</v>
      </c>
      <c r="B121" s="51">
        <f t="shared" si="17"/>
        <v>33</v>
      </c>
      <c r="C121" s="51" t="s">
        <v>601</v>
      </c>
      <c r="D121" s="51" t="s">
        <v>365</v>
      </c>
      <c r="E121" s="145" t="e">
        <f>HLOOKUP(D121,RSD_En_Balance!$D$109:$R$190,RSD_Demands!B121,FALSE)/HLOOKUP("Total",RSD_En_Balance!$D$109:$S$190,RSD_Demands!B121,FALSE)</f>
        <v>#DIV/0!</v>
      </c>
      <c r="G121" s="44">
        <f>G120+10</f>
        <v>36</v>
      </c>
      <c r="H121" s="328" t="s">
        <v>501</v>
      </c>
      <c r="I121" s="51" t="s">
        <v>108</v>
      </c>
      <c r="J121" s="145"/>
    </row>
    <row r="122" spans="1:11">
      <c r="A122" s="51" t="s">
        <v>995</v>
      </c>
      <c r="B122" s="51">
        <f t="shared" si="17"/>
        <v>33</v>
      </c>
      <c r="C122" s="51" t="s">
        <v>602</v>
      </c>
      <c r="D122" s="51" t="s">
        <v>108</v>
      </c>
      <c r="E122" s="145" t="e">
        <f>HLOOKUP(D122,RSD_En_Balance!$D$109:$R$190,RSD_Demands!B122,FALSE)/HLOOKUP("Total",RSD_En_Balance!$D$109:$S$190,RSD_Demands!B122,FALSE)</f>
        <v>#DIV/0!</v>
      </c>
      <c r="G122" s="44">
        <f>G121</f>
        <v>36</v>
      </c>
      <c r="H122" s="328" t="s">
        <v>971</v>
      </c>
      <c r="I122" s="51" t="s">
        <v>859</v>
      </c>
      <c r="J122" s="145"/>
    </row>
    <row r="123" spans="1:11">
      <c r="A123" s="51" t="s">
        <v>995</v>
      </c>
      <c r="B123" s="51">
        <f t="shared" si="17"/>
        <v>33</v>
      </c>
      <c r="C123" s="51" t="s">
        <v>963</v>
      </c>
      <c r="D123" s="51" t="s">
        <v>102</v>
      </c>
      <c r="E123" s="145" t="e">
        <f>HLOOKUP(D123,RSD_En_Balance!$D$109:$R$190,RSD_Demands!B123,FALSE)/HLOOKUP("Total",RSD_En_Balance!$D$109:$S$190,RSD_Demands!B123,FALSE)</f>
        <v>#DIV/0!</v>
      </c>
      <c r="G123" s="44">
        <f>G121</f>
        <v>36</v>
      </c>
      <c r="H123" s="328" t="s">
        <v>502</v>
      </c>
      <c r="I123" s="51" t="s">
        <v>104</v>
      </c>
      <c r="J123" s="145">
        <v>0.6</v>
      </c>
    </row>
    <row r="124" spans="1:11">
      <c r="A124" s="51" t="s">
        <v>996</v>
      </c>
      <c r="B124" s="51">
        <f t="shared" si="17"/>
        <v>33</v>
      </c>
      <c r="C124" s="51" t="s">
        <v>603</v>
      </c>
      <c r="D124" s="51" t="s">
        <v>130</v>
      </c>
      <c r="E124" s="145" t="e">
        <f>HLOOKUP(D124,RSD_En_Balance!$D$109:$R$190,RSD_Demands!B124,FALSE)/HLOOKUP("Total",RSD_En_Balance!$D$109:$S$190,RSD_Demands!B124,FALSE)*5</f>
        <v>#DIV/0!</v>
      </c>
      <c r="G124" s="44">
        <f>G123</f>
        <v>36</v>
      </c>
      <c r="H124" s="328" t="s">
        <v>503</v>
      </c>
      <c r="I124" s="51" t="s">
        <v>106</v>
      </c>
      <c r="J124" s="145"/>
    </row>
    <row r="125" spans="1:11" ht="13.8" thickBot="1">
      <c r="A125" s="51" t="s">
        <v>995</v>
      </c>
      <c r="B125" s="326">
        <f t="shared" si="17"/>
        <v>33</v>
      </c>
      <c r="C125" s="326" t="s">
        <v>604</v>
      </c>
      <c r="D125" s="326" t="s">
        <v>104</v>
      </c>
      <c r="E125" s="327" t="e">
        <f>HLOOKUP(D125,RSD_En_Balance!$D$109:$R$190,RSD_Demands!B125,FALSE)/HLOOKUP("Total",RSD_En_Balance!$D$109:$S$190,RSD_Demands!B125,FALSE)</f>
        <v>#DIV/0!</v>
      </c>
      <c r="F125" s="145" t="e">
        <f>SUM(E118:E125)</f>
        <v>#DIV/0!</v>
      </c>
      <c r="G125" s="329">
        <f>G124</f>
        <v>36</v>
      </c>
      <c r="H125" s="330" t="s">
        <v>504</v>
      </c>
      <c r="I125" s="326" t="s">
        <v>130</v>
      </c>
      <c r="J125" s="327">
        <f>1-SUM(J121:J124)</f>
        <v>0.4</v>
      </c>
      <c r="K125" s="84">
        <f>SUM(J121:J125)</f>
        <v>1</v>
      </c>
    </row>
    <row r="126" spans="1:11" ht="13.8" thickTop="1">
      <c r="A126" s="51" t="s">
        <v>995</v>
      </c>
      <c r="B126" s="51">
        <f>B125+10</f>
        <v>43</v>
      </c>
      <c r="C126" s="51" t="s">
        <v>871</v>
      </c>
      <c r="D126" s="51" t="s">
        <v>859</v>
      </c>
      <c r="E126" s="145" t="e">
        <f>HLOOKUP(D126,RSD_En_Balance!$D$109:$R$190,RSD_Demands!B126,FALSE)/HLOOKUP("Total",RSD_En_Balance!$D$109:$S$190,RSD_Demands!B126,FALSE)</f>
        <v>#DIV/0!</v>
      </c>
      <c r="G126" s="44">
        <f>G125+10</f>
        <v>46</v>
      </c>
      <c r="H126" s="328" t="s">
        <v>505</v>
      </c>
      <c r="I126" s="51" t="s">
        <v>106</v>
      </c>
      <c r="J126" s="145"/>
    </row>
    <row r="127" spans="1:11">
      <c r="A127" s="51" t="s">
        <v>995</v>
      </c>
      <c r="B127" s="51">
        <f>B126</f>
        <v>43</v>
      </c>
      <c r="C127" s="51" t="s">
        <v>872</v>
      </c>
      <c r="D127" s="51" t="s">
        <v>860</v>
      </c>
      <c r="E127" s="145" t="e">
        <f>HLOOKUP(D127,RSD_En_Balance!$D$109:$R$190,RSD_Demands!B127,FALSE)/HLOOKUP("Total",RSD_En_Balance!$D$109:$S$190,RSD_Demands!B127,FALSE)</f>
        <v>#DIV/0!</v>
      </c>
      <c r="G127" s="44">
        <f>G126</f>
        <v>46</v>
      </c>
      <c r="H127" s="328" t="s">
        <v>972</v>
      </c>
      <c r="I127" s="51" t="s">
        <v>859</v>
      </c>
      <c r="J127" s="145"/>
    </row>
    <row r="128" spans="1:11">
      <c r="A128" s="51" t="s">
        <v>995</v>
      </c>
      <c r="B128" s="51">
        <f t="shared" ref="B128:B141" si="18">B127</f>
        <v>43</v>
      </c>
      <c r="C128" s="51" t="s">
        <v>605</v>
      </c>
      <c r="D128" s="51" t="s">
        <v>106</v>
      </c>
      <c r="E128" s="145" t="e">
        <f>HLOOKUP(D128,RSD_En_Balance!$D$109:$R$190,RSD_Demands!B128,FALSE)/HLOOKUP("Total",RSD_En_Balance!$D$109:$S$190,RSD_Demands!B128,FALSE)</f>
        <v>#DIV/0!</v>
      </c>
      <c r="G128" s="44">
        <f>G126</f>
        <v>46</v>
      </c>
      <c r="H128" s="328" t="s">
        <v>506</v>
      </c>
      <c r="I128" s="51" t="s">
        <v>104</v>
      </c>
      <c r="J128" s="145">
        <v>0.7</v>
      </c>
    </row>
    <row r="129" spans="1:11">
      <c r="A129" s="51" t="s">
        <v>995</v>
      </c>
      <c r="B129" s="51">
        <f t="shared" si="18"/>
        <v>43</v>
      </c>
      <c r="C129" s="51" t="s">
        <v>606</v>
      </c>
      <c r="D129" s="51" t="s">
        <v>365</v>
      </c>
      <c r="E129" s="145" t="e">
        <f>HLOOKUP(D129,RSD_En_Balance!$D$109:$R$190,RSD_Demands!B129,FALSE)/HLOOKUP("Total",RSD_En_Balance!$D$109:$S$190,RSD_Demands!B129,FALSE)</f>
        <v>#DIV/0!</v>
      </c>
      <c r="G129" s="44">
        <f>G128</f>
        <v>46</v>
      </c>
      <c r="H129" s="328" t="s">
        <v>507</v>
      </c>
      <c r="I129" s="51" t="s">
        <v>108</v>
      </c>
      <c r="J129" s="145"/>
    </row>
    <row r="130" spans="1:11" ht="13.8" thickBot="1">
      <c r="A130" s="51" t="s">
        <v>995</v>
      </c>
      <c r="B130" s="51">
        <f t="shared" si="18"/>
        <v>43</v>
      </c>
      <c r="C130" s="51" t="s">
        <v>607</v>
      </c>
      <c r="D130" s="51" t="s">
        <v>108</v>
      </c>
      <c r="E130" s="145" t="e">
        <f>HLOOKUP(D130,RSD_En_Balance!$D$109:$R$190,RSD_Demands!B130,FALSE)/HLOOKUP("Total",RSD_En_Balance!$D$109:$S$190,RSD_Demands!B130,FALSE)</f>
        <v>#DIV/0!</v>
      </c>
      <c r="G130" s="329">
        <f>G129</f>
        <v>46</v>
      </c>
      <c r="H130" s="330" t="s">
        <v>508</v>
      </c>
      <c r="I130" s="326" t="s">
        <v>130</v>
      </c>
      <c r="J130" s="327">
        <f>1-SUM(J126:J129)</f>
        <v>0.30000000000000004</v>
      </c>
      <c r="K130" s="84">
        <f>SUM(J126:J130)</f>
        <v>1</v>
      </c>
    </row>
    <row r="131" spans="1:11" ht="13.8" thickTop="1">
      <c r="A131" s="51" t="s">
        <v>995</v>
      </c>
      <c r="B131" s="51">
        <f t="shared" si="18"/>
        <v>43</v>
      </c>
      <c r="C131" s="51" t="s">
        <v>964</v>
      </c>
      <c r="D131" s="51" t="s">
        <v>102</v>
      </c>
      <c r="E131" s="145" t="e">
        <f>HLOOKUP(D131,RSD_En_Balance!$D$109:$R$190,RSD_Demands!B131,FALSE)/HLOOKUP("Total",RSD_En_Balance!$D$109:$S$190,RSD_Demands!B131,FALSE)</f>
        <v>#DIV/0!</v>
      </c>
      <c r="G131" s="44">
        <f>G130+10</f>
        <v>56</v>
      </c>
      <c r="H131" s="328" t="s">
        <v>509</v>
      </c>
      <c r="I131" s="51" t="s">
        <v>106</v>
      </c>
      <c r="J131" s="145"/>
    </row>
    <row r="132" spans="1:11">
      <c r="A132" s="51" t="s">
        <v>996</v>
      </c>
      <c r="B132" s="51">
        <f t="shared" si="18"/>
        <v>43</v>
      </c>
      <c r="C132" s="51" t="s">
        <v>608</v>
      </c>
      <c r="D132" s="51" t="s">
        <v>130</v>
      </c>
      <c r="E132" s="145" t="e">
        <f>HLOOKUP(D132,RSD_En_Balance!$D$109:$R$190,RSD_Demands!B132,FALSE)/HLOOKUP("Total",RSD_En_Balance!$D$109:$S$190,RSD_Demands!B132,FALSE)</f>
        <v>#DIV/0!</v>
      </c>
      <c r="G132" s="44">
        <f>G131</f>
        <v>56</v>
      </c>
      <c r="H132" s="328" t="s">
        <v>973</v>
      </c>
      <c r="I132" s="51" t="s">
        <v>859</v>
      </c>
      <c r="J132" s="145"/>
    </row>
    <row r="133" spans="1:11" ht="13.8" thickBot="1">
      <c r="A133" s="51" t="s">
        <v>995</v>
      </c>
      <c r="B133" s="326">
        <f t="shared" si="18"/>
        <v>43</v>
      </c>
      <c r="C133" s="326" t="s">
        <v>609</v>
      </c>
      <c r="D133" s="326" t="s">
        <v>104</v>
      </c>
      <c r="E133" s="327" t="e">
        <f>HLOOKUP(D133,RSD_En_Balance!$D$109:$R$190,RSD_Demands!B133,FALSE)/HLOOKUP("Total",RSD_En_Balance!$D$109:$S$190,RSD_Demands!B133,FALSE)</f>
        <v>#DIV/0!</v>
      </c>
      <c r="F133" s="145" t="e">
        <f>SUM(E126:E133)</f>
        <v>#DIV/0!</v>
      </c>
      <c r="G133" s="44">
        <f>G131</f>
        <v>56</v>
      </c>
      <c r="H133" s="328" t="s">
        <v>510</v>
      </c>
      <c r="I133" s="51" t="s">
        <v>104</v>
      </c>
      <c r="J133" s="145">
        <v>0.63</v>
      </c>
    </row>
    <row r="134" spans="1:11" ht="13.8" thickTop="1">
      <c r="A134" s="51" t="s">
        <v>995</v>
      </c>
      <c r="B134" s="51">
        <f>B133+10</f>
        <v>53</v>
      </c>
      <c r="C134" s="51" t="s">
        <v>873</v>
      </c>
      <c r="D134" s="51" t="s">
        <v>859</v>
      </c>
      <c r="E134" s="145" t="e">
        <f>HLOOKUP(D134,RSD_En_Balance!$D$109:$R$190,RSD_Demands!B134,FALSE)/HLOOKUP("Total",RSD_En_Balance!$D$109:$S$190,RSD_Demands!B134,FALSE)</f>
        <v>#DIV/0!</v>
      </c>
      <c r="G134" s="44">
        <f>G133</f>
        <v>56</v>
      </c>
      <c r="H134" s="328" t="s">
        <v>511</v>
      </c>
      <c r="I134" s="51" t="s">
        <v>108</v>
      </c>
      <c r="J134" s="145"/>
    </row>
    <row r="135" spans="1:11" ht="13.8" thickBot="1">
      <c r="A135" s="51" t="s">
        <v>995</v>
      </c>
      <c r="B135" s="51">
        <f t="shared" si="18"/>
        <v>53</v>
      </c>
      <c r="C135" s="51" t="s">
        <v>874</v>
      </c>
      <c r="D135" s="51" t="s">
        <v>860</v>
      </c>
      <c r="E135" s="145" t="e">
        <f>HLOOKUP(D135,RSD_En_Balance!$D$109:$R$190,RSD_Demands!B135,FALSE)/HLOOKUP("Total",RSD_En_Balance!$D$109:$S$190,RSD_Demands!B135,FALSE)</f>
        <v>#DIV/0!</v>
      </c>
      <c r="G135" s="329">
        <f>G134</f>
        <v>56</v>
      </c>
      <c r="H135" s="330" t="s">
        <v>512</v>
      </c>
      <c r="I135" s="326" t="s">
        <v>130</v>
      </c>
      <c r="J135" s="327">
        <f>1-SUM(J131:J134)</f>
        <v>0.37</v>
      </c>
      <c r="K135" s="84">
        <f>SUM(J131:J135)</f>
        <v>1</v>
      </c>
    </row>
    <row r="136" spans="1:11" ht="13.8" thickTop="1">
      <c r="A136" s="51" t="s">
        <v>995</v>
      </c>
      <c r="B136" s="51">
        <f t="shared" si="18"/>
        <v>53</v>
      </c>
      <c r="C136" s="51" t="s">
        <v>610</v>
      </c>
      <c r="D136" s="51" t="s">
        <v>106</v>
      </c>
      <c r="E136" s="145" t="e">
        <f>HLOOKUP(D136,RSD_En_Balance!$D$109:$R$190,RSD_Demands!B136,FALSE)/HLOOKUP("Total",RSD_En_Balance!$D$109:$S$190,RSD_Demands!B136,FALSE)</f>
        <v>#DIV/0!</v>
      </c>
      <c r="G136" s="44">
        <f>G135+10</f>
        <v>66</v>
      </c>
      <c r="H136" s="328" t="s">
        <v>513</v>
      </c>
      <c r="I136" s="51" t="s">
        <v>106</v>
      </c>
      <c r="J136" s="145"/>
    </row>
    <row r="137" spans="1:11">
      <c r="A137" s="51" t="s">
        <v>995</v>
      </c>
      <c r="B137" s="51">
        <f t="shared" si="18"/>
        <v>53</v>
      </c>
      <c r="C137" s="51" t="s">
        <v>611</v>
      </c>
      <c r="D137" s="51" t="s">
        <v>365</v>
      </c>
      <c r="E137" s="145" t="e">
        <f>HLOOKUP(D137,RSD_En_Balance!$D$109:$R$190,RSD_Demands!B137,FALSE)/HLOOKUP("Total",RSD_En_Balance!$D$109:$S$190,RSD_Demands!B137,FALSE)</f>
        <v>#DIV/0!</v>
      </c>
      <c r="G137" s="44">
        <f>G136</f>
        <v>66</v>
      </c>
      <c r="H137" s="328" t="s">
        <v>974</v>
      </c>
      <c r="I137" s="51" t="s">
        <v>859</v>
      </c>
      <c r="J137" s="145"/>
    </row>
    <row r="138" spans="1:11">
      <c r="A138" s="51" t="s">
        <v>995</v>
      </c>
      <c r="B138" s="51">
        <f t="shared" si="18"/>
        <v>53</v>
      </c>
      <c r="C138" s="51" t="s">
        <v>612</v>
      </c>
      <c r="D138" s="51" t="s">
        <v>108</v>
      </c>
      <c r="E138" s="145" t="e">
        <f>HLOOKUP(D138,RSD_En_Balance!$D$109:$R$190,RSD_Demands!B138,FALSE)/HLOOKUP("Total",RSD_En_Balance!$D$109:$S$190,RSD_Demands!B138,FALSE)</f>
        <v>#DIV/0!</v>
      </c>
      <c r="G138" s="44">
        <f>G136</f>
        <v>66</v>
      </c>
      <c r="H138" s="328" t="s">
        <v>514</v>
      </c>
      <c r="I138" s="51" t="s">
        <v>104</v>
      </c>
      <c r="J138" s="145">
        <v>0.6</v>
      </c>
    </row>
    <row r="139" spans="1:11">
      <c r="A139" s="51" t="s">
        <v>995</v>
      </c>
      <c r="B139" s="51">
        <f t="shared" si="18"/>
        <v>53</v>
      </c>
      <c r="C139" s="51" t="s">
        <v>965</v>
      </c>
      <c r="D139" s="51" t="s">
        <v>102</v>
      </c>
      <c r="E139" s="145" t="e">
        <f>HLOOKUP(D139,RSD_En_Balance!$D$109:$R$190,RSD_Demands!B139,FALSE)/HLOOKUP("Total",RSD_En_Balance!$D$109:$S$190,RSD_Demands!B139,FALSE)</f>
        <v>#DIV/0!</v>
      </c>
      <c r="G139" s="44">
        <f>G138</f>
        <v>66</v>
      </c>
      <c r="H139" s="328" t="s">
        <v>515</v>
      </c>
      <c r="I139" s="51" t="s">
        <v>108</v>
      </c>
      <c r="J139" s="145"/>
    </row>
    <row r="140" spans="1:11" ht="13.8" thickBot="1">
      <c r="A140" s="51" t="s">
        <v>996</v>
      </c>
      <c r="B140" s="51">
        <f t="shared" si="18"/>
        <v>53</v>
      </c>
      <c r="C140" s="51" t="s">
        <v>613</v>
      </c>
      <c r="D140" s="51" t="s">
        <v>130</v>
      </c>
      <c r="E140" s="145" t="e">
        <f>HLOOKUP(D140,RSD_En_Balance!$D$109:$R$190,RSD_Demands!B140,FALSE)/HLOOKUP("Total",RSD_En_Balance!$D$109:$S$190,RSD_Demands!B140,FALSE)</f>
        <v>#DIV/0!</v>
      </c>
      <c r="G140" s="329">
        <f>G139</f>
        <v>66</v>
      </c>
      <c r="H140" s="330" t="s">
        <v>516</v>
      </c>
      <c r="I140" s="326" t="s">
        <v>130</v>
      </c>
      <c r="J140" s="327">
        <f>1-SUM(J136:J139)</f>
        <v>0.4</v>
      </c>
      <c r="K140" s="84">
        <f>SUM(J136:J140)</f>
        <v>1</v>
      </c>
    </row>
    <row r="141" spans="1:11" ht="14.4" thickTop="1" thickBot="1">
      <c r="A141" s="51" t="s">
        <v>995</v>
      </c>
      <c r="B141" s="326">
        <f t="shared" si="18"/>
        <v>53</v>
      </c>
      <c r="C141" s="326" t="s">
        <v>614</v>
      </c>
      <c r="D141" s="326" t="s">
        <v>104</v>
      </c>
      <c r="E141" s="327" t="e">
        <f>HLOOKUP(D141,RSD_En_Balance!$D$109:$R$190,RSD_Demands!B141,FALSE)/HLOOKUP("Total",RSD_En_Balance!$D$109:$S$190,RSD_Demands!B141,FALSE)</f>
        <v>#DIV/0!</v>
      </c>
      <c r="F141" s="145" t="e">
        <f>SUM(E134:E141)</f>
        <v>#DIV/0!</v>
      </c>
      <c r="G141" s="44">
        <f>G140+10</f>
        <v>76</v>
      </c>
      <c r="H141" s="328" t="s">
        <v>517</v>
      </c>
      <c r="I141" s="51" t="s">
        <v>106</v>
      </c>
      <c r="J141" s="145"/>
    </row>
    <row r="142" spans="1:11" ht="13.8" thickTop="1">
      <c r="A142" s="51" t="s">
        <v>995</v>
      </c>
      <c r="B142" s="51">
        <f>B141+10</f>
        <v>63</v>
      </c>
      <c r="C142" s="51" t="s">
        <v>875</v>
      </c>
      <c r="D142" s="51" t="s">
        <v>859</v>
      </c>
      <c r="E142" s="145" t="e">
        <f>HLOOKUP(D142,RSD_En_Balance!$D$109:$R$190,RSD_Demands!B142,FALSE)/HLOOKUP("Total",RSD_En_Balance!$D$109:$S$190,RSD_Demands!B142,FALSE)</f>
        <v>#DIV/0!</v>
      </c>
      <c r="G142" s="44">
        <f>G141</f>
        <v>76</v>
      </c>
      <c r="H142" s="328" t="s">
        <v>975</v>
      </c>
      <c r="I142" s="51" t="s">
        <v>859</v>
      </c>
      <c r="J142" s="145"/>
    </row>
    <row r="143" spans="1:11">
      <c r="A143" s="51" t="s">
        <v>995</v>
      </c>
      <c r="B143" s="51">
        <f>B142</f>
        <v>63</v>
      </c>
      <c r="C143" s="51" t="s">
        <v>876</v>
      </c>
      <c r="D143" s="51" t="s">
        <v>860</v>
      </c>
      <c r="E143" s="145" t="e">
        <f>HLOOKUP(D143,RSD_En_Balance!$D$109:$R$190,RSD_Demands!B143,FALSE)/HLOOKUP("Total",RSD_En_Balance!$D$109:$S$190,RSD_Demands!B143,FALSE)</f>
        <v>#DIV/0!</v>
      </c>
      <c r="G143" s="44">
        <f>G141</f>
        <v>76</v>
      </c>
      <c r="H143" s="328" t="s">
        <v>518</v>
      </c>
      <c r="I143" s="51" t="s">
        <v>104</v>
      </c>
      <c r="J143" s="145">
        <v>0.65</v>
      </c>
    </row>
    <row r="144" spans="1:11">
      <c r="A144" s="51" t="s">
        <v>995</v>
      </c>
      <c r="B144" s="51">
        <f t="shared" ref="B144:B157" si="19">B143</f>
        <v>63</v>
      </c>
      <c r="C144" s="51" t="s">
        <v>615</v>
      </c>
      <c r="D144" s="51" t="s">
        <v>106</v>
      </c>
      <c r="E144" s="145" t="e">
        <f>HLOOKUP(D144,RSD_En_Balance!$D$109:$R$190,RSD_Demands!B144,FALSE)/HLOOKUP("Total",RSD_En_Balance!$D$109:$S$190,RSD_Demands!B144,FALSE)</f>
        <v>#DIV/0!</v>
      </c>
      <c r="G144" s="44">
        <f>G143</f>
        <v>76</v>
      </c>
      <c r="H144" s="328" t="s">
        <v>519</v>
      </c>
      <c r="I144" s="51" t="s">
        <v>108</v>
      </c>
      <c r="J144" s="145"/>
    </row>
    <row r="145" spans="1:11" ht="13.8" thickBot="1">
      <c r="A145" s="51" t="s">
        <v>995</v>
      </c>
      <c r="B145" s="51">
        <f t="shared" si="19"/>
        <v>63</v>
      </c>
      <c r="C145" s="51" t="s">
        <v>616</v>
      </c>
      <c r="D145" s="51" t="s">
        <v>365</v>
      </c>
      <c r="E145" s="145" t="e">
        <f>HLOOKUP(D145,RSD_En_Balance!$D$109:$R$190,RSD_Demands!B145,FALSE)/HLOOKUP("Total",RSD_En_Balance!$D$109:$S$190,RSD_Demands!B145,FALSE)</f>
        <v>#DIV/0!</v>
      </c>
      <c r="G145" s="329">
        <f>G144</f>
        <v>76</v>
      </c>
      <c r="H145" s="330" t="s">
        <v>520</v>
      </c>
      <c r="I145" s="326" t="s">
        <v>130</v>
      </c>
      <c r="J145" s="327">
        <f>1-SUM(J141:J144)</f>
        <v>0.35</v>
      </c>
      <c r="K145" s="84">
        <f>SUM(J141:J145)</f>
        <v>1</v>
      </c>
    </row>
    <row r="146" spans="1:11" ht="13.8" thickTop="1">
      <c r="A146" s="51" t="s">
        <v>995</v>
      </c>
      <c r="B146" s="51">
        <f t="shared" si="19"/>
        <v>63</v>
      </c>
      <c r="C146" s="51" t="s">
        <v>617</v>
      </c>
      <c r="D146" s="51" t="s">
        <v>108</v>
      </c>
      <c r="E146" s="145" t="e">
        <f>HLOOKUP(D146,RSD_En_Balance!$D$109:$R$190,RSD_Demands!B146,FALSE)/HLOOKUP("Total",RSD_En_Balance!$D$109:$S$190,RSD_Demands!B146,FALSE)</f>
        <v>#DIV/0!</v>
      </c>
    </row>
    <row r="147" spans="1:11">
      <c r="A147" s="51" t="s">
        <v>995</v>
      </c>
      <c r="B147" s="51">
        <f t="shared" si="19"/>
        <v>63</v>
      </c>
      <c r="C147" s="51" t="s">
        <v>966</v>
      </c>
      <c r="D147" s="51" t="s">
        <v>102</v>
      </c>
      <c r="E147" s="145" t="e">
        <f>HLOOKUP(D147,RSD_En_Balance!$D$109:$R$190,RSD_Demands!B147,FALSE)/HLOOKUP("Total",RSD_En_Balance!$D$109:$S$190,RSD_Demands!B147,FALSE)</f>
        <v>#DIV/0!</v>
      </c>
    </row>
    <row r="148" spans="1:11">
      <c r="A148" s="51" t="s">
        <v>996</v>
      </c>
      <c r="B148" s="51">
        <f t="shared" si="19"/>
        <v>63</v>
      </c>
      <c r="C148" s="51" t="s">
        <v>618</v>
      </c>
      <c r="D148" s="51" t="s">
        <v>130</v>
      </c>
      <c r="E148" s="145" t="e">
        <f>HLOOKUP(D148,RSD_En_Balance!$D$109:$R$190,RSD_Demands!B148,FALSE)/HLOOKUP("Total",RSD_En_Balance!$D$109:$S$190,RSD_Demands!B148,FALSE)</f>
        <v>#DIV/0!</v>
      </c>
    </row>
    <row r="149" spans="1:11" ht="14.4" thickBot="1">
      <c r="A149" s="51" t="s">
        <v>995</v>
      </c>
      <c r="B149" s="326">
        <f t="shared" si="19"/>
        <v>63</v>
      </c>
      <c r="C149" s="326" t="s">
        <v>619</v>
      </c>
      <c r="D149" s="326" t="s">
        <v>104</v>
      </c>
      <c r="E149" s="327" t="e">
        <f>HLOOKUP(D149,RSD_En_Balance!$D$109:$R$190,RSD_Demands!B149,FALSE)/HLOOKUP("Total",RSD_En_Balance!$D$109:$S$190,RSD_Demands!B149,FALSE)</f>
        <v>#DIV/0!</v>
      </c>
      <c r="F149" s="145" t="e">
        <f>SUM(E142:E149)</f>
        <v>#DIV/0!</v>
      </c>
      <c r="H149" s="88" t="s">
        <v>341</v>
      </c>
      <c r="I149" s="88"/>
      <c r="J149" s="88"/>
    </row>
    <row r="150" spans="1:11" ht="13.8" thickTop="1">
      <c r="A150" s="51" t="s">
        <v>995</v>
      </c>
      <c r="B150" s="51">
        <f>B149+10</f>
        <v>73</v>
      </c>
      <c r="C150" s="51" t="s">
        <v>877</v>
      </c>
      <c r="D150" s="51" t="s">
        <v>859</v>
      </c>
      <c r="E150" s="145" t="e">
        <f>HLOOKUP(D150,RSD_En_Balance!$D$109:$R$190,RSD_Demands!B150,FALSE)/HLOOKUP("Total",RSD_En_Balance!$D$109:$S$190,RSD_Demands!B150,FALSE)</f>
        <v>#VALUE!</v>
      </c>
      <c r="H150" s="51" t="s">
        <v>521</v>
      </c>
      <c r="I150" s="51" t="s">
        <v>665</v>
      </c>
      <c r="J150" s="331">
        <v>0.5</v>
      </c>
    </row>
    <row r="151" spans="1:11">
      <c r="A151" s="51" t="s">
        <v>995</v>
      </c>
      <c r="B151" s="51">
        <f t="shared" si="19"/>
        <v>73</v>
      </c>
      <c r="C151" s="51" t="s">
        <v>878</v>
      </c>
      <c r="D151" s="51" t="s">
        <v>860</v>
      </c>
      <c r="E151" s="145" t="e">
        <f>HLOOKUP(D151,RSD_En_Balance!$D$109:$R$190,RSD_Demands!B151,FALSE)/HLOOKUP("Total",RSD_En_Balance!$D$109:$S$190,RSD_Demands!B151,FALSE)</f>
        <v>#VALUE!</v>
      </c>
      <c r="H151" s="51" t="s">
        <v>522</v>
      </c>
      <c r="I151" s="51" t="s">
        <v>666</v>
      </c>
      <c r="J151" s="331">
        <v>0.2</v>
      </c>
    </row>
    <row r="152" spans="1:11">
      <c r="A152" s="51" t="s">
        <v>995</v>
      </c>
      <c r="B152" s="51">
        <f t="shared" si="19"/>
        <v>73</v>
      </c>
      <c r="C152" s="51" t="s">
        <v>620</v>
      </c>
      <c r="D152" s="51" t="s">
        <v>106</v>
      </c>
      <c r="E152" s="145" t="e">
        <f>HLOOKUP(D152,RSD_En_Balance!$D$109:$R$190,RSD_Demands!B152,FALSE)/HLOOKUP("Total",RSD_En_Balance!$D$109:$S$190,RSD_Demands!B152,FALSE)</f>
        <v>#VALUE!</v>
      </c>
      <c r="H152" s="51" t="s">
        <v>523</v>
      </c>
      <c r="I152" s="51" t="s">
        <v>667</v>
      </c>
      <c r="J152" s="331">
        <f>AA158</f>
        <v>0</v>
      </c>
    </row>
    <row r="153" spans="1:11">
      <c r="A153" s="51" t="s">
        <v>995</v>
      </c>
      <c r="B153" s="51">
        <f t="shared" si="19"/>
        <v>73</v>
      </c>
      <c r="C153" s="51" t="s">
        <v>621</v>
      </c>
      <c r="D153" s="51" t="s">
        <v>365</v>
      </c>
      <c r="E153" s="145" t="e">
        <f>HLOOKUP(D153,RSD_En_Balance!$D$109:$R$190,RSD_Demands!B153,FALSE)/HLOOKUP("Total",RSD_En_Balance!$D$109:$S$190,RSD_Demands!B153,FALSE)</f>
        <v>#VALUE!</v>
      </c>
      <c r="H153" s="152" t="s">
        <v>524</v>
      </c>
      <c r="I153" s="152" t="s">
        <v>668</v>
      </c>
      <c r="J153" s="332">
        <v>0.3</v>
      </c>
    </row>
    <row r="154" spans="1:11">
      <c r="A154" s="51" t="s">
        <v>995</v>
      </c>
      <c r="B154" s="51">
        <f t="shared" si="19"/>
        <v>73</v>
      </c>
      <c r="C154" s="51" t="s">
        <v>622</v>
      </c>
      <c r="D154" s="51" t="s">
        <v>108</v>
      </c>
      <c r="E154" s="145" t="e">
        <f>HLOOKUP(D154,RSD_En_Balance!$D$109:$R$190,RSD_Demands!B154,FALSE)/HLOOKUP("Total",RSD_En_Balance!$D$109:$S$190,RSD_Demands!B154,FALSE)</f>
        <v>#VALUE!</v>
      </c>
      <c r="H154" s="41" t="s">
        <v>525</v>
      </c>
      <c r="I154" s="41" t="s">
        <v>893</v>
      </c>
      <c r="J154" s="331">
        <f>J150</f>
        <v>0.5</v>
      </c>
    </row>
    <row r="155" spans="1:11">
      <c r="A155" s="51" t="s">
        <v>995</v>
      </c>
      <c r="B155" s="51">
        <f t="shared" si="19"/>
        <v>73</v>
      </c>
      <c r="C155" s="51" t="s">
        <v>967</v>
      </c>
      <c r="D155" s="51" t="s">
        <v>102</v>
      </c>
      <c r="E155" s="145" t="e">
        <f>HLOOKUP(D155,RSD_En_Balance!$D$109:$R$190,RSD_Demands!B155,FALSE)/HLOOKUP("Total",RSD_En_Balance!$D$109:$S$190,RSD_Demands!B155,FALSE)</f>
        <v>#VALUE!</v>
      </c>
      <c r="H155" s="41" t="s">
        <v>526</v>
      </c>
      <c r="I155" s="41" t="s">
        <v>894</v>
      </c>
      <c r="J155" s="331">
        <f t="shared" ref="J155:J157" si="20">J151</f>
        <v>0.2</v>
      </c>
    </row>
    <row r="156" spans="1:11">
      <c r="A156" s="51" t="s">
        <v>996</v>
      </c>
      <c r="B156" s="51">
        <f t="shared" si="19"/>
        <v>73</v>
      </c>
      <c r="C156" s="51" t="s">
        <v>623</v>
      </c>
      <c r="D156" s="51" t="s">
        <v>130</v>
      </c>
      <c r="E156" s="145" t="e">
        <f>HLOOKUP(D156,RSD_En_Balance!$D$109:$R$190,RSD_Demands!B156,FALSE)/HLOOKUP("Total",RSD_En_Balance!$D$109:$S$190,RSD_Demands!B156,FALSE)</f>
        <v>#VALUE!</v>
      </c>
      <c r="H156" s="41" t="s">
        <v>527</v>
      </c>
      <c r="I156" s="41" t="s">
        <v>895</v>
      </c>
      <c r="J156" s="331">
        <f t="shared" si="20"/>
        <v>0</v>
      </c>
    </row>
    <row r="157" spans="1:11" ht="13.8" thickBot="1">
      <c r="A157" s="51" t="s">
        <v>995</v>
      </c>
      <c r="B157" s="326">
        <f t="shared" si="19"/>
        <v>73</v>
      </c>
      <c r="C157" s="326" t="s">
        <v>624</v>
      </c>
      <c r="D157" s="326" t="s">
        <v>104</v>
      </c>
      <c r="E157" s="327" t="e">
        <f>HLOOKUP(D157,RSD_En_Balance!$D$109:$R$190,RSD_Demands!B157,FALSE)/HLOOKUP("Total",RSD_En_Balance!$D$109:$S$190,RSD_Demands!B157,FALSE)</f>
        <v>#VALUE!</v>
      </c>
      <c r="F157" s="145" t="e">
        <f>SUM(E150:E157)</f>
        <v>#VALUE!</v>
      </c>
      <c r="H157" s="152" t="s">
        <v>528</v>
      </c>
      <c r="I157" s="152" t="s">
        <v>896</v>
      </c>
      <c r="J157" s="332">
        <f t="shared" si="20"/>
        <v>0.3</v>
      </c>
    </row>
    <row r="158" spans="1:11" ht="13.8" thickTop="1">
      <c r="H158" s="41" t="s">
        <v>529</v>
      </c>
      <c r="I158" s="41" t="s">
        <v>669</v>
      </c>
      <c r="J158" s="331">
        <v>0.5</v>
      </c>
    </row>
    <row r="159" spans="1:11">
      <c r="H159" s="41" t="s">
        <v>530</v>
      </c>
      <c r="I159" s="41" t="s">
        <v>670</v>
      </c>
      <c r="J159" s="331">
        <v>0.2</v>
      </c>
    </row>
    <row r="160" spans="1:11" ht="13.8">
      <c r="B160" s="88"/>
      <c r="C160" s="88" t="s">
        <v>339</v>
      </c>
      <c r="D160" s="88"/>
      <c r="E160" s="88"/>
      <c r="H160" s="41" t="s">
        <v>531</v>
      </c>
      <c r="I160" s="41" t="s">
        <v>671</v>
      </c>
      <c r="J160" s="331">
        <f>AA166</f>
        <v>0</v>
      </c>
    </row>
    <row r="161" spans="1:10">
      <c r="A161" s="51" t="s">
        <v>989</v>
      </c>
      <c r="B161" s="51">
        <v>5</v>
      </c>
      <c r="C161" s="51" t="s">
        <v>879</v>
      </c>
      <c r="D161" s="51" t="s">
        <v>859</v>
      </c>
      <c r="E161" s="145">
        <f>HLOOKUP(D161,RSD_En_Balance!$D$109:$R$190,RSD_Demands!B161,FALSE)/HLOOKUP("Total",RSD_En_Balance!$D$109:$S$190,RSD_Demands!B161,FALSE)</f>
        <v>0</v>
      </c>
      <c r="H161" s="152" t="s">
        <v>532</v>
      </c>
      <c r="I161" s="152" t="s">
        <v>672</v>
      </c>
      <c r="J161" s="332">
        <v>0.3</v>
      </c>
    </row>
    <row r="162" spans="1:10">
      <c r="A162" s="51" t="s">
        <v>989</v>
      </c>
      <c r="B162" s="51">
        <f>B161</f>
        <v>5</v>
      </c>
      <c r="C162" s="51" t="s">
        <v>655</v>
      </c>
      <c r="D162" s="51" t="s">
        <v>106</v>
      </c>
      <c r="E162" s="145">
        <f>HLOOKUP(D162,RSD_En_Balance!$D$109:$R$190,RSD_Demands!B162,FALSE)/HLOOKUP("Total",RSD_En_Balance!$D$109:$S$190,RSD_Demands!B162,FALSE)</f>
        <v>9.2821221727006228E-2</v>
      </c>
      <c r="H162" s="41" t="s">
        <v>533</v>
      </c>
      <c r="I162" s="41" t="s">
        <v>897</v>
      </c>
      <c r="J162" s="331">
        <f>J158</f>
        <v>0.5</v>
      </c>
    </row>
    <row r="163" spans="1:10">
      <c r="A163" s="51" t="s">
        <v>989</v>
      </c>
      <c r="B163" s="51">
        <f t="shared" ref="B163:B166" si="21">B162</f>
        <v>5</v>
      </c>
      <c r="C163" s="51" t="s">
        <v>656</v>
      </c>
      <c r="D163" s="51" t="s">
        <v>365</v>
      </c>
      <c r="E163" s="145">
        <f>HLOOKUP(D163,RSD_En_Balance!$D$109:$R$190,RSD_Demands!B163,FALSE)/HLOOKUP("Total",RSD_En_Balance!$D$109:$S$190,RSD_Demands!B163,FALSE)</f>
        <v>0</v>
      </c>
      <c r="H163" s="41" t="s">
        <v>534</v>
      </c>
      <c r="I163" s="41" t="s">
        <v>898</v>
      </c>
      <c r="J163" s="331">
        <f t="shared" ref="J163:J165" si="22">J159</f>
        <v>0.2</v>
      </c>
    </row>
    <row r="164" spans="1:10">
      <c r="A164" s="51" t="s">
        <v>989</v>
      </c>
      <c r="B164" s="51">
        <f t="shared" si="21"/>
        <v>5</v>
      </c>
      <c r="C164" s="51" t="s">
        <v>657</v>
      </c>
      <c r="D164" s="51" t="s">
        <v>104</v>
      </c>
      <c r="E164" s="145">
        <f>HLOOKUP(D164,RSD_En_Balance!$D$109:$R$190,RSD_Demands!B164,FALSE)/HLOOKUP("Total",RSD_En_Balance!$D$109:$S$190,RSD_Demands!B164,FALSE)</f>
        <v>0.90717877827299376</v>
      </c>
      <c r="H164" s="41" t="s">
        <v>535</v>
      </c>
      <c r="I164" s="41" t="s">
        <v>899</v>
      </c>
      <c r="J164" s="331">
        <f t="shared" si="22"/>
        <v>0</v>
      </c>
    </row>
    <row r="165" spans="1:10">
      <c r="A165" s="51" t="s">
        <v>989</v>
      </c>
      <c r="B165" s="51">
        <f t="shared" si="21"/>
        <v>5</v>
      </c>
      <c r="C165" s="51" t="s">
        <v>658</v>
      </c>
      <c r="D165" s="51" t="s">
        <v>108</v>
      </c>
      <c r="E165" s="145">
        <f>HLOOKUP(D165,RSD_En_Balance!$D$109:$R$190,RSD_Demands!B165,FALSE)/HLOOKUP("Total",RSD_En_Balance!$D$109:$S$190,RSD_Demands!B165,FALSE)</f>
        <v>0</v>
      </c>
      <c r="H165" s="152" t="s">
        <v>536</v>
      </c>
      <c r="I165" s="152" t="s">
        <v>900</v>
      </c>
      <c r="J165" s="332">
        <f t="shared" si="22"/>
        <v>0.3</v>
      </c>
    </row>
    <row r="166" spans="1:10" ht="13.8" thickBot="1">
      <c r="A166" s="51" t="s">
        <v>989</v>
      </c>
      <c r="B166" s="326">
        <f t="shared" si="21"/>
        <v>5</v>
      </c>
      <c r="C166" s="326" t="s">
        <v>659</v>
      </c>
      <c r="D166" s="326" t="s">
        <v>130</v>
      </c>
      <c r="E166" s="327">
        <f>1-SUM(E161:E165)</f>
        <v>0</v>
      </c>
      <c r="F166" s="145">
        <f>SUM(E161:E166)</f>
        <v>1</v>
      </c>
      <c r="H166" s="41" t="s">
        <v>537</v>
      </c>
      <c r="I166" s="41" t="s">
        <v>673</v>
      </c>
      <c r="J166" s="331">
        <v>0.5</v>
      </c>
    </row>
    <row r="167" spans="1:10" ht="13.8" thickTop="1">
      <c r="A167" s="51" t="s">
        <v>989</v>
      </c>
      <c r="B167" s="51">
        <f>B166+10</f>
        <v>15</v>
      </c>
      <c r="C167" s="51" t="s">
        <v>880</v>
      </c>
      <c r="D167" s="51" t="s">
        <v>859</v>
      </c>
      <c r="E167" s="145">
        <f>HLOOKUP(D167,RSD_En_Balance!$D$109:$R$190,RSD_Demands!B167,FALSE)/HLOOKUP("Total",RSD_En_Balance!$D$109:$S$190,RSD_Demands!B167,FALSE)</f>
        <v>0</v>
      </c>
      <c r="H167" s="41" t="s">
        <v>538</v>
      </c>
      <c r="I167" s="41" t="s">
        <v>674</v>
      </c>
      <c r="J167" s="331">
        <v>0.2</v>
      </c>
    </row>
    <row r="168" spans="1:10">
      <c r="A168" s="51" t="s">
        <v>989</v>
      </c>
      <c r="B168" s="51">
        <f>B167</f>
        <v>15</v>
      </c>
      <c r="C168" s="51" t="s">
        <v>660</v>
      </c>
      <c r="D168" s="51" t="s">
        <v>106</v>
      </c>
      <c r="E168" s="145">
        <f>HLOOKUP(D168,RSD_En_Balance!$D$109:$R$190,RSD_Demands!B168,FALSE)/HLOOKUP("Total",RSD_En_Balance!$D$109:$S$190,RSD_Demands!B168,FALSE)</f>
        <v>0.95732390134651635</v>
      </c>
      <c r="H168" s="41" t="s">
        <v>539</v>
      </c>
      <c r="I168" s="41" t="s">
        <v>675</v>
      </c>
      <c r="J168" s="331">
        <f>AA174</f>
        <v>0</v>
      </c>
    </row>
    <row r="169" spans="1:10">
      <c r="A169" s="51" t="s">
        <v>989</v>
      </c>
      <c r="B169" s="51">
        <f>B168</f>
        <v>15</v>
      </c>
      <c r="C169" s="51" t="s">
        <v>661</v>
      </c>
      <c r="D169" s="51" t="s">
        <v>365</v>
      </c>
      <c r="E169" s="145">
        <f>HLOOKUP(D169,RSD_En_Balance!$D$109:$R$190,RSD_Demands!B169,FALSE)/HLOOKUP("Total",RSD_En_Balance!$D$109:$S$190,RSD_Demands!B169,FALSE)</f>
        <v>4.2676098653483735E-2</v>
      </c>
      <c r="H169" s="152" t="s">
        <v>540</v>
      </c>
      <c r="I169" s="152" t="s">
        <v>676</v>
      </c>
      <c r="J169" s="332">
        <v>0.3</v>
      </c>
    </row>
    <row r="170" spans="1:10">
      <c r="A170" s="51" t="s">
        <v>989</v>
      </c>
      <c r="B170" s="51">
        <f>B169</f>
        <v>15</v>
      </c>
      <c r="C170" s="51" t="s">
        <v>662</v>
      </c>
      <c r="D170" s="51" t="s">
        <v>104</v>
      </c>
      <c r="E170" s="145">
        <f>HLOOKUP(D170,RSD_En_Balance!$D$109:$R$190,RSD_Demands!B170,FALSE)/HLOOKUP("Total",RSD_En_Balance!$D$109:$S$190,RSD_Demands!B170,FALSE)</f>
        <v>0</v>
      </c>
      <c r="H170" s="41" t="s">
        <v>541</v>
      </c>
      <c r="I170" s="41" t="s">
        <v>901</v>
      </c>
      <c r="J170" s="331">
        <f>J166</f>
        <v>0.5</v>
      </c>
    </row>
    <row r="171" spans="1:10">
      <c r="A171" s="51" t="s">
        <v>989</v>
      </c>
      <c r="B171" s="51">
        <f t="shared" ref="B171:B176" si="23">B170</f>
        <v>15</v>
      </c>
      <c r="C171" s="51" t="s">
        <v>663</v>
      </c>
      <c r="D171" s="51" t="s">
        <v>108</v>
      </c>
      <c r="E171" s="145">
        <f>HLOOKUP(D171,RSD_En_Balance!$D$109:$R$190,RSD_Demands!B171,FALSE)/HLOOKUP("Total",RSD_En_Balance!$D$109:$S$190,RSD_Demands!B171,FALSE)</f>
        <v>0</v>
      </c>
      <c r="H171" s="41" t="s">
        <v>542</v>
      </c>
      <c r="I171" s="41" t="s">
        <v>902</v>
      </c>
      <c r="J171" s="331">
        <f t="shared" ref="J171:J173" si="24">J167</f>
        <v>0.2</v>
      </c>
    </row>
    <row r="172" spans="1:10" ht="13.8" thickBot="1">
      <c r="A172" s="51" t="s">
        <v>989</v>
      </c>
      <c r="B172" s="326">
        <f t="shared" si="23"/>
        <v>15</v>
      </c>
      <c r="C172" s="326" t="s">
        <v>664</v>
      </c>
      <c r="D172" s="326" t="s">
        <v>130</v>
      </c>
      <c r="E172" s="327">
        <f>HLOOKUP(D172,RSD_En_Balance!$D$109:$R$190,RSD_Demands!B172,FALSE)/HLOOKUP("Total",RSD_En_Balance!$D$109:$S$190,RSD_Demands!B172,FALSE)</f>
        <v>0</v>
      </c>
      <c r="F172" s="145">
        <f>SUM(E167:E172)</f>
        <v>1</v>
      </c>
      <c r="H172" s="41" t="s">
        <v>543</v>
      </c>
      <c r="I172" s="41" t="s">
        <v>903</v>
      </c>
      <c r="J172" s="331">
        <f t="shared" si="24"/>
        <v>0</v>
      </c>
    </row>
    <row r="173" spans="1:10" ht="13.8" thickTop="1">
      <c r="A173" s="51" t="s">
        <v>989</v>
      </c>
      <c r="B173" s="51">
        <f>B172+10</f>
        <v>25</v>
      </c>
      <c r="C173" s="51" t="s">
        <v>881</v>
      </c>
      <c r="D173" s="51" t="s">
        <v>859</v>
      </c>
      <c r="E173" s="145" t="e">
        <f>HLOOKUP(D173,RSD_En_Balance!$D$109:$R$190,RSD_Demands!B173,FALSE)/HLOOKUP("Total",RSD_En_Balance!$D$109:$S$190,RSD_Demands!B173,FALSE)</f>
        <v>#DIV/0!</v>
      </c>
      <c r="H173" s="152" t="s">
        <v>544</v>
      </c>
      <c r="I173" s="152" t="s">
        <v>904</v>
      </c>
      <c r="J173" s="332">
        <f t="shared" si="24"/>
        <v>0.3</v>
      </c>
    </row>
    <row r="174" spans="1:10">
      <c r="A174" s="51" t="s">
        <v>989</v>
      </c>
      <c r="B174" s="51">
        <f t="shared" si="23"/>
        <v>25</v>
      </c>
      <c r="C174" s="51" t="s">
        <v>645</v>
      </c>
      <c r="D174" s="51" t="s">
        <v>106</v>
      </c>
      <c r="E174" s="145" t="e">
        <f>HLOOKUP(D174,RSD_En_Balance!$D$109:$R$190,RSD_Demands!B174,FALSE)/HLOOKUP("Total",RSD_En_Balance!$D$109:$S$190,RSD_Demands!B174,FALSE)</f>
        <v>#DIV/0!</v>
      </c>
      <c r="H174" s="41" t="s">
        <v>545</v>
      </c>
      <c r="I174" s="41" t="s">
        <v>677</v>
      </c>
      <c r="J174" s="331">
        <v>0.5</v>
      </c>
    </row>
    <row r="175" spans="1:10">
      <c r="A175" s="51" t="s">
        <v>989</v>
      </c>
      <c r="B175" s="51">
        <f t="shared" si="23"/>
        <v>25</v>
      </c>
      <c r="C175" s="51" t="s">
        <v>646</v>
      </c>
      <c r="D175" s="51" t="s">
        <v>365</v>
      </c>
      <c r="E175" s="145" t="e">
        <f>HLOOKUP(D175,RSD_En_Balance!$D$109:$R$190,RSD_Demands!B175,FALSE)/HLOOKUP("Total",RSD_En_Balance!$D$109:$S$190,RSD_Demands!B175,FALSE)</f>
        <v>#DIV/0!</v>
      </c>
      <c r="H175" s="41" t="s">
        <v>546</v>
      </c>
      <c r="I175" s="41" t="s">
        <v>678</v>
      </c>
      <c r="J175" s="331">
        <v>0.2</v>
      </c>
    </row>
    <row r="176" spans="1:10">
      <c r="A176" s="51" t="s">
        <v>989</v>
      </c>
      <c r="B176" s="51">
        <f t="shared" si="23"/>
        <v>25</v>
      </c>
      <c r="C176" s="51" t="s">
        <v>647</v>
      </c>
      <c r="D176" s="51" t="s">
        <v>104</v>
      </c>
      <c r="E176" s="145" t="e">
        <f>HLOOKUP(D176,RSD_En_Balance!$D$109:$R$190,RSD_Demands!B176,FALSE)/HLOOKUP("Total",RSD_En_Balance!$D$109:$S$190,RSD_Demands!B176,FALSE)</f>
        <v>#DIV/0!</v>
      </c>
      <c r="H176" s="41" t="s">
        <v>547</v>
      </c>
      <c r="I176" s="41" t="s">
        <v>679</v>
      </c>
      <c r="J176" s="331">
        <f>AA182</f>
        <v>0</v>
      </c>
    </row>
    <row r="177" spans="1:11">
      <c r="A177" s="51" t="s">
        <v>989</v>
      </c>
      <c r="B177" s="51">
        <f>B176</f>
        <v>25</v>
      </c>
      <c r="C177" s="51" t="s">
        <v>648</v>
      </c>
      <c r="D177" s="51" t="s">
        <v>108</v>
      </c>
      <c r="E177" s="145" t="e">
        <f>HLOOKUP(D177,RSD_En_Balance!$D$109:$R$190,RSD_Demands!B177,FALSE)/HLOOKUP("Total",RSD_En_Balance!$D$109:$S$190,RSD_Demands!B177,FALSE)</f>
        <v>#DIV/0!</v>
      </c>
      <c r="H177" s="152" t="s">
        <v>548</v>
      </c>
      <c r="I177" s="152" t="s">
        <v>680</v>
      </c>
      <c r="J177" s="332">
        <v>0.3</v>
      </c>
    </row>
    <row r="178" spans="1:11" ht="13.8" thickBot="1">
      <c r="A178" s="51" t="s">
        <v>989</v>
      </c>
      <c r="B178" s="326">
        <f>B177</f>
        <v>25</v>
      </c>
      <c r="C178" s="326" t="s">
        <v>649</v>
      </c>
      <c r="D178" s="326" t="s">
        <v>130</v>
      </c>
      <c r="E178" s="327" t="e">
        <f>HLOOKUP(D178,RSD_En_Balance!$D$109:$R$190,RSD_Demands!B178,FALSE)/HLOOKUP("Total",RSD_En_Balance!$D$109:$S$190,RSD_Demands!B178,FALSE)</f>
        <v>#DIV/0!</v>
      </c>
      <c r="F178" s="145" t="e">
        <f>SUM(E173:E178)</f>
        <v>#DIV/0!</v>
      </c>
      <c r="H178" s="41" t="s">
        <v>549</v>
      </c>
      <c r="I178" s="41" t="s">
        <v>905</v>
      </c>
      <c r="J178" s="331">
        <f>J174</f>
        <v>0.5</v>
      </c>
    </row>
    <row r="179" spans="1:11" ht="13.8" thickTop="1">
      <c r="A179" s="51" t="s">
        <v>989</v>
      </c>
      <c r="B179" s="51">
        <f>B178+10</f>
        <v>35</v>
      </c>
      <c r="C179" s="51" t="s">
        <v>882</v>
      </c>
      <c r="D179" s="51" t="s">
        <v>859</v>
      </c>
      <c r="E179" s="145" t="e">
        <f>HLOOKUP(D179,RSD_En_Balance!$D$109:$R$190,RSD_Demands!B179,FALSE)/HLOOKUP("Total",RSD_En_Balance!$D$109:$S$190,RSD_Demands!B179,FALSE)</f>
        <v>#DIV/0!</v>
      </c>
      <c r="H179" s="41" t="s">
        <v>550</v>
      </c>
      <c r="I179" s="41" t="s">
        <v>906</v>
      </c>
      <c r="J179" s="331">
        <f t="shared" ref="J179:J181" si="25">J175</f>
        <v>0.2</v>
      </c>
    </row>
    <row r="180" spans="1:11">
      <c r="A180" s="51" t="s">
        <v>989</v>
      </c>
      <c r="B180" s="51">
        <f t="shared" ref="B180:B182" si="26">B179</f>
        <v>35</v>
      </c>
      <c r="C180" s="51" t="s">
        <v>650</v>
      </c>
      <c r="D180" s="51" t="s">
        <v>106</v>
      </c>
      <c r="E180" s="145" t="e">
        <f>HLOOKUP(D180,RSD_En_Balance!$D$109:$R$190,RSD_Demands!B180,FALSE)/HLOOKUP("Total",RSD_En_Balance!$D$109:$S$190,RSD_Demands!B180,FALSE)</f>
        <v>#DIV/0!</v>
      </c>
      <c r="H180" s="41" t="s">
        <v>551</v>
      </c>
      <c r="I180" s="41" t="s">
        <v>907</v>
      </c>
      <c r="J180" s="331">
        <f t="shared" si="25"/>
        <v>0</v>
      </c>
    </row>
    <row r="181" spans="1:11">
      <c r="A181" s="51" t="s">
        <v>989</v>
      </c>
      <c r="B181" s="51">
        <f t="shared" si="26"/>
        <v>35</v>
      </c>
      <c r="C181" s="51" t="s">
        <v>651</v>
      </c>
      <c r="D181" s="51" t="s">
        <v>365</v>
      </c>
      <c r="E181" s="145" t="e">
        <f>HLOOKUP(D181,RSD_En_Balance!$D$109:$R$190,RSD_Demands!B181,FALSE)/HLOOKUP("Total",RSD_En_Balance!$D$109:$S$190,RSD_Demands!B181,FALSE)</f>
        <v>#DIV/0!</v>
      </c>
      <c r="H181" s="152" t="s">
        <v>552</v>
      </c>
      <c r="I181" s="152" t="s">
        <v>908</v>
      </c>
      <c r="J181" s="332">
        <f t="shared" si="25"/>
        <v>0.3</v>
      </c>
    </row>
    <row r="182" spans="1:11">
      <c r="A182" s="51" t="s">
        <v>989</v>
      </c>
      <c r="B182" s="51">
        <f t="shared" si="26"/>
        <v>35</v>
      </c>
      <c r="C182" s="51" t="s">
        <v>652</v>
      </c>
      <c r="D182" s="51" t="s">
        <v>104</v>
      </c>
      <c r="E182" s="145" t="e">
        <f>HLOOKUP(D182,RSD_En_Balance!$D$109:$R$190,RSD_Demands!B182,FALSE)/HLOOKUP("Total",RSD_En_Balance!$D$109:$S$190,RSD_Demands!B182,FALSE)</f>
        <v>#DIV/0!</v>
      </c>
    </row>
    <row r="183" spans="1:11">
      <c r="A183" s="51" t="s">
        <v>989</v>
      </c>
      <c r="B183" s="51">
        <f>B182</f>
        <v>35</v>
      </c>
      <c r="C183" s="51" t="s">
        <v>653</v>
      </c>
      <c r="D183" s="51" t="s">
        <v>108</v>
      </c>
      <c r="E183" s="145" t="e">
        <f>HLOOKUP(D183,RSD_En_Balance!$D$109:$R$190,RSD_Demands!B183,FALSE)/HLOOKUP("Total",RSD_En_Balance!$D$109:$S$190,RSD_Demands!B183,FALSE)</f>
        <v>#DIV/0!</v>
      </c>
    </row>
    <row r="184" spans="1:11" ht="13.8" thickBot="1">
      <c r="A184" s="51" t="s">
        <v>989</v>
      </c>
      <c r="B184" s="326">
        <f>B183</f>
        <v>35</v>
      </c>
      <c r="C184" s="326" t="s">
        <v>654</v>
      </c>
      <c r="D184" s="326" t="s">
        <v>130</v>
      </c>
      <c r="E184" s="327" t="e">
        <f>HLOOKUP(D184,RSD_En_Balance!$D$109:$R$190,RSD_Demands!B184,FALSE)/HLOOKUP("Total",RSD_En_Balance!$D$109:$S$190,RSD_Demands!B184,FALSE)</f>
        <v>#DIV/0!</v>
      </c>
      <c r="F184" s="145" t="e">
        <f>SUM(E179:E184)</f>
        <v>#DIV/0!</v>
      </c>
    </row>
    <row r="185" spans="1:11" ht="14.4" thickTop="1">
      <c r="A185" s="51" t="s">
        <v>989</v>
      </c>
      <c r="B185" s="51">
        <f>B184+10</f>
        <v>45</v>
      </c>
      <c r="C185" s="51" t="s">
        <v>883</v>
      </c>
      <c r="D185" s="51" t="s">
        <v>859</v>
      </c>
      <c r="E185" s="145" t="e">
        <f>HLOOKUP(D185,RSD_En_Balance!$D$109:$R$190,RSD_Demands!B185,FALSE)/HLOOKUP("Total",RSD_En_Balance!$D$109:$S$190,RSD_Demands!B185,FALSE)</f>
        <v>#DIV/0!</v>
      </c>
      <c r="H185" s="88" t="s">
        <v>342</v>
      </c>
      <c r="I185" s="88"/>
      <c r="J185" s="88" t="s">
        <v>441</v>
      </c>
    </row>
    <row r="186" spans="1:11">
      <c r="A186" s="51" t="s">
        <v>989</v>
      </c>
      <c r="B186" s="51">
        <f t="shared" ref="B186:B188" si="27">B185</f>
        <v>45</v>
      </c>
      <c r="C186" s="51" t="s">
        <v>635</v>
      </c>
      <c r="D186" s="51" t="s">
        <v>106</v>
      </c>
      <c r="E186" s="145" t="e">
        <f>HLOOKUP(D186,RSD_En_Balance!$D$109:$R$190,RSD_Demands!B186,FALSE)/HLOOKUP("Total",RSD_En_Balance!$D$109:$S$190,RSD_Demands!B186,FALSE)</f>
        <v>#DIV/0!</v>
      </c>
      <c r="H186" s="328" t="s">
        <v>553</v>
      </c>
      <c r="I186" s="51" t="s">
        <v>681</v>
      </c>
      <c r="J186" s="293">
        <v>1.2</v>
      </c>
      <c r="K186" s="292" t="s">
        <v>979</v>
      </c>
    </row>
    <row r="187" spans="1:11">
      <c r="A187" s="51" t="s">
        <v>989</v>
      </c>
      <c r="B187" s="51">
        <f t="shared" si="27"/>
        <v>45</v>
      </c>
      <c r="C187" s="51" t="s">
        <v>636</v>
      </c>
      <c r="D187" s="51" t="s">
        <v>365</v>
      </c>
      <c r="E187" s="145" t="e">
        <f>HLOOKUP(D187,RSD_En_Balance!$D$109:$R$190,RSD_Demands!B187,FALSE)/HLOOKUP("Total",RSD_En_Balance!$D$109:$S$190,RSD_Demands!B187,FALSE)</f>
        <v>#DIV/0!</v>
      </c>
      <c r="H187" s="328" t="s">
        <v>554</v>
      </c>
      <c r="I187" s="51" t="s">
        <v>909</v>
      </c>
      <c r="J187" s="293">
        <v>1.2</v>
      </c>
      <c r="K187" s="292" t="s">
        <v>979</v>
      </c>
    </row>
    <row r="188" spans="1:11">
      <c r="A188" s="51" t="s">
        <v>989</v>
      </c>
      <c r="B188" s="51">
        <f t="shared" si="27"/>
        <v>45</v>
      </c>
      <c r="C188" s="51" t="s">
        <v>637</v>
      </c>
      <c r="D188" s="51" t="s">
        <v>104</v>
      </c>
      <c r="E188" s="145" t="e">
        <f>HLOOKUP(D188,RSD_En_Balance!$D$109:$R$190,RSD_Demands!B188,FALSE)/HLOOKUP("Total",RSD_En_Balance!$D$109:$S$190,RSD_Demands!B188,FALSE)</f>
        <v>#DIV/0!</v>
      </c>
      <c r="H188" s="328" t="s">
        <v>561</v>
      </c>
      <c r="I188" s="51" t="s">
        <v>685</v>
      </c>
      <c r="J188" s="293">
        <v>1.2</v>
      </c>
      <c r="K188" s="292" t="s">
        <v>979</v>
      </c>
    </row>
    <row r="189" spans="1:11">
      <c r="A189" s="51" t="s">
        <v>989</v>
      </c>
      <c r="B189" s="51">
        <f>B188</f>
        <v>45</v>
      </c>
      <c r="C189" s="51" t="s">
        <v>638</v>
      </c>
      <c r="D189" s="51" t="s">
        <v>108</v>
      </c>
      <c r="E189" s="145" t="e">
        <f>HLOOKUP(D189,RSD_En_Balance!$D$109:$R$190,RSD_Demands!B189,FALSE)/HLOOKUP("Total",RSD_En_Balance!$D$109:$S$190,RSD_Demands!B189,FALSE)</f>
        <v>#DIV/0!</v>
      </c>
      <c r="H189" s="328" t="s">
        <v>562</v>
      </c>
      <c r="I189" s="51" t="s">
        <v>910</v>
      </c>
      <c r="J189" s="293">
        <v>1.2</v>
      </c>
      <c r="K189" s="292" t="s">
        <v>979</v>
      </c>
    </row>
    <row r="190" spans="1:11" ht="13.8" thickBot="1">
      <c r="A190" s="51" t="s">
        <v>989</v>
      </c>
      <c r="B190" s="326">
        <f>B189</f>
        <v>45</v>
      </c>
      <c r="C190" s="326" t="s">
        <v>639</v>
      </c>
      <c r="D190" s="326" t="s">
        <v>130</v>
      </c>
      <c r="E190" s="327" t="e">
        <f>HLOOKUP(D190,RSD_En_Balance!$D$109:$R$190,RSD_Demands!B190,FALSE)/HLOOKUP("Total",RSD_En_Balance!$D$109:$S$190,RSD_Demands!B190,FALSE)</f>
        <v>#DIV/0!</v>
      </c>
      <c r="F190" s="145" t="e">
        <f>SUM(E185:E190)</f>
        <v>#DIV/0!</v>
      </c>
      <c r="H190" s="328" t="s">
        <v>569</v>
      </c>
      <c r="I190" s="51" t="s">
        <v>689</v>
      </c>
      <c r="J190" s="293">
        <v>1.1000000000000001</v>
      </c>
      <c r="K190" s="292" t="s">
        <v>979</v>
      </c>
    </row>
    <row r="191" spans="1:11" ht="13.8" thickTop="1">
      <c r="A191" s="51" t="s">
        <v>989</v>
      </c>
      <c r="B191" s="51">
        <f>B190+10</f>
        <v>55</v>
      </c>
      <c r="C191" s="51" t="s">
        <v>884</v>
      </c>
      <c r="D191" s="51" t="s">
        <v>859</v>
      </c>
      <c r="E191" s="145" t="e">
        <f>HLOOKUP(D191,RSD_En_Balance!$D$109:$R$190,RSD_Demands!B191,FALSE)/HLOOKUP("Total",RSD_En_Balance!$D$109:$S$190,RSD_Demands!B191,FALSE)</f>
        <v>#DIV/0!</v>
      </c>
      <c r="H191" s="328" t="s">
        <v>570</v>
      </c>
      <c r="I191" s="51" t="s">
        <v>911</v>
      </c>
      <c r="J191" s="293">
        <v>1.1000000000000001</v>
      </c>
      <c r="K191" s="292" t="s">
        <v>979</v>
      </c>
    </row>
    <row r="192" spans="1:11">
      <c r="A192" s="51" t="s">
        <v>989</v>
      </c>
      <c r="B192" s="51">
        <f t="shared" ref="B192:B194" si="28">B191</f>
        <v>55</v>
      </c>
      <c r="C192" s="51" t="s">
        <v>640</v>
      </c>
      <c r="D192" s="51" t="s">
        <v>106</v>
      </c>
      <c r="E192" s="145" t="e">
        <f>HLOOKUP(D192,RSD_En_Balance!$D$109:$R$190,RSD_Demands!B192,FALSE)/HLOOKUP("Total",RSD_En_Balance!$D$109:$S$190,RSD_Demands!B192,FALSE)</f>
        <v>#DIV/0!</v>
      </c>
      <c r="H192" s="328" t="s">
        <v>577</v>
      </c>
      <c r="I192" s="51" t="s">
        <v>693</v>
      </c>
      <c r="J192" s="293">
        <v>1.1000000000000001</v>
      </c>
      <c r="K192" s="292" t="s">
        <v>979</v>
      </c>
    </row>
    <row r="193" spans="1:11">
      <c r="A193" s="51" t="s">
        <v>989</v>
      </c>
      <c r="B193" s="51">
        <f t="shared" si="28"/>
        <v>55</v>
      </c>
      <c r="C193" s="51" t="s">
        <v>641</v>
      </c>
      <c r="D193" s="51" t="s">
        <v>365</v>
      </c>
      <c r="E193" s="145" t="e">
        <f>HLOOKUP(D193,RSD_En_Balance!$D$109:$R$190,RSD_Demands!B193,FALSE)/HLOOKUP("Total",RSD_En_Balance!$D$109:$S$190,RSD_Demands!B193,FALSE)</f>
        <v>#DIV/0!</v>
      </c>
      <c r="H193" s="333" t="s">
        <v>578</v>
      </c>
      <c r="I193" s="152" t="s">
        <v>912</v>
      </c>
      <c r="J193" s="293">
        <v>1.1000000000000001</v>
      </c>
      <c r="K193" s="292" t="s">
        <v>979</v>
      </c>
    </row>
    <row r="194" spans="1:11">
      <c r="A194" s="51" t="s">
        <v>989</v>
      </c>
      <c r="B194" s="51">
        <f t="shared" si="28"/>
        <v>55</v>
      </c>
      <c r="C194" s="51" t="s">
        <v>642</v>
      </c>
      <c r="D194" s="51" t="s">
        <v>104</v>
      </c>
      <c r="E194" s="145" t="e">
        <f>HLOOKUP(D194,RSD_En_Balance!$D$109:$R$190,RSD_Demands!B194,FALSE)/HLOOKUP("Total",RSD_En_Balance!$D$109:$S$190,RSD_Demands!B194,FALSE)</f>
        <v>#DIV/0!</v>
      </c>
      <c r="H194" s="328"/>
    </row>
    <row r="195" spans="1:11" ht="13.8">
      <c r="A195" s="51" t="s">
        <v>989</v>
      </c>
      <c r="B195" s="51">
        <f>B194</f>
        <v>55</v>
      </c>
      <c r="C195" s="51" t="s">
        <v>643</v>
      </c>
      <c r="D195" s="51" t="s">
        <v>108</v>
      </c>
      <c r="E195" s="145" t="e">
        <f>HLOOKUP(D195,RSD_En_Balance!$D$109:$R$190,RSD_Demands!B195,FALSE)/HLOOKUP("Total",RSD_En_Balance!$D$109:$S$190,RSD_Demands!B195,FALSE)</f>
        <v>#DIV/0!</v>
      </c>
      <c r="H195" s="88" t="s">
        <v>442</v>
      </c>
      <c r="I195" s="88"/>
      <c r="J195" s="88" t="s">
        <v>441</v>
      </c>
    </row>
    <row r="196" spans="1:11" ht="13.8" thickBot="1">
      <c r="A196" s="51" t="s">
        <v>989</v>
      </c>
      <c r="B196" s="326">
        <f>B195</f>
        <v>55</v>
      </c>
      <c r="C196" s="326" t="s">
        <v>644</v>
      </c>
      <c r="D196" s="326" t="s">
        <v>130</v>
      </c>
      <c r="E196" s="327" t="e">
        <f>HLOOKUP(D196,RSD_En_Balance!$D$109:$R$190,RSD_Demands!B196,FALSE)/HLOOKUP("Total",RSD_En_Balance!$D$109:$S$190,RSD_Demands!B196,FALSE)</f>
        <v>#DIV/0!</v>
      </c>
      <c r="F196" s="145" t="e">
        <f>SUM(E191:E196)</f>
        <v>#DIV/0!</v>
      </c>
      <c r="H196" s="328" t="s">
        <v>555</v>
      </c>
      <c r="I196" s="51" t="s">
        <v>682</v>
      </c>
      <c r="J196" s="293">
        <v>0.98</v>
      </c>
      <c r="K196" s="292" t="s">
        <v>979</v>
      </c>
    </row>
    <row r="197" spans="1:11" ht="13.8" thickTop="1">
      <c r="A197" s="51" t="s">
        <v>989</v>
      </c>
      <c r="B197" s="51">
        <f>B196+10</f>
        <v>65</v>
      </c>
      <c r="C197" s="51" t="s">
        <v>885</v>
      </c>
      <c r="D197" s="51" t="s">
        <v>859</v>
      </c>
      <c r="E197" s="145" t="e">
        <f>HLOOKUP(D197,RSD_En_Balance!$D$109:$R$190,RSD_Demands!B197,FALSE)/HLOOKUP("Total",RSD_En_Balance!$D$109:$S$190,RSD_Demands!B197,FALSE)</f>
        <v>#DIV/0!</v>
      </c>
      <c r="H197" s="328" t="s">
        <v>556</v>
      </c>
      <c r="I197" s="51" t="s">
        <v>913</v>
      </c>
      <c r="J197" s="293">
        <v>0.98</v>
      </c>
      <c r="K197" s="292" t="s">
        <v>979</v>
      </c>
    </row>
    <row r="198" spans="1:11">
      <c r="A198" s="51" t="s">
        <v>989</v>
      </c>
      <c r="B198" s="51">
        <f t="shared" ref="B198:B200" si="29">B197</f>
        <v>65</v>
      </c>
      <c r="C198" s="51" t="s">
        <v>625</v>
      </c>
      <c r="D198" s="51" t="s">
        <v>106</v>
      </c>
      <c r="E198" s="145" t="e">
        <f>HLOOKUP(D198,RSD_En_Balance!$D$109:$R$190,RSD_Demands!B198,FALSE)/HLOOKUP("Total",RSD_En_Balance!$D$109:$S$190,RSD_Demands!B198,FALSE)</f>
        <v>#DIV/0!</v>
      </c>
      <c r="H198" s="328" t="s">
        <v>563</v>
      </c>
      <c r="I198" s="51" t="s">
        <v>686</v>
      </c>
      <c r="J198" s="293">
        <v>0.96</v>
      </c>
      <c r="K198" s="292" t="s">
        <v>979</v>
      </c>
    </row>
    <row r="199" spans="1:11">
      <c r="A199" s="51" t="s">
        <v>989</v>
      </c>
      <c r="B199" s="51">
        <f t="shared" si="29"/>
        <v>65</v>
      </c>
      <c r="C199" s="51" t="s">
        <v>626</v>
      </c>
      <c r="D199" s="51" t="s">
        <v>365</v>
      </c>
      <c r="E199" s="145" t="e">
        <f>HLOOKUP(D199,RSD_En_Balance!$D$109:$R$190,RSD_Demands!B199,FALSE)/HLOOKUP("Total",RSD_En_Balance!$D$109:$S$190,RSD_Demands!B199,FALSE)</f>
        <v>#DIV/0!</v>
      </c>
      <c r="H199" s="328" t="s">
        <v>564</v>
      </c>
      <c r="I199" s="51" t="s">
        <v>914</v>
      </c>
      <c r="J199" s="293">
        <v>0.96</v>
      </c>
      <c r="K199" s="292" t="s">
        <v>979</v>
      </c>
    </row>
    <row r="200" spans="1:11">
      <c r="A200" s="51" t="s">
        <v>989</v>
      </c>
      <c r="B200" s="51">
        <f t="shared" si="29"/>
        <v>65</v>
      </c>
      <c r="C200" s="51" t="s">
        <v>627</v>
      </c>
      <c r="D200" s="51" t="s">
        <v>104</v>
      </c>
      <c r="E200" s="145" t="e">
        <f>HLOOKUP(D200,RSD_En_Balance!$D$109:$R$190,RSD_Demands!B200,FALSE)/HLOOKUP("Total",RSD_En_Balance!$D$109:$S$190,RSD_Demands!B200,FALSE)</f>
        <v>#DIV/0!</v>
      </c>
      <c r="H200" s="328" t="s">
        <v>571</v>
      </c>
      <c r="I200" s="51" t="s">
        <v>690</v>
      </c>
      <c r="J200" s="293">
        <v>0.92</v>
      </c>
      <c r="K200" s="292" t="s">
        <v>979</v>
      </c>
    </row>
    <row r="201" spans="1:11">
      <c r="A201" s="51" t="s">
        <v>989</v>
      </c>
      <c r="B201" s="51">
        <f>B200</f>
        <v>65</v>
      </c>
      <c r="C201" s="51" t="s">
        <v>628</v>
      </c>
      <c r="D201" s="51" t="s">
        <v>108</v>
      </c>
      <c r="E201" s="145" t="e">
        <f>HLOOKUP(D201,RSD_En_Balance!$D$109:$R$190,RSD_Demands!B201,FALSE)/HLOOKUP("Total",RSD_En_Balance!$D$109:$S$190,RSD_Demands!B201,FALSE)</f>
        <v>#DIV/0!</v>
      </c>
      <c r="H201" s="328" t="s">
        <v>572</v>
      </c>
      <c r="I201" s="51" t="s">
        <v>915</v>
      </c>
      <c r="J201" s="293">
        <v>0.92</v>
      </c>
      <c r="K201" s="292" t="s">
        <v>979</v>
      </c>
    </row>
    <row r="202" spans="1:11" ht="13.8" thickBot="1">
      <c r="A202" s="51" t="s">
        <v>989</v>
      </c>
      <c r="B202" s="326">
        <f>B201</f>
        <v>65</v>
      </c>
      <c r="C202" s="326" t="s">
        <v>629</v>
      </c>
      <c r="D202" s="326" t="s">
        <v>130</v>
      </c>
      <c r="E202" s="327" t="e">
        <f>HLOOKUP(D202,RSD_En_Balance!$D$109:$R$190,RSD_Demands!B202,FALSE)/HLOOKUP("Total",RSD_En_Balance!$D$109:$S$190,RSD_Demands!B202,FALSE)</f>
        <v>#DIV/0!</v>
      </c>
      <c r="F202" s="145" t="e">
        <f>SUM(E197:E202)</f>
        <v>#DIV/0!</v>
      </c>
      <c r="H202" s="328" t="s">
        <v>579</v>
      </c>
      <c r="I202" s="51" t="s">
        <v>694</v>
      </c>
      <c r="J202" s="293">
        <v>0.95</v>
      </c>
      <c r="K202" s="292" t="s">
        <v>979</v>
      </c>
    </row>
    <row r="203" spans="1:11" ht="13.8" thickTop="1">
      <c r="A203" s="51" t="s">
        <v>989</v>
      </c>
      <c r="B203" s="51">
        <f>B202+10</f>
        <v>75</v>
      </c>
      <c r="C203" s="51" t="s">
        <v>886</v>
      </c>
      <c r="D203" s="51" t="s">
        <v>859</v>
      </c>
      <c r="E203" s="145" t="e">
        <f>HLOOKUP(D203,RSD_En_Balance!$D$109:$R$190,RSD_Demands!B203,FALSE)/HLOOKUP("Total",RSD_En_Balance!$D$109:$S$190,RSD_Demands!B203,FALSE)</f>
        <v>#VALUE!</v>
      </c>
      <c r="H203" s="328" t="s">
        <v>580</v>
      </c>
      <c r="I203" s="51" t="s">
        <v>916</v>
      </c>
      <c r="J203" s="293">
        <v>0.95</v>
      </c>
      <c r="K203" s="292" t="s">
        <v>979</v>
      </c>
    </row>
    <row r="204" spans="1:11">
      <c r="A204" s="51" t="s">
        <v>989</v>
      </c>
      <c r="B204" s="51">
        <f t="shared" ref="B204:B206" si="30">B203</f>
        <v>75</v>
      </c>
      <c r="C204" s="51" t="s">
        <v>630</v>
      </c>
      <c r="D204" s="51" t="s">
        <v>106</v>
      </c>
      <c r="E204" s="145" t="e">
        <f>HLOOKUP(D204,RSD_En_Balance!$D$109:$R$190,RSD_Demands!B204,FALSE)/HLOOKUP("Total",RSD_En_Balance!$D$109:$S$190,RSD_Demands!B204,FALSE)</f>
        <v>#VALUE!</v>
      </c>
      <c r="H204" s="328"/>
    </row>
    <row r="205" spans="1:11" ht="13.8">
      <c r="A205" s="51" t="s">
        <v>989</v>
      </c>
      <c r="B205" s="51">
        <f t="shared" si="30"/>
        <v>75</v>
      </c>
      <c r="C205" s="51" t="s">
        <v>631</v>
      </c>
      <c r="D205" s="51" t="s">
        <v>365</v>
      </c>
      <c r="E205" s="145" t="e">
        <f>HLOOKUP(D205,RSD_En_Balance!$D$109:$R$190,RSD_Demands!B205,FALSE)/HLOOKUP("Total",RSD_En_Balance!$D$109:$S$190,RSD_Demands!B205,FALSE)</f>
        <v>#VALUE!</v>
      </c>
      <c r="H205" s="88" t="s">
        <v>344</v>
      </c>
      <c r="I205" s="88"/>
      <c r="J205" s="88" t="s">
        <v>441</v>
      </c>
    </row>
    <row r="206" spans="1:11">
      <c r="A206" s="51" t="s">
        <v>989</v>
      </c>
      <c r="B206" s="51">
        <f t="shared" si="30"/>
        <v>75</v>
      </c>
      <c r="C206" s="51" t="s">
        <v>632</v>
      </c>
      <c r="D206" s="51" t="s">
        <v>104</v>
      </c>
      <c r="E206" s="145" t="e">
        <f>HLOOKUP(D206,RSD_En_Balance!$D$109:$R$190,RSD_Demands!B206,FALSE)/HLOOKUP("Total",RSD_En_Balance!$D$109:$S$190,RSD_Demands!B206,FALSE)</f>
        <v>#VALUE!</v>
      </c>
      <c r="H206" s="328" t="s">
        <v>557</v>
      </c>
      <c r="I206" s="51" t="s">
        <v>683</v>
      </c>
      <c r="J206" s="294">
        <v>0.01</v>
      </c>
      <c r="K206" s="292" t="s">
        <v>979</v>
      </c>
    </row>
    <row r="207" spans="1:11">
      <c r="A207" s="51" t="s">
        <v>989</v>
      </c>
      <c r="B207" s="51">
        <f>B206</f>
        <v>75</v>
      </c>
      <c r="C207" s="51" t="s">
        <v>633</v>
      </c>
      <c r="D207" s="51" t="s">
        <v>108</v>
      </c>
      <c r="E207" s="145" t="e">
        <f>HLOOKUP(D207,RSD_En_Balance!$D$109:$R$190,RSD_Demands!B207,FALSE)/HLOOKUP("Total",RSD_En_Balance!$D$109:$S$190,RSD_Demands!B207,FALSE)</f>
        <v>#VALUE!</v>
      </c>
      <c r="H207" s="328" t="s">
        <v>558</v>
      </c>
      <c r="I207" s="51" t="s">
        <v>917</v>
      </c>
      <c r="J207" s="294">
        <v>0.01</v>
      </c>
      <c r="K207" s="292" t="s">
        <v>979</v>
      </c>
    </row>
    <row r="208" spans="1:11" ht="13.8" thickBot="1">
      <c r="A208" s="51" t="s">
        <v>989</v>
      </c>
      <c r="B208" s="326">
        <f>B207</f>
        <v>75</v>
      </c>
      <c r="C208" s="326" t="s">
        <v>634</v>
      </c>
      <c r="D208" s="326" t="s">
        <v>130</v>
      </c>
      <c r="E208" s="327" t="e">
        <f>HLOOKUP(D208,RSD_En_Balance!$D$109:$R$190,RSD_Demands!B208,FALSE)/HLOOKUP("Total",RSD_En_Balance!$D$109:$S$190,RSD_Demands!B208,FALSE)</f>
        <v>#VALUE!</v>
      </c>
      <c r="F208" s="145" t="e">
        <f>SUM(E203:E208)</f>
        <v>#VALUE!</v>
      </c>
      <c r="H208" s="328" t="s">
        <v>565</v>
      </c>
      <c r="I208" s="51" t="s">
        <v>687</v>
      </c>
      <c r="J208" s="294">
        <v>0.04</v>
      </c>
      <c r="K208" s="292" t="s">
        <v>979</v>
      </c>
    </row>
    <row r="209" spans="8:11" ht="13.8" thickTop="1">
      <c r="H209" s="328" t="s">
        <v>566</v>
      </c>
      <c r="I209" s="51" t="s">
        <v>918</v>
      </c>
      <c r="J209" s="294">
        <v>0.04</v>
      </c>
      <c r="K209" s="292" t="s">
        <v>979</v>
      </c>
    </row>
    <row r="210" spans="8:11">
      <c r="H210" s="328" t="s">
        <v>573</v>
      </c>
      <c r="I210" s="51" t="s">
        <v>691</v>
      </c>
      <c r="J210" s="294">
        <v>7.0000000000000007E-2</v>
      </c>
      <c r="K210" s="292" t="s">
        <v>979</v>
      </c>
    </row>
    <row r="211" spans="8:11">
      <c r="H211" s="328" t="s">
        <v>574</v>
      </c>
      <c r="I211" s="51" t="s">
        <v>919</v>
      </c>
      <c r="J211" s="294">
        <v>7.0000000000000007E-2</v>
      </c>
      <c r="K211" s="292" t="s">
        <v>979</v>
      </c>
    </row>
    <row r="212" spans="8:11">
      <c r="H212" s="328" t="s">
        <v>581</v>
      </c>
      <c r="I212" s="51" t="s">
        <v>695</v>
      </c>
      <c r="J212" s="294">
        <v>0.03</v>
      </c>
      <c r="K212" s="292" t="s">
        <v>979</v>
      </c>
    </row>
    <row r="213" spans="8:11">
      <c r="H213" s="328" t="s">
        <v>582</v>
      </c>
      <c r="I213" s="51" t="s">
        <v>920</v>
      </c>
      <c r="J213" s="294">
        <v>0.03</v>
      </c>
      <c r="K213" s="292" t="s">
        <v>979</v>
      </c>
    </row>
    <row r="214" spans="8:11">
      <c r="H214" s="328"/>
    </row>
    <row r="215" spans="8:11" ht="13.8">
      <c r="H215" s="88" t="s">
        <v>443</v>
      </c>
      <c r="I215" s="88"/>
      <c r="J215" s="88" t="s">
        <v>441</v>
      </c>
    </row>
    <row r="216" spans="8:11">
      <c r="H216" s="328" t="s">
        <v>559</v>
      </c>
      <c r="I216" s="51" t="s">
        <v>684</v>
      </c>
      <c r="J216" s="209">
        <v>1</v>
      </c>
    </row>
    <row r="217" spans="8:11">
      <c r="H217" s="328" t="s">
        <v>560</v>
      </c>
      <c r="I217" s="51" t="s">
        <v>921</v>
      </c>
      <c r="J217" s="209">
        <v>1</v>
      </c>
    </row>
    <row r="218" spans="8:11">
      <c r="H218" s="328" t="s">
        <v>567</v>
      </c>
      <c r="I218" s="51" t="s">
        <v>688</v>
      </c>
      <c r="J218" s="209">
        <v>1</v>
      </c>
    </row>
    <row r="219" spans="8:11">
      <c r="H219" s="328" t="s">
        <v>568</v>
      </c>
      <c r="I219" s="51" t="s">
        <v>922</v>
      </c>
      <c r="J219" s="209">
        <v>1</v>
      </c>
    </row>
    <row r="220" spans="8:11">
      <c r="H220" s="328" t="s">
        <v>575</v>
      </c>
      <c r="I220" s="51" t="s">
        <v>692</v>
      </c>
      <c r="J220" s="209">
        <v>1</v>
      </c>
    </row>
    <row r="221" spans="8:11">
      <c r="H221" s="328" t="s">
        <v>576</v>
      </c>
      <c r="I221" s="51" t="s">
        <v>923</v>
      </c>
      <c r="J221" s="209">
        <v>1</v>
      </c>
    </row>
    <row r="222" spans="8:11">
      <c r="H222" s="328" t="s">
        <v>583</v>
      </c>
      <c r="I222" s="51" t="s">
        <v>696</v>
      </c>
      <c r="J222" s="209">
        <v>1</v>
      </c>
    </row>
    <row r="223" spans="8:11">
      <c r="H223" s="328" t="s">
        <v>584</v>
      </c>
      <c r="I223" s="51" t="s">
        <v>924</v>
      </c>
      <c r="J223" s="209">
        <v>1</v>
      </c>
    </row>
    <row r="224" spans="8:11">
      <c r="H224" s="328"/>
    </row>
    <row r="225" spans="8:8">
      <c r="H225" s="328"/>
    </row>
  </sheetData>
  <mergeCells count="2">
    <mergeCell ref="L6:M6"/>
    <mergeCell ref="N6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B351"/>
  <sheetViews>
    <sheetView zoomScale="70" zoomScaleNormal="70" workbookViewId="0">
      <pane xSplit="6" ySplit="6" topLeftCell="G7" activePane="bottomRight" state="frozen"/>
      <selection activeCell="F221" sqref="F221"/>
      <selection pane="topRight" activeCell="F221" sqref="F221"/>
      <selection pane="bottomLeft" activeCell="F221" sqref="F221"/>
      <selection pane="bottomRight" sqref="A1:XFD1048576"/>
    </sheetView>
  </sheetViews>
  <sheetFormatPr defaultRowHeight="13.2"/>
  <cols>
    <col min="1" max="1" width="4" style="51" customWidth="1"/>
    <col min="2" max="2" width="31" style="51" customWidth="1"/>
    <col min="3" max="3" width="47.5546875" style="51" customWidth="1"/>
    <col min="4" max="4" width="22.5546875" style="51" customWidth="1"/>
    <col min="5" max="5" width="25.5546875" style="51" customWidth="1"/>
    <col min="6" max="6" width="13.33203125" style="51" customWidth="1"/>
    <col min="7" max="7" width="8.109375" style="51" customWidth="1"/>
    <col min="8" max="8" width="7.33203125" style="51" customWidth="1"/>
    <col min="9" max="9" width="32.33203125" style="51" bestFit="1" customWidth="1"/>
    <col min="10" max="10" width="18" style="51" customWidth="1"/>
    <col min="11" max="11" width="26.6640625" style="51" customWidth="1"/>
    <col min="12" max="12" width="34.44140625" style="51" bestFit="1" customWidth="1"/>
    <col min="13" max="13" width="30.5546875" style="51" bestFit="1" customWidth="1"/>
    <col min="14" max="14" width="9.88671875" style="51" bestFit="1" customWidth="1"/>
    <col min="15" max="15" width="20.44140625" style="51" customWidth="1"/>
    <col min="16" max="16" width="13.6640625" style="51" customWidth="1"/>
    <col min="17" max="17" width="26.5546875" style="51" bestFit="1" customWidth="1"/>
    <col min="18" max="18" width="33.33203125" style="51" customWidth="1"/>
    <col min="19" max="19" width="45.109375" style="51" bestFit="1" customWidth="1"/>
    <col min="20" max="20" width="13.44140625" style="51" bestFit="1" customWidth="1"/>
    <col min="21" max="21" width="14.109375" style="51" bestFit="1" customWidth="1"/>
    <col min="22" max="22" width="33.44140625" style="44" bestFit="1" customWidth="1"/>
    <col min="23" max="23" width="14.44140625" style="44" bestFit="1" customWidth="1"/>
    <col min="24" max="24" width="25.88671875" style="44" customWidth="1"/>
    <col min="25" max="25" width="13.33203125" style="44" customWidth="1"/>
    <col min="26" max="26" width="8.88671875" style="51"/>
    <col min="27" max="27" width="32.33203125" style="51" customWidth="1"/>
    <col min="28" max="16384" width="8.88671875" style="51"/>
  </cols>
  <sheetData>
    <row r="1" spans="1:27" ht="17.399999999999999">
      <c r="A1" s="36" t="s">
        <v>355</v>
      </c>
      <c r="B1" s="36"/>
      <c r="C1" s="36"/>
      <c r="D1" s="36"/>
      <c r="E1" s="36"/>
      <c r="F1" s="36"/>
      <c r="G1" s="36"/>
      <c r="H1" s="36"/>
      <c r="I1" s="36"/>
      <c r="J1" s="36"/>
      <c r="S1" s="5"/>
      <c r="T1" s="5"/>
      <c r="U1" s="5"/>
      <c r="V1" s="85"/>
      <c r="W1" s="85"/>
      <c r="X1" s="85"/>
      <c r="Y1" s="85"/>
      <c r="Z1" s="5"/>
      <c r="AA1" s="5"/>
    </row>
    <row r="2" spans="1:27" ht="12.75" customHeight="1">
      <c r="A2" s="86"/>
      <c r="F2" s="32">
        <v>3</v>
      </c>
      <c r="G2" s="32"/>
      <c r="H2" s="32"/>
      <c r="I2" s="32"/>
      <c r="J2" s="32"/>
      <c r="R2" s="5" t="s">
        <v>145</v>
      </c>
      <c r="S2" s="5"/>
      <c r="T2" s="5"/>
      <c r="U2" s="5"/>
      <c r="V2" s="85"/>
      <c r="W2" s="85"/>
      <c r="X2" s="85"/>
      <c r="Y2" s="85"/>
      <c r="Z2" s="5"/>
      <c r="AA2" s="5"/>
    </row>
    <row r="3" spans="1:27" ht="13.8">
      <c r="E3" s="86" t="s">
        <v>350</v>
      </c>
      <c r="G3" s="41"/>
      <c r="H3" s="41"/>
      <c r="I3" s="41"/>
      <c r="J3" s="119" t="s">
        <v>360</v>
      </c>
      <c r="K3" s="119"/>
      <c r="L3" s="119"/>
      <c r="M3" s="119"/>
      <c r="N3" s="119"/>
      <c r="O3" s="119"/>
      <c r="Q3" s="87" t="s">
        <v>39</v>
      </c>
      <c r="R3" s="87" t="s">
        <v>317</v>
      </c>
      <c r="S3" s="87"/>
      <c r="T3" s="120"/>
      <c r="U3" s="120"/>
      <c r="V3" s="120"/>
      <c r="W3" s="120"/>
      <c r="X3" s="120"/>
      <c r="Y3" s="5"/>
    </row>
    <row r="4" spans="1:27" ht="27.75" customHeight="1">
      <c r="B4" s="88" t="s">
        <v>1</v>
      </c>
      <c r="C4" s="88" t="s">
        <v>42</v>
      </c>
      <c r="D4" s="88" t="s">
        <v>7</v>
      </c>
      <c r="E4" s="89" t="s">
        <v>8</v>
      </c>
      <c r="F4" s="121" t="s">
        <v>999</v>
      </c>
      <c r="G4" s="30"/>
      <c r="H4" s="30"/>
      <c r="I4" s="30"/>
      <c r="J4" s="169" t="s">
        <v>357</v>
      </c>
      <c r="K4" s="191" t="s">
        <v>359</v>
      </c>
      <c r="L4" s="226" t="s">
        <v>361</v>
      </c>
      <c r="M4" s="31" t="s">
        <v>439</v>
      </c>
      <c r="N4" s="122" t="s">
        <v>358</v>
      </c>
      <c r="O4" s="227"/>
      <c r="Q4" s="106" t="s">
        <v>19</v>
      </c>
      <c r="R4" s="87"/>
      <c r="S4" s="87"/>
      <c r="T4" s="120"/>
      <c r="U4" s="120"/>
      <c r="V4" s="120"/>
      <c r="W4" s="120"/>
      <c r="X4" s="120"/>
      <c r="Y4" s="5"/>
    </row>
    <row r="5" spans="1:27" ht="14.4" thickBot="1">
      <c r="B5" s="92" t="s">
        <v>356</v>
      </c>
      <c r="C5" s="92" t="s">
        <v>26</v>
      </c>
      <c r="D5" s="124" t="s">
        <v>36</v>
      </c>
      <c r="E5" s="123" t="s">
        <v>37</v>
      </c>
      <c r="F5" s="92"/>
      <c r="G5" s="33"/>
      <c r="H5" s="33"/>
      <c r="I5" s="33"/>
      <c r="J5" s="89"/>
      <c r="K5" s="121" t="s">
        <v>999</v>
      </c>
      <c r="L5" s="121" t="s">
        <v>999</v>
      </c>
      <c r="M5" s="121" t="s">
        <v>999</v>
      </c>
      <c r="N5" s="125"/>
      <c r="O5" s="121"/>
      <c r="Q5" s="91" t="s">
        <v>13</v>
      </c>
      <c r="R5" s="91" t="s">
        <v>1</v>
      </c>
      <c r="S5" s="91" t="s">
        <v>2</v>
      </c>
      <c r="T5" s="126" t="s">
        <v>20</v>
      </c>
      <c r="U5" s="126" t="s">
        <v>21</v>
      </c>
      <c r="V5" s="126" t="s">
        <v>22</v>
      </c>
      <c r="W5" s="126" t="s">
        <v>23</v>
      </c>
      <c r="X5" s="126" t="s">
        <v>24</v>
      </c>
      <c r="Y5" s="5"/>
    </row>
    <row r="6" spans="1:27" s="134" customFormat="1" ht="19.5" customHeight="1" thickBot="1">
      <c r="B6" s="127" t="s">
        <v>269</v>
      </c>
      <c r="C6" s="127"/>
      <c r="D6" s="127"/>
      <c r="E6" s="128"/>
      <c r="F6" s="130" t="str">
        <f>General!$B$5</f>
        <v>GW</v>
      </c>
      <c r="G6" s="34"/>
      <c r="H6" s="34"/>
      <c r="I6" s="34" t="s">
        <v>941</v>
      </c>
      <c r="J6" s="171" t="s">
        <v>378</v>
      </c>
      <c r="K6" s="197" t="str">
        <f>General!$B$2</f>
        <v>PJ</v>
      </c>
      <c r="L6" s="197" t="str">
        <f>General!$B$2</f>
        <v>PJ</v>
      </c>
      <c r="M6" s="130" t="str">
        <f>General!$B$2</f>
        <v>PJ</v>
      </c>
      <c r="N6" s="146"/>
      <c r="O6" s="130"/>
      <c r="Q6" s="131" t="s">
        <v>44</v>
      </c>
      <c r="R6" s="131" t="s">
        <v>25</v>
      </c>
      <c r="S6" s="131" t="s">
        <v>26</v>
      </c>
      <c r="T6" s="110" t="s">
        <v>27</v>
      </c>
      <c r="U6" s="110" t="s">
        <v>28</v>
      </c>
      <c r="V6" s="110" t="s">
        <v>48</v>
      </c>
      <c r="W6" s="110" t="s">
        <v>47</v>
      </c>
      <c r="X6" s="110" t="s">
        <v>29</v>
      </c>
      <c r="Y6" s="172"/>
    </row>
    <row r="7" spans="1:27" ht="15" customHeight="1">
      <c r="B7" s="51" t="str">
        <f>R7</f>
        <v>RSD_DTA1_SH_BIC_E01</v>
      </c>
      <c r="C7" s="51" t="str">
        <f t="shared" ref="C7:C14" si="0">S7</f>
        <v>Detached A1 SpHeat Coal Stove (E)</v>
      </c>
      <c r="D7" s="51" t="str">
        <f>Commodities!$D$31</f>
        <v>RSDCOABIC</v>
      </c>
      <c r="E7" s="135" t="str">
        <f>Commodities!$AA$15</f>
        <v>RSD_DTA1_SH</v>
      </c>
      <c r="F7" s="228">
        <f>($J7*VLOOKUP(LEFT($B7,8),RSD_Stock!$H$21:$L$28,F$2,FALSE)*VLOOKUP($B7,RSD_Demands!$C$94:$E$157,F$2,FALSE)/1000)*Stk_Mult</f>
        <v>0</v>
      </c>
      <c r="G7" s="229"/>
      <c r="H7" s="229"/>
      <c r="I7" s="34" t="s">
        <v>939</v>
      </c>
      <c r="J7" s="202">
        <v>10</v>
      </c>
      <c r="K7" s="230">
        <f t="shared" ref="K7:K38" si="1">F7*F147*F218</f>
        <v>0</v>
      </c>
      <c r="L7" s="230">
        <f t="shared" ref="L7:L38" si="2">F7*F147*F218/F77</f>
        <v>0</v>
      </c>
      <c r="M7" s="231">
        <f>VLOOKUP(LEFT($B7,11),RSD_En_Balance!$C$109:$R$190,MATCH($D7,RSD_En_Balance!$D$109:$R$109,0)+1,FALSE)</f>
        <v>0</v>
      </c>
      <c r="N7" s="175">
        <f t="shared" ref="N7:N38" si="3">SUM(L7:L7)-SUM(M7:M7)</f>
        <v>0</v>
      </c>
      <c r="O7" s="232">
        <f>SUM(K7:K14)/RSD_Stock!$E$21</f>
        <v>7.5107674848589073E-2</v>
      </c>
      <c r="Q7" s="5" t="s">
        <v>270</v>
      </c>
      <c r="R7" s="5" t="str">
        <f>Commodities!$AA$15&amp;"_"&amp;RIGHT(Commodities!$D$31,3)&amp;"_"&amp;$R$3&amp;"01"</f>
        <v>RSD_DTA1_SH_BIC_E01</v>
      </c>
      <c r="S7" s="5" t="s">
        <v>727</v>
      </c>
      <c r="T7" s="85" t="str">
        <f>General!$B$2</f>
        <v>PJ</v>
      </c>
      <c r="U7" s="85" t="str">
        <f>General!$B$5</f>
        <v>GW</v>
      </c>
      <c r="V7" s="85" t="s">
        <v>125</v>
      </c>
      <c r="W7" s="85"/>
      <c r="X7" s="85"/>
      <c r="Y7" s="5"/>
    </row>
    <row r="8" spans="1:27" ht="13.8">
      <c r="B8" s="51" t="str">
        <f>R8</f>
        <v>RSD_DTA1_SH_HFO_E01</v>
      </c>
      <c r="C8" s="51" t="str">
        <f>S8</f>
        <v>Detached A1 SpHeat Fuel Oil boiler (E)</v>
      </c>
      <c r="D8" s="51" t="str">
        <f>Commodities!$D$36</f>
        <v>RSDOILHFO</v>
      </c>
      <c r="E8" s="138" t="str">
        <f>Commodities!$AA$15</f>
        <v>RSD_DTA1_SH</v>
      </c>
      <c r="F8" s="228">
        <f>($J8*VLOOKUP(LEFT($B8,8),RSD_Stock!$H$21:$L$28,F$2,FALSE)*VLOOKUP($B8,RSD_Demands!$C$94:$E$157,F$2,FALSE)/1000)*Stk_Mult</f>
        <v>3.193463910222726</v>
      </c>
      <c r="G8" s="229"/>
      <c r="H8" s="229"/>
      <c r="I8" s="34"/>
      <c r="J8" s="202">
        <v>10</v>
      </c>
      <c r="K8" s="230">
        <f t="shared" si="1"/>
        <v>22.451715000000007</v>
      </c>
      <c r="L8" s="230">
        <f t="shared" si="2"/>
        <v>40.821300000000008</v>
      </c>
      <c r="M8" s="231">
        <f>VLOOKUP(LEFT($B8,11),RSD_En_Balance!$C$109:$R$190,MATCH($D8,RSD_En_Balance!$D$109:$R$109,0)+1,FALSE)</f>
        <v>40.821300000000008</v>
      </c>
      <c r="N8" s="175">
        <f t="shared" si="3"/>
        <v>0</v>
      </c>
      <c r="O8" s="232"/>
      <c r="Q8" s="5"/>
      <c r="R8" s="5" t="str">
        <f>Commodities!$AA$15&amp;"_"&amp;RIGHT(Commodities!$D$36,3)&amp;"_"&amp;$R$3&amp;"01"</f>
        <v>RSD_DTA1_SH_HFO_E01</v>
      </c>
      <c r="S8" s="5" t="s">
        <v>1006</v>
      </c>
      <c r="T8" s="85" t="str">
        <f>General!$B$2</f>
        <v>PJ</v>
      </c>
      <c r="U8" s="85" t="str">
        <f>General!$B$5</f>
        <v>GW</v>
      </c>
      <c r="V8" s="85" t="s">
        <v>125</v>
      </c>
      <c r="W8" s="85"/>
      <c r="X8" s="85"/>
      <c r="Y8" s="5"/>
    </row>
    <row r="9" spans="1:27" ht="15.75" customHeight="1">
      <c r="B9" s="51" t="str">
        <f>R9</f>
        <v>RSD_DTA1_SH_GAS_E01</v>
      </c>
      <c r="C9" s="51" t="str">
        <f t="shared" si="0"/>
        <v>Detached A1 SpHeat Gas Boiler (E)</v>
      </c>
      <c r="D9" s="51" t="str">
        <f>Commodities!$D$37</f>
        <v>RSDGASNAT</v>
      </c>
      <c r="E9" s="138" t="str">
        <f>Commodities!$AA$15</f>
        <v>RSD_DTA1_SH</v>
      </c>
      <c r="F9" s="228">
        <f>($J9*VLOOKUP(LEFT($B9,8),RSD_Stock!$H$21:$L$28,F$2,FALSE)*VLOOKUP($B9,RSD_Demands!$C$94:$E$157,F$2,FALSE)/1000)*Stk_Mult</f>
        <v>0.53574533162176508</v>
      </c>
      <c r="G9" s="229"/>
      <c r="H9" s="229"/>
      <c r="I9" s="34"/>
      <c r="J9" s="202">
        <v>10</v>
      </c>
      <c r="K9" s="230">
        <f t="shared" si="1"/>
        <v>5.1362301690000001</v>
      </c>
      <c r="L9" s="230">
        <f t="shared" si="2"/>
        <v>6.8483068920000001</v>
      </c>
      <c r="M9" s="231">
        <f>VLOOKUP(LEFT($B9,11),RSD_En_Balance!$C$109:$R$190,MATCH($D9,RSD_En_Balance!$D$109:$R$109,0)+1,FALSE)</f>
        <v>6.8483068920000001</v>
      </c>
      <c r="N9" s="175">
        <f t="shared" si="3"/>
        <v>0</v>
      </c>
      <c r="O9" s="232"/>
      <c r="Q9" s="8"/>
      <c r="R9" s="5" t="str">
        <f>Commodities!$AA$15&amp;"_"&amp;LEFT(RIGHT(Commodities!$D$37,6),3)&amp;"_"&amp;$R$3&amp;"01"</f>
        <v>RSD_DTA1_SH_GAS_E01</v>
      </c>
      <c r="S9" s="5" t="s">
        <v>728</v>
      </c>
      <c r="T9" s="85" t="str">
        <f>General!$B$2</f>
        <v>PJ</v>
      </c>
      <c r="U9" s="85" t="str">
        <f>General!$B$5</f>
        <v>GW</v>
      </c>
      <c r="V9" s="11" t="s">
        <v>125</v>
      </c>
      <c r="W9" s="11"/>
      <c r="X9" s="11"/>
      <c r="Y9" s="5"/>
    </row>
    <row r="10" spans="1:27" ht="13.8">
      <c r="B10" s="51" t="str">
        <f>R10</f>
        <v>RSD_DTA1_SH_LTH_E01</v>
      </c>
      <c r="C10" s="51" t="str">
        <f t="shared" si="0"/>
        <v>Detached A1 SpHeat Dist. Heat (E)</v>
      </c>
      <c r="D10" s="41" t="str">
        <f>Commodities!$D$54</f>
        <v>RSDLTHA1</v>
      </c>
      <c r="E10" s="138" t="str">
        <f>Commodities!$AA$15</f>
        <v>RSD_DTA1_SH</v>
      </c>
      <c r="F10" s="228">
        <f>($J10*VLOOKUP(LEFT($B10,8),RSD_Stock!$H$21:$L$28,F$2,FALSE)*VLOOKUP($B10,RSD_Demands!$C$94:$E$157,F$2,FALSE)/1000)*Stk_Mult</f>
        <v>0</v>
      </c>
      <c r="G10" s="229"/>
      <c r="H10" s="229"/>
      <c r="I10" s="34"/>
      <c r="J10" s="202">
        <v>10</v>
      </c>
      <c r="K10" s="230">
        <f t="shared" si="1"/>
        <v>0</v>
      </c>
      <c r="L10" s="230">
        <f t="shared" si="2"/>
        <v>0</v>
      </c>
      <c r="M10" s="231">
        <f>VLOOKUP(LEFT($B10,11),RSD_En_Balance!$C$109:$R$190,MATCH("RSDLTH",RSD_En_Balance!$D$109:$R$109,0)+1,FALSE)</f>
        <v>0</v>
      </c>
      <c r="N10" s="175">
        <f t="shared" si="3"/>
        <v>0</v>
      </c>
      <c r="O10" s="232"/>
      <c r="Q10" s="8"/>
      <c r="R10" s="5" t="str">
        <f>Commodities!$AA$15&amp;"_"&amp;RIGHT(Commodities!$D$50,3)&amp;"_"&amp;$R$3&amp;"01"</f>
        <v>RSD_DTA1_SH_LTH_E01</v>
      </c>
      <c r="S10" s="5" t="s">
        <v>729</v>
      </c>
      <c r="T10" s="85" t="str">
        <f>General!$B$2</f>
        <v>PJ</v>
      </c>
      <c r="U10" s="85" t="str">
        <f>General!$B$5</f>
        <v>GW</v>
      </c>
      <c r="V10" s="11" t="s">
        <v>125</v>
      </c>
      <c r="W10" s="11"/>
      <c r="X10" s="11"/>
      <c r="Y10" s="5"/>
    </row>
    <row r="11" spans="1:27" ht="13.8">
      <c r="B11" s="51" t="str">
        <f t="shared" ref="B11:B22" si="4">R11</f>
        <v>RSD_DTA1_SH_LOG_E01</v>
      </c>
      <c r="C11" s="51" t="str">
        <f t="shared" si="0"/>
        <v>Detached A1 SpHeat Wood Stove-Boiler (E)</v>
      </c>
      <c r="D11" s="51" t="str">
        <f>Commodities!$D$38</f>
        <v>RSDBIOLOG</v>
      </c>
      <c r="E11" s="138" t="str">
        <f>Commodities!$AA$15</f>
        <v>RSD_DTA1_SH</v>
      </c>
      <c r="F11" s="228">
        <f>($J11*VLOOKUP(LEFT($B11,8),RSD_Stock!$H$21:$L$28,F$2,FALSE)*VLOOKUP($B11,RSD_Demands!$C$94:$E$157,F$2,FALSE)/1000)*Stk_Mult</f>
        <v>1.7195574901199294E-2</v>
      </c>
      <c r="G11" s="229"/>
      <c r="H11" s="229"/>
      <c r="I11" s="34"/>
      <c r="J11" s="202">
        <v>10</v>
      </c>
      <c r="K11" s="230">
        <f>F11*F151*F222</f>
        <v>0.10990350000000002</v>
      </c>
      <c r="L11" s="230">
        <f t="shared" si="2"/>
        <v>0.21980700000000003</v>
      </c>
      <c r="M11" s="231">
        <f>VLOOKUP(LEFT($B11,11),RSD_En_Balance!$C$109:$R$190,MATCH($D11,RSD_En_Balance!$D$109:$R$109,0)+1,FALSE)*RSD_Demands!$G$94</f>
        <v>0.21980700000000003</v>
      </c>
      <c r="N11" s="175">
        <f t="shared" si="3"/>
        <v>0</v>
      </c>
      <c r="O11" s="232"/>
      <c r="Q11" s="8"/>
      <c r="R11" s="5" t="str">
        <f>Commodities!$AA$15&amp;"_"&amp;RIGHT(Commodities!$D$38,3)&amp;"_"&amp;$R$3&amp;"01"</f>
        <v>RSD_DTA1_SH_LOG_E01</v>
      </c>
      <c r="S11" s="5" t="s">
        <v>945</v>
      </c>
      <c r="T11" s="85" t="str">
        <f>General!$B$2</f>
        <v>PJ</v>
      </c>
      <c r="U11" s="85" t="str">
        <f>General!$B$5</f>
        <v>GW</v>
      </c>
      <c r="V11" s="11" t="s">
        <v>125</v>
      </c>
      <c r="W11" s="11"/>
      <c r="X11" s="11"/>
      <c r="Y11" s="5"/>
    </row>
    <row r="12" spans="1:27" ht="13.8">
      <c r="B12" s="51" t="str">
        <f t="shared" si="4"/>
        <v>RSD_DTA1_SH_DSL_E01</v>
      </c>
      <c r="C12" s="51" t="str">
        <f t="shared" si="0"/>
        <v>Detached A1 SpHeat DieselOil Boiler (E)</v>
      </c>
      <c r="D12" s="51" t="str">
        <f>Commodities!$D$34</f>
        <v>RSDOILDSL</v>
      </c>
      <c r="E12" s="138" t="str">
        <f>Commodities!$AA$15</f>
        <v>RSD_DTA1_SH</v>
      </c>
      <c r="F12" s="228">
        <f>($J12*VLOOKUP(LEFT($B12,8),RSD_Stock!$H$21:$L$28,F$2,FALSE)*VLOOKUP($B12,RSD_Demands!$C$94:$E$157,F$2,FALSE)/1000)*Stk_Mult</f>
        <v>2.5793362351798934</v>
      </c>
      <c r="G12" s="229"/>
      <c r="H12" s="229"/>
      <c r="I12" s="34"/>
      <c r="J12" s="202">
        <v>10</v>
      </c>
      <c r="K12" s="230">
        <f t="shared" si="1"/>
        <v>19.782629999999997</v>
      </c>
      <c r="L12" s="230">
        <f t="shared" si="2"/>
        <v>32.971049999999998</v>
      </c>
      <c r="M12" s="231">
        <f>VLOOKUP(LEFT($B12,11),RSD_En_Balance!$C$109:$R$190,MATCH($D12,RSD_En_Balance!$D$109:$R$109,0)+1,FALSE)</f>
        <v>32.971049999999998</v>
      </c>
      <c r="N12" s="175">
        <f t="shared" si="3"/>
        <v>0</v>
      </c>
      <c r="O12" s="232"/>
      <c r="Q12" s="8"/>
      <c r="R12" s="5" t="str">
        <f>Commodities!$AA$15&amp;"_"&amp;RIGHT(Commodities!$D$34,3)&amp;"_"&amp;$R$3&amp;"01"</f>
        <v>RSD_DTA1_SH_DSL_E01</v>
      </c>
      <c r="S12" s="5" t="s">
        <v>944</v>
      </c>
      <c r="T12" s="85" t="str">
        <f>General!$B$2</f>
        <v>PJ</v>
      </c>
      <c r="U12" s="85" t="str">
        <f>General!$B$5</f>
        <v>GW</v>
      </c>
      <c r="V12" s="11" t="s">
        <v>125</v>
      </c>
      <c r="W12" s="11"/>
      <c r="X12" s="11"/>
      <c r="Y12" s="5"/>
    </row>
    <row r="13" spans="1:27" ht="13.8">
      <c r="B13" s="51" t="str">
        <f t="shared" si="4"/>
        <v>RSD_DTA1_SH_ELC_E01</v>
      </c>
      <c r="C13" s="51" t="str">
        <f t="shared" si="0"/>
        <v>Detached A1 SpHeat Electric Heater (E)</v>
      </c>
      <c r="D13" s="41" t="str">
        <f>Commodities!$D$48</f>
        <v>RSDELC</v>
      </c>
      <c r="E13" s="138" t="str">
        <f>Commodities!$AA$15</f>
        <v>RSD_DTA1_SH</v>
      </c>
      <c r="F13" s="228">
        <f>($J13*VLOOKUP(LEFT($B13,8),RSD_Stock!$H$21:$L$28,F$2,FALSE)*VLOOKUP($B13,RSD_Demands!$C$94:$E$157,F$2,FALSE)/1000)*Stk_Mult</f>
        <v>4.6109688446495871E-2</v>
      </c>
      <c r="G13" s="229"/>
      <c r="H13" s="229"/>
      <c r="I13" s="34"/>
      <c r="J13" s="202">
        <v>1.5</v>
      </c>
      <c r="K13" s="230">
        <f t="shared" si="1"/>
        <v>8.8411399559999992E-2</v>
      </c>
      <c r="L13" s="230">
        <f t="shared" si="2"/>
        <v>9.8234888399999984E-2</v>
      </c>
      <c r="M13" s="231">
        <f>VLOOKUP(LEFT($B13,11),RSD_En_Balance!$C$109:$R$190,MATCH($D13,RSD_En_Balance!$D$109:$R$109,0)+1,FALSE)</f>
        <v>9.8234888399999984E-2</v>
      </c>
      <c r="N13" s="175">
        <f t="shared" si="3"/>
        <v>0</v>
      </c>
      <c r="O13" s="232"/>
      <c r="Q13" s="8"/>
      <c r="R13" s="5" t="str">
        <f>Commodities!$AA$15&amp;"_"&amp;RIGHT(Commodities!$D$48,3)&amp;"_"&amp;$R$3&amp;"01"</f>
        <v>RSD_DTA1_SH_ELC_E01</v>
      </c>
      <c r="S13" s="5" t="s">
        <v>730</v>
      </c>
      <c r="T13" s="85" t="str">
        <f>General!$B$2</f>
        <v>PJ</v>
      </c>
      <c r="U13" s="85" t="str">
        <f>General!$B$5</f>
        <v>GW</v>
      </c>
      <c r="V13" s="11" t="s">
        <v>125</v>
      </c>
      <c r="W13" s="11"/>
      <c r="X13" s="11"/>
      <c r="Y13" s="5"/>
    </row>
    <row r="14" spans="1:27" ht="13.8">
      <c r="B14" s="152" t="str">
        <f t="shared" si="4"/>
        <v>RSD_DTA1_SH_LPG_E01</v>
      </c>
      <c r="C14" s="152" t="str">
        <f t="shared" si="0"/>
        <v>Detached A1 SpHeat LPG Boiler (E)</v>
      </c>
      <c r="D14" s="152" t="str">
        <f>Commodities!$D$35</f>
        <v>RSDOILLPG</v>
      </c>
      <c r="E14" s="153" t="str">
        <f>Commodities!$AA$15</f>
        <v>RSD_DTA1_SH</v>
      </c>
      <c r="F14" s="233">
        <f>($J14*VLOOKUP(LEFT($B14,8),RSD_Stock!$H$21:$L$28,F$2,FALSE)*VLOOKUP($B14,RSD_Demands!$C$94:$E$157,F$2,FALSE)/1000)*Stk_Mult</f>
        <v>0</v>
      </c>
      <c r="G14" s="229"/>
      <c r="H14" s="229"/>
      <c r="I14" s="34"/>
      <c r="J14" s="234">
        <v>10</v>
      </c>
      <c r="K14" s="235">
        <f t="shared" si="1"/>
        <v>0</v>
      </c>
      <c r="L14" s="235">
        <f t="shared" si="2"/>
        <v>0</v>
      </c>
      <c r="M14" s="236">
        <f>VLOOKUP(LEFT($B14,11),RSD_En_Balance!$C$109:$R$190,MATCH($D14,RSD_En_Balance!$D$109:$R$109,0)+1,FALSE)</f>
        <v>0</v>
      </c>
      <c r="N14" s="178">
        <f t="shared" si="3"/>
        <v>0</v>
      </c>
      <c r="O14" s="237"/>
      <c r="Q14" s="100"/>
      <c r="R14" s="100" t="str">
        <f>Commodities!$AA$15&amp;"_"&amp;RIGHT(Commodities!$D$35,3)&amp;"_"&amp;$R$3&amp;"01"</f>
        <v>RSD_DTA1_SH_LPG_E01</v>
      </c>
      <c r="S14" s="100" t="s">
        <v>731</v>
      </c>
      <c r="T14" s="101" t="str">
        <f>General!$B$2</f>
        <v>PJ</v>
      </c>
      <c r="U14" s="101" t="str">
        <f>General!$B$5</f>
        <v>GW</v>
      </c>
      <c r="V14" s="101" t="s">
        <v>125</v>
      </c>
      <c r="W14" s="101"/>
      <c r="X14" s="101"/>
      <c r="Y14" s="100"/>
    </row>
    <row r="15" spans="1:27" ht="13.8">
      <c r="B15" s="51" t="str">
        <f t="shared" si="4"/>
        <v>RSD_APA1_SH_BIC_E01</v>
      </c>
      <c r="C15" s="51" t="str">
        <f t="shared" ref="C15:C38" si="5">S15</f>
        <v>Apartment A1 SpHeat Coal Stove (E)</v>
      </c>
      <c r="D15" s="51" t="str">
        <f>Commodities!$D$31</f>
        <v>RSDCOABIC</v>
      </c>
      <c r="E15" s="138" t="str">
        <f>Commodities!$AA$16</f>
        <v>RSD_APA1_SH</v>
      </c>
      <c r="F15" s="228">
        <f>($J15*VLOOKUP(LEFT($B15,8),RSD_Stock!$H$22:$L$28,F$2,FALSE)*VLOOKUP($B15,RSD_Demands!$C$94:$E$157,F$2,FALSE)/1000)*Stk_Mult</f>
        <v>0</v>
      </c>
      <c r="G15" s="229"/>
      <c r="H15" s="229"/>
      <c r="I15" s="34" t="s">
        <v>940</v>
      </c>
      <c r="J15" s="238">
        <f>ROUNDUP(J7/3,1)</f>
        <v>3.4</v>
      </c>
      <c r="K15" s="239">
        <f t="shared" si="1"/>
        <v>0</v>
      </c>
      <c r="L15" s="230">
        <f t="shared" si="2"/>
        <v>0</v>
      </c>
      <c r="M15" s="231">
        <f>VLOOKUP(LEFT($B15,11),RSD_En_Balance!$C$109:$R$190,MATCH($D15,RSD_En_Balance!$D$109:$R$109,0)+1,FALSE)</f>
        <v>0</v>
      </c>
      <c r="N15" s="175">
        <f t="shared" si="3"/>
        <v>0</v>
      </c>
      <c r="O15" s="232">
        <f>SUM(K15:K22)/RSD_Stock!$E$22</f>
        <v>5.8382141054673507E-2</v>
      </c>
      <c r="Q15" s="5"/>
      <c r="R15" s="5" t="str">
        <f>Commodities!$AA$16&amp;"_"&amp;RIGHT(Commodities!$D$31,3)&amp;"_"&amp;$R$3&amp;"01"</f>
        <v>RSD_APA1_SH_BIC_E01</v>
      </c>
      <c r="S15" s="5" t="s">
        <v>742</v>
      </c>
      <c r="T15" s="85" t="str">
        <f>General!$B$2</f>
        <v>PJ</v>
      </c>
      <c r="U15" s="85" t="str">
        <f>General!$B$5</f>
        <v>GW</v>
      </c>
      <c r="V15" s="85" t="s">
        <v>125</v>
      </c>
      <c r="W15" s="85"/>
      <c r="X15" s="85"/>
      <c r="Y15" s="5"/>
    </row>
    <row r="16" spans="1:27" ht="13.8">
      <c r="B16" s="51" t="str">
        <f t="shared" si="4"/>
        <v>RSD_APA1_SH_HFO_E01</v>
      </c>
      <c r="C16" s="51" t="str">
        <f t="shared" si="5"/>
        <v>Apartment A1 SpHeat Fuel Oil boiler (E)</v>
      </c>
      <c r="D16" s="41" t="str">
        <f>Commodities!$D$36</f>
        <v>RSDOILHFO</v>
      </c>
      <c r="E16" s="138" t="str">
        <f>Commodities!$AA$16</f>
        <v>RSD_APA1_SH</v>
      </c>
      <c r="F16" s="228">
        <f>($J16*VLOOKUP(LEFT($B16,8),RSD_Stock!$H$22:$L$28,F$2,FALSE)*VLOOKUP($B16,RSD_Demands!$C$94:$E$157,F$2,FALSE)/1000)*Stk_Mult</f>
        <v>0</v>
      </c>
      <c r="G16" s="229"/>
      <c r="H16" s="229"/>
      <c r="I16" s="34"/>
      <c r="J16" s="238">
        <f t="shared" ref="J16:J22" si="6">ROUNDUP(J8/3,1)</f>
        <v>3.4</v>
      </c>
      <c r="K16" s="239">
        <f t="shared" si="1"/>
        <v>0</v>
      </c>
      <c r="L16" s="230">
        <f t="shared" si="2"/>
        <v>0</v>
      </c>
      <c r="M16" s="231">
        <f>VLOOKUP(LEFT($B16,11),RSD_En_Balance!$C$109:$R$190,MATCH($D16,RSD_En_Balance!$D$109:$R$109,0)+1,FALSE)</f>
        <v>0</v>
      </c>
      <c r="N16" s="175">
        <f t="shared" si="3"/>
        <v>0</v>
      </c>
      <c r="O16" s="232"/>
      <c r="Q16" s="5"/>
      <c r="R16" s="5" t="str">
        <f>Commodities!$AA$16&amp;"_"&amp;RIGHT(Commodities!$D$36,3)&amp;"_"&amp;$R$3&amp;"01"</f>
        <v>RSD_APA1_SH_HFO_E01</v>
      </c>
      <c r="S16" s="5" t="s">
        <v>1009</v>
      </c>
      <c r="T16" s="85" t="str">
        <f>General!$B$2</f>
        <v>PJ</v>
      </c>
      <c r="U16" s="85" t="str">
        <f>General!$B$5</f>
        <v>GW</v>
      </c>
      <c r="V16" s="85" t="s">
        <v>125</v>
      </c>
      <c r="W16" s="85"/>
      <c r="X16" s="85"/>
      <c r="Y16" s="5"/>
    </row>
    <row r="17" spans="2:25" ht="13.8">
      <c r="B17" s="51" t="str">
        <f t="shared" si="4"/>
        <v>RSD_APA1_SH_GAS_E01</v>
      </c>
      <c r="C17" s="51" t="str">
        <f t="shared" si="5"/>
        <v>Apartment A1 SpHeat Gas Boiler (E)</v>
      </c>
      <c r="D17" s="41" t="str">
        <f>Commodities!$D$37</f>
        <v>RSDGASNAT</v>
      </c>
      <c r="E17" s="138" t="str">
        <f>Commodities!$AA$16</f>
        <v>RSD_APA1_SH</v>
      </c>
      <c r="F17" s="228">
        <f>($J17*VLOOKUP(LEFT($B17,8),RSD_Stock!$H$22:$L$28,F$2,FALSE)*VLOOKUP($B17,RSD_Demands!$C$94:$E$157,F$2,FALSE)/1000)*Stk_Mult</f>
        <v>1.9515366164618222</v>
      </c>
      <c r="G17" s="229"/>
      <c r="H17" s="229"/>
      <c r="I17" s="34"/>
      <c r="J17" s="238">
        <f t="shared" si="6"/>
        <v>3.4</v>
      </c>
      <c r="K17" s="239">
        <f t="shared" si="1"/>
        <v>33.018622515000004</v>
      </c>
      <c r="L17" s="230">
        <f t="shared" si="2"/>
        <v>44.024830020000003</v>
      </c>
      <c r="M17" s="231">
        <f>VLOOKUP(LEFT($B17,11),RSD_En_Balance!$C$109:$R$190,MATCH($D17,RSD_En_Balance!$D$109:$R$109,0)+1,FALSE)</f>
        <v>44.024830020000003</v>
      </c>
      <c r="N17" s="175">
        <f t="shared" si="3"/>
        <v>0</v>
      </c>
      <c r="O17" s="232"/>
      <c r="Q17" s="8"/>
      <c r="R17" s="5" t="str">
        <f>Commodities!$AA$16&amp;"_"&amp;LEFT(RIGHT(Commodities!$D$37,6),3)&amp;"_"&amp;$R$3&amp;"01"</f>
        <v>RSD_APA1_SH_GAS_E01</v>
      </c>
      <c r="S17" s="5" t="s">
        <v>743</v>
      </c>
      <c r="T17" s="85" t="str">
        <f>General!$B$2</f>
        <v>PJ</v>
      </c>
      <c r="U17" s="85" t="str">
        <f>General!$B$5</f>
        <v>GW</v>
      </c>
      <c r="V17" s="11" t="s">
        <v>125</v>
      </c>
      <c r="W17" s="11"/>
      <c r="X17" s="11"/>
      <c r="Y17" s="5"/>
    </row>
    <row r="18" spans="2:25" ht="13.8">
      <c r="B18" s="51" t="str">
        <f t="shared" si="4"/>
        <v>RSD_APA1_SH_LTH_E01</v>
      </c>
      <c r="C18" s="51" t="str">
        <f t="shared" si="5"/>
        <v>Apartment A1 SpHeat Dist. Heat (E)</v>
      </c>
      <c r="D18" s="51" t="str">
        <f>Commodities!$D$54</f>
        <v>RSDLTHA1</v>
      </c>
      <c r="E18" s="138" t="str">
        <f>Commodities!$AA$16</f>
        <v>RSD_APA1_SH</v>
      </c>
      <c r="F18" s="228">
        <f>($J18*VLOOKUP(LEFT($B18,8),RSD_Stock!$H$22:$L$28,F$2,FALSE)*VLOOKUP($B18,RSD_Demands!$C$94:$E$157,F$2,FALSE)/1000)*Stk_Mult</f>
        <v>0.24533054353817785</v>
      </c>
      <c r="G18" s="229"/>
      <c r="H18" s="229"/>
      <c r="I18" s="34"/>
      <c r="J18" s="238">
        <f t="shared" si="6"/>
        <v>3.4</v>
      </c>
      <c r="K18" s="239">
        <f t="shared" si="1"/>
        <v>4.7042623124999992</v>
      </c>
      <c r="L18" s="230">
        <f t="shared" si="2"/>
        <v>5.5344262499999992</v>
      </c>
      <c r="M18" s="231">
        <f>VLOOKUP(LEFT($B18,11),RSD_En_Balance!$C$109:$R$190,MATCH("RSDLTH",RSD_En_Balance!$D$109:$R$109,0)+1,FALSE)</f>
        <v>5.5344262499999992</v>
      </c>
      <c r="N18" s="175">
        <f t="shared" si="3"/>
        <v>0</v>
      </c>
      <c r="O18" s="232"/>
      <c r="Q18" s="8"/>
      <c r="R18" s="5" t="str">
        <f>Commodities!$AA$16&amp;"_"&amp;RIGHT(Commodities!$D$50,3)&amp;"_"&amp;$R$3&amp;"01"</f>
        <v>RSD_APA1_SH_LTH_E01</v>
      </c>
      <c r="S18" s="5" t="s">
        <v>744</v>
      </c>
      <c r="T18" s="85" t="str">
        <f>General!$B$2</f>
        <v>PJ</v>
      </c>
      <c r="U18" s="85" t="str">
        <f>General!$B$5</f>
        <v>GW</v>
      </c>
      <c r="V18" s="11" t="s">
        <v>125</v>
      </c>
      <c r="W18" s="11"/>
      <c r="X18" s="11"/>
      <c r="Y18" s="5"/>
    </row>
    <row r="19" spans="2:25" ht="13.8">
      <c r="B19" s="51" t="str">
        <f t="shared" si="4"/>
        <v>RSD_APA1_SH_LOG_E01</v>
      </c>
      <c r="C19" s="51" t="str">
        <f>S19</f>
        <v>Apartment A1 SpHeat  Wood Stove-Boiler €</v>
      </c>
      <c r="D19" s="41" t="str">
        <f>Commodities!$D$38</f>
        <v>RSDBIOLOG</v>
      </c>
      <c r="E19" s="138" t="str">
        <f>Commodities!$AA$16</f>
        <v>RSD_APA1_SH</v>
      </c>
      <c r="F19" s="228">
        <f>($J19*VLOOKUP(LEFT($B19,8),RSD_Stock!$H$22:$L$28,F$2,FALSE)*VLOOKUP($B19,RSD_Demands!$C$94:$E$157,F$2,FALSE)/1000)*Stk_Mult</f>
        <v>0</v>
      </c>
      <c r="G19" s="229"/>
      <c r="H19" s="229"/>
      <c r="I19" s="34"/>
      <c r="J19" s="238">
        <f t="shared" si="6"/>
        <v>3.4</v>
      </c>
      <c r="K19" s="239">
        <f t="shared" si="1"/>
        <v>0</v>
      </c>
      <c r="L19" s="230">
        <f t="shared" si="2"/>
        <v>0</v>
      </c>
      <c r="M19" s="231">
        <f>VLOOKUP(LEFT($B19,11),RSD_En_Balance!$C$109:$R$190,MATCH($D19,RSD_En_Balance!$D$109:$R$109,0)+1,FALSE)*RSD_Demands!$G$94</f>
        <v>0</v>
      </c>
      <c r="N19" s="240">
        <f t="shared" si="3"/>
        <v>0</v>
      </c>
      <c r="O19" s="232"/>
      <c r="Q19" s="8"/>
      <c r="R19" s="5" t="str">
        <f>Commodities!$AA$16&amp;"_"&amp;RIGHT(Commodities!$D$38,3)&amp;"_"&amp;$R$3&amp;"01"</f>
        <v>RSD_APA1_SH_LOG_E01</v>
      </c>
      <c r="S19" s="5" t="s">
        <v>947</v>
      </c>
      <c r="T19" s="85" t="str">
        <f>General!$B$2</f>
        <v>PJ</v>
      </c>
      <c r="U19" s="85" t="str">
        <f>General!$B$5</f>
        <v>GW</v>
      </c>
      <c r="V19" s="11" t="s">
        <v>125</v>
      </c>
      <c r="W19" s="11"/>
      <c r="X19" s="11"/>
      <c r="Y19" s="5"/>
    </row>
    <row r="20" spans="2:25" ht="13.8">
      <c r="B20" s="51" t="str">
        <f t="shared" si="4"/>
        <v>RSD_APA1_SH_DSL_E01</v>
      </c>
      <c r="C20" s="51" t="str">
        <f t="shared" si="5"/>
        <v>Apartment A1 SpHeat DieselOil Boiler €</v>
      </c>
      <c r="D20" s="41" t="str">
        <f>Commodities!$D$34</f>
        <v>RSDOILDSL</v>
      </c>
      <c r="E20" s="138" t="str">
        <f>Commodities!$AA$16</f>
        <v>RSD_APA1_SH</v>
      </c>
      <c r="F20" s="228">
        <f>($J20*VLOOKUP(LEFT($B20,8),RSD_Stock!$H$22:$L$28,F$2,FALSE)*VLOOKUP($B20,RSD_Demands!$C$94:$E$157,F$2,FALSE)/1000)*Stk_Mult</f>
        <v>0</v>
      </c>
      <c r="G20" s="229"/>
      <c r="H20" s="229"/>
      <c r="I20" s="34"/>
      <c r="J20" s="238">
        <f t="shared" si="6"/>
        <v>3.4</v>
      </c>
      <c r="K20" s="239">
        <f t="shared" si="1"/>
        <v>0</v>
      </c>
      <c r="L20" s="230">
        <f t="shared" si="2"/>
        <v>0</v>
      </c>
      <c r="M20" s="231">
        <f>VLOOKUP(LEFT($B20,11),RSD_En_Balance!$C$109:$R$190,MATCH($D20,RSD_En_Balance!$D$109:$R$109,0)+1,FALSE)</f>
        <v>0</v>
      </c>
      <c r="N20" s="175">
        <f t="shared" si="3"/>
        <v>0</v>
      </c>
      <c r="O20" s="232"/>
      <c r="Q20" s="8"/>
      <c r="R20" s="5" t="str">
        <f>Commodities!$AA$16&amp;"_"&amp;RIGHT(Commodities!$D$34,3)&amp;"_"&amp;$R$3&amp;"01"</f>
        <v>RSD_APA1_SH_DSL_E01</v>
      </c>
      <c r="S20" s="5" t="s">
        <v>954</v>
      </c>
      <c r="T20" s="85" t="str">
        <f>General!$B$2</f>
        <v>PJ</v>
      </c>
      <c r="U20" s="85" t="str">
        <f>General!$B$5</f>
        <v>GW</v>
      </c>
      <c r="V20" s="11" t="s">
        <v>125</v>
      </c>
      <c r="W20" s="11"/>
      <c r="X20" s="11"/>
      <c r="Y20" s="5"/>
    </row>
    <row r="21" spans="2:25" ht="13.8">
      <c r="B21" s="51" t="str">
        <f t="shared" si="4"/>
        <v>RSD_APA1_SH_ELC_E01</v>
      </c>
      <c r="C21" s="51" t="str">
        <f t="shared" si="5"/>
        <v>Apartment A1 SpHeat Electric Heater (E)</v>
      </c>
      <c r="D21" s="41" t="str">
        <f>Commodities!$D$48</f>
        <v>RSDELC</v>
      </c>
      <c r="E21" s="138" t="str">
        <f>Commodities!$AA$16</f>
        <v>RSD_APA1_SH</v>
      </c>
      <c r="F21" s="228">
        <f>($J21*VLOOKUP(LEFT($B21,8),RSD_Stock!$H$21:$L$28,F$2,FALSE)*VLOOKUP($B21,RSD_Demands!$C$94:$E$157,F$2,FALSE)/1000)*Stk_Mult</f>
        <v>0</v>
      </c>
      <c r="G21" s="229"/>
      <c r="H21" s="229"/>
      <c r="I21" s="34"/>
      <c r="J21" s="238">
        <v>1.5</v>
      </c>
      <c r="K21" s="239">
        <f t="shared" si="1"/>
        <v>0</v>
      </c>
      <c r="L21" s="230">
        <f t="shared" si="2"/>
        <v>0</v>
      </c>
      <c r="M21" s="231">
        <f>VLOOKUP(LEFT($B21,11),RSD_En_Balance!$C$109:$R$190,MATCH($D21,RSD_En_Balance!$D$109:$R$109,0)+1,FALSE)</f>
        <v>0</v>
      </c>
      <c r="N21" s="175">
        <f t="shared" si="3"/>
        <v>0</v>
      </c>
      <c r="O21" s="232"/>
      <c r="Q21" s="8"/>
      <c r="R21" s="5" t="str">
        <f>Commodities!$AA$16&amp;"_"&amp;RIGHT(Commodities!$D$48,3)&amp;"_"&amp;$R$3&amp;"01"</f>
        <v>RSD_APA1_SH_ELC_E01</v>
      </c>
      <c r="S21" s="5" t="s">
        <v>745</v>
      </c>
      <c r="T21" s="85" t="str">
        <f>General!$B$2</f>
        <v>PJ</v>
      </c>
      <c r="U21" s="85" t="str">
        <f>General!$B$5</f>
        <v>GW</v>
      </c>
      <c r="V21" s="11" t="s">
        <v>125</v>
      </c>
      <c r="W21" s="11"/>
      <c r="X21" s="11"/>
      <c r="Y21" s="5"/>
    </row>
    <row r="22" spans="2:25" ht="13.8">
      <c r="B22" s="152" t="str">
        <f t="shared" si="4"/>
        <v>RSD_APA1_SH_LPG_E01</v>
      </c>
      <c r="C22" s="152" t="str">
        <f t="shared" si="5"/>
        <v>Apartment A1 Standing SpHeat LPG Boiler (E)</v>
      </c>
      <c r="D22" s="152" t="str">
        <f>Commodities!$D$35</f>
        <v>RSDOILLPG</v>
      </c>
      <c r="E22" s="153" t="str">
        <f>Commodities!$AA$16</f>
        <v>RSD_APA1_SH</v>
      </c>
      <c r="F22" s="233">
        <f>($J22*VLOOKUP(LEFT($B22,8),RSD_Stock!$H$22:$L$28,F$2,FALSE)*VLOOKUP($B22,RSD_Demands!$C$94:$E$157,F$2,FALSE)/1000)*Stk_Mult</f>
        <v>0</v>
      </c>
      <c r="G22" s="229"/>
      <c r="H22" s="229"/>
      <c r="I22" s="34"/>
      <c r="J22" s="241">
        <f t="shared" si="6"/>
        <v>3.4</v>
      </c>
      <c r="K22" s="242">
        <f t="shared" si="1"/>
        <v>0</v>
      </c>
      <c r="L22" s="235">
        <f t="shared" si="2"/>
        <v>0</v>
      </c>
      <c r="M22" s="236">
        <f>VLOOKUP(LEFT($B22,11),RSD_En_Balance!$C$109:$R$190,MATCH($D22,RSD_En_Balance!$D$109:$R$109,0)+1,FALSE)</f>
        <v>0</v>
      </c>
      <c r="N22" s="178">
        <f t="shared" si="3"/>
        <v>0</v>
      </c>
      <c r="O22" s="237"/>
      <c r="Q22" s="100"/>
      <c r="R22" s="100" t="str">
        <f>Commodities!$AA$16&amp;"_"&amp;RIGHT(Commodities!$D$35,3)&amp;"_"&amp;$R$3&amp;"01"</f>
        <v>RSD_APA1_SH_LPG_E01</v>
      </c>
      <c r="S22" s="100" t="s">
        <v>746</v>
      </c>
      <c r="T22" s="101" t="str">
        <f>General!$B$2</f>
        <v>PJ</v>
      </c>
      <c r="U22" s="101" t="str">
        <f>General!$B$5</f>
        <v>GW</v>
      </c>
      <c r="V22" s="101" t="s">
        <v>125</v>
      </c>
      <c r="W22" s="101"/>
      <c r="X22" s="101"/>
      <c r="Y22" s="100"/>
    </row>
    <row r="23" spans="2:25" ht="13.8" hidden="1">
      <c r="B23" s="206" t="s">
        <v>147</v>
      </c>
      <c r="C23" s="206" t="str">
        <f t="shared" si="5"/>
        <v>Detached A2 SpHeat Coal Stove (E)</v>
      </c>
      <c r="D23" s="51" t="str">
        <f>Commodities!$D$31</f>
        <v>RSDCOABIC</v>
      </c>
      <c r="E23" s="138" t="str">
        <f>Commodities!$AA$17</f>
        <v>RSD_DTA2_SH</v>
      </c>
      <c r="F23" s="228">
        <f>($J23*VLOOKUP(LEFT($B23,8),RSD_Stock!$H$22:$L$28,F$2,FALSE)*VLOOKUP($B23,RSD_Demands!$C$94:$E$157,F$2,FALSE)/1000)*Stk_Mult</f>
        <v>0</v>
      </c>
      <c r="G23" s="229"/>
      <c r="H23" s="229"/>
      <c r="I23" s="34" t="s">
        <v>939</v>
      </c>
      <c r="J23" s="202">
        <v>10</v>
      </c>
      <c r="K23" s="239">
        <f t="shared" si="1"/>
        <v>0</v>
      </c>
      <c r="L23" s="230">
        <f t="shared" si="2"/>
        <v>0</v>
      </c>
      <c r="M23" s="231">
        <f>VLOOKUP(LEFT($B23,11),RSD_En_Balance!$C$109:$R$190,MATCH($D23,RSD_En_Balance!$D$109:$R$109,0)+1,FALSE)</f>
        <v>0</v>
      </c>
      <c r="N23" s="175">
        <f t="shared" si="3"/>
        <v>0</v>
      </c>
      <c r="O23" s="232" t="e">
        <f>SUM(K23:K30)/RSD_Stock!$E$23</f>
        <v>#DIV/0!</v>
      </c>
      <c r="Q23" s="5" t="s">
        <v>147</v>
      </c>
      <c r="R23" s="5" t="str">
        <f>Commodities!$AA$17&amp;"_"&amp;RIGHT(Commodities!$D$31,3)&amp;"_"&amp;$R$3&amp;"01"</f>
        <v>RSD_DTA2_SH_BIC_E01</v>
      </c>
      <c r="S23" s="5" t="s">
        <v>732</v>
      </c>
      <c r="T23" s="85" t="str">
        <f>General!$B$2</f>
        <v>PJ</v>
      </c>
      <c r="U23" s="85" t="str">
        <f>General!$B$5</f>
        <v>GW</v>
      </c>
      <c r="V23" s="85" t="s">
        <v>125</v>
      </c>
      <c r="W23" s="85"/>
      <c r="X23" s="85"/>
      <c r="Y23" s="5"/>
    </row>
    <row r="24" spans="2:25" ht="13.8" hidden="1">
      <c r="B24" s="41" t="s">
        <v>147</v>
      </c>
      <c r="C24" s="41" t="str">
        <f t="shared" si="5"/>
        <v>Detached A2 SpHeat BCO Stove (E)</v>
      </c>
      <c r="D24" s="41" t="str">
        <f>Commodities!$D$33</f>
        <v>RSDCOABCO</v>
      </c>
      <c r="E24" s="138" t="str">
        <f>Commodities!$AA$17</f>
        <v>RSD_DTA2_SH</v>
      </c>
      <c r="F24" s="228">
        <f>($J24*VLOOKUP(LEFT($B24,8),RSD_Stock!$H$22:$L$28,F$2,FALSE)*VLOOKUP($B24,RSD_Demands!$C$94:$E$157,F$2,FALSE)/1000)*Stk_Mult</f>
        <v>0</v>
      </c>
      <c r="G24" s="229"/>
      <c r="H24" s="229"/>
      <c r="I24" s="34"/>
      <c r="J24" s="202">
        <v>10</v>
      </c>
      <c r="K24" s="239">
        <f t="shared" si="1"/>
        <v>0</v>
      </c>
      <c r="L24" s="230">
        <f t="shared" si="2"/>
        <v>0</v>
      </c>
      <c r="M24" s="231">
        <f>VLOOKUP(LEFT($B24,11),RSD_En_Balance!$C$109:$R$190,MATCH($D24,RSD_En_Balance!$D$109:$R$109,0)+1,FALSE)</f>
        <v>0</v>
      </c>
      <c r="N24" s="175">
        <f t="shared" si="3"/>
        <v>0</v>
      </c>
      <c r="O24" s="232"/>
      <c r="Q24" s="8" t="s">
        <v>147</v>
      </c>
      <c r="R24" s="5" t="str">
        <f>Commodities!$AA$17&amp;"_"&amp;RIGHT(Commodities!$D$33,3)&amp;"_"&amp;$R$3&amp;"01"</f>
        <v>RSD_DTA2_SH_BCO_E01</v>
      </c>
      <c r="S24" s="5" t="s">
        <v>887</v>
      </c>
      <c r="T24" s="85" t="str">
        <f>General!$B$2</f>
        <v>PJ</v>
      </c>
      <c r="U24" s="85" t="str">
        <f>General!$B$5</f>
        <v>GW</v>
      </c>
      <c r="V24" s="11" t="s">
        <v>125</v>
      </c>
      <c r="W24" s="11"/>
      <c r="X24" s="11"/>
      <c r="Y24" s="5"/>
    </row>
    <row r="25" spans="2:25" ht="13.8" hidden="1">
      <c r="B25" s="41" t="s">
        <v>147</v>
      </c>
      <c r="C25" s="41" t="str">
        <f t="shared" si="5"/>
        <v>Detached A2 SpHeat Gas Boiler (E)</v>
      </c>
      <c r="D25" s="41" t="str">
        <f>Commodities!$D$37</f>
        <v>RSDGASNAT</v>
      </c>
      <c r="E25" s="138" t="str">
        <f>Commodities!$AA$17</f>
        <v>RSD_DTA2_SH</v>
      </c>
      <c r="F25" s="228">
        <f>($J25*VLOOKUP(LEFT($B25,8),RSD_Stock!$H$22:$L$28,F$2,FALSE)*VLOOKUP($B25,RSD_Demands!$C$94:$E$157,F$2,FALSE)/1000)*Stk_Mult</f>
        <v>0</v>
      </c>
      <c r="G25" s="229"/>
      <c r="H25" s="229"/>
      <c r="I25" s="34"/>
      <c r="J25" s="202">
        <v>10</v>
      </c>
      <c r="K25" s="239">
        <f t="shared" si="1"/>
        <v>0</v>
      </c>
      <c r="L25" s="230">
        <f t="shared" si="2"/>
        <v>0</v>
      </c>
      <c r="M25" s="231">
        <f>VLOOKUP(LEFT($B25,11),RSD_En_Balance!$C$109:$R$190,MATCH($D25,RSD_En_Balance!$D$109:$R$109,0)+1,FALSE)</f>
        <v>6.8483068920000001</v>
      </c>
      <c r="N25" s="175">
        <f t="shared" si="3"/>
        <v>-6.8483068920000001</v>
      </c>
      <c r="O25" s="232"/>
      <c r="Q25" s="8" t="s">
        <v>147</v>
      </c>
      <c r="R25" s="5" t="str">
        <f>Commodities!$AA$17&amp;"_"&amp;LEFT(RIGHT(Commodities!$D$37,6),3)&amp;"_"&amp;$R$3&amp;"01"</f>
        <v>RSD_DTA2_SH_GAS_E01</v>
      </c>
      <c r="S25" s="5" t="s">
        <v>733</v>
      </c>
      <c r="T25" s="85" t="str">
        <f>General!$B$2</f>
        <v>PJ</v>
      </c>
      <c r="U25" s="85" t="str">
        <f>General!$B$5</f>
        <v>GW</v>
      </c>
      <c r="V25" s="11" t="s">
        <v>125</v>
      </c>
      <c r="W25" s="11"/>
      <c r="X25" s="11"/>
      <c r="Y25" s="5"/>
    </row>
    <row r="26" spans="2:25" ht="13.8" hidden="1">
      <c r="B26" s="41" t="s">
        <v>147</v>
      </c>
      <c r="C26" s="41" t="str">
        <f t="shared" si="5"/>
        <v>Detached A2 SpHeat Dist. Heat (E)</v>
      </c>
      <c r="D26" s="51" t="str">
        <f>Commodities!$D$55</f>
        <v>RSDLTHA2</v>
      </c>
      <c r="E26" s="138" t="str">
        <f>Commodities!$AA$17</f>
        <v>RSD_DTA2_SH</v>
      </c>
      <c r="F26" s="228">
        <f>($J26*VLOOKUP(LEFT($B26,8),RSD_Stock!$H$22:$L$28,F$2,FALSE)*VLOOKUP($B26,RSD_Demands!$C$94:$E$157,F$2,FALSE)/1000)*Stk_Mult</f>
        <v>0</v>
      </c>
      <c r="G26" s="229"/>
      <c r="H26" s="229"/>
      <c r="I26" s="34"/>
      <c r="J26" s="202">
        <v>10</v>
      </c>
      <c r="K26" s="239">
        <f t="shared" si="1"/>
        <v>0</v>
      </c>
      <c r="L26" s="230">
        <f t="shared" si="2"/>
        <v>0</v>
      </c>
      <c r="M26" s="231">
        <f>VLOOKUP(LEFT($B26,11),RSD_En_Balance!$C$109:$R$190,MATCH("RSDLTH",RSD_En_Balance!$D$109:$R$109,0)+1,FALSE)</f>
        <v>0</v>
      </c>
      <c r="N26" s="175">
        <f t="shared" si="3"/>
        <v>0</v>
      </c>
      <c r="O26" s="232"/>
      <c r="Q26" s="8" t="s">
        <v>147</v>
      </c>
      <c r="R26" s="5" t="str">
        <f>Commodities!$AA$17&amp;"_"&amp;RIGHT(Commodities!$D$50,3)&amp;"_"&amp;$R$3&amp;"01"</f>
        <v>RSD_DTA2_SH_LTH_E01</v>
      </c>
      <c r="S26" s="5" t="s">
        <v>734</v>
      </c>
      <c r="T26" s="85" t="str">
        <f>General!$B$2</f>
        <v>PJ</v>
      </c>
      <c r="U26" s="85" t="str">
        <f>General!$B$5</f>
        <v>GW</v>
      </c>
      <c r="V26" s="11" t="s">
        <v>125</v>
      </c>
      <c r="W26" s="11"/>
      <c r="X26" s="11"/>
      <c r="Y26" s="5"/>
    </row>
    <row r="27" spans="2:25" ht="13.8" hidden="1">
      <c r="B27" s="41" t="s">
        <v>147</v>
      </c>
      <c r="C27" s="41" t="str">
        <f t="shared" si="5"/>
        <v>Detached A2 SpHeat  Wood Stove-Boiler €</v>
      </c>
      <c r="D27" s="41" t="str">
        <f>Commodities!$D$38</f>
        <v>RSDBIOLOG</v>
      </c>
      <c r="E27" s="138" t="str">
        <f>Commodities!$AA$17</f>
        <v>RSD_DTA2_SH</v>
      </c>
      <c r="F27" s="228">
        <f>($J27*VLOOKUP(LEFT($B27,8),RSD_Stock!$H$22:$L$28,F$2,FALSE)*VLOOKUP($B27,RSD_Demands!$C$94:$E$157,F$2,FALSE)/1000)*Stk_Mult</f>
        <v>0</v>
      </c>
      <c r="G27" s="229"/>
      <c r="H27" s="229"/>
      <c r="I27" s="34"/>
      <c r="J27" s="202">
        <v>10</v>
      </c>
      <c r="K27" s="239">
        <f t="shared" si="1"/>
        <v>0</v>
      </c>
      <c r="L27" s="230">
        <f t="shared" si="2"/>
        <v>0</v>
      </c>
      <c r="M27" s="231">
        <f>VLOOKUP(LEFT($B27,11),RSD_En_Balance!$C$109:$R$190,MATCH($D27,RSD_En_Balance!$D$109:$R$109,0)+1,FALSE)*RSD_Demands!$G$94</f>
        <v>0.21980700000000003</v>
      </c>
      <c r="N27" s="175">
        <f t="shared" si="3"/>
        <v>-0.21980700000000003</v>
      </c>
      <c r="O27" s="232"/>
      <c r="Q27" s="8" t="s">
        <v>147</v>
      </c>
      <c r="R27" s="5" t="str">
        <f>Commodities!$AA$17&amp;"_"&amp;RIGHT(Commodities!$D$38,3)&amp;"_"&amp;$R$3&amp;"01"</f>
        <v>RSD_DTA2_SH_LOG_E01</v>
      </c>
      <c r="S27" s="5" t="s">
        <v>948</v>
      </c>
      <c r="T27" s="85" t="str">
        <f>General!$B$2</f>
        <v>PJ</v>
      </c>
      <c r="U27" s="85" t="str">
        <f>General!$B$5</f>
        <v>GW</v>
      </c>
      <c r="V27" s="11" t="s">
        <v>125</v>
      </c>
      <c r="W27" s="11"/>
      <c r="X27" s="11"/>
      <c r="Y27" s="5"/>
    </row>
    <row r="28" spans="2:25" ht="13.8" hidden="1">
      <c r="B28" s="41" t="s">
        <v>147</v>
      </c>
      <c r="C28" s="41" t="str">
        <f t="shared" si="5"/>
        <v>Detached A2 SpHeat DieselOil Boiler €</v>
      </c>
      <c r="D28" s="41" t="str">
        <f>Commodities!$D$34</f>
        <v>RSDOILDSL</v>
      </c>
      <c r="E28" s="138" t="str">
        <f>Commodities!$AA$17</f>
        <v>RSD_DTA2_SH</v>
      </c>
      <c r="F28" s="228">
        <f>($J28*VLOOKUP(LEFT($B28,8),RSD_Stock!$H$22:$L$28,F$2,FALSE)*VLOOKUP($B28,RSD_Demands!$C$94:$E$157,F$2,FALSE)/1000)*Stk_Mult</f>
        <v>0</v>
      </c>
      <c r="G28" s="229"/>
      <c r="H28" s="229"/>
      <c r="I28" s="34"/>
      <c r="J28" s="202">
        <v>10</v>
      </c>
      <c r="K28" s="239">
        <f t="shared" si="1"/>
        <v>0</v>
      </c>
      <c r="L28" s="230">
        <f t="shared" si="2"/>
        <v>0</v>
      </c>
      <c r="M28" s="231">
        <f>VLOOKUP(LEFT($B28,11),RSD_En_Balance!$C$109:$R$190,MATCH($D28,RSD_En_Balance!$D$109:$R$109,0)+1,FALSE)</f>
        <v>32.971049999999998</v>
      </c>
      <c r="N28" s="243">
        <f t="shared" si="3"/>
        <v>-32.971049999999998</v>
      </c>
      <c r="O28" s="232"/>
      <c r="Q28" s="8" t="s">
        <v>147</v>
      </c>
      <c r="R28" s="5" t="str">
        <f>Commodities!$AA$17&amp;"_"&amp;RIGHT(Commodities!$D$34,3)&amp;"_"&amp;$R$3&amp;"01"</f>
        <v>RSD_DTA2_SH_DSL_E01</v>
      </c>
      <c r="S28" s="5" t="s">
        <v>955</v>
      </c>
      <c r="T28" s="85" t="str">
        <f>General!$B$2</f>
        <v>PJ</v>
      </c>
      <c r="U28" s="85" t="str">
        <f>General!$B$5</f>
        <v>GW</v>
      </c>
      <c r="V28" s="11" t="s">
        <v>125</v>
      </c>
      <c r="W28" s="11"/>
      <c r="X28" s="11"/>
      <c r="Y28" s="5"/>
    </row>
    <row r="29" spans="2:25" ht="13.8" hidden="1">
      <c r="B29" s="41" t="s">
        <v>147</v>
      </c>
      <c r="C29" s="41" t="str">
        <f t="shared" si="5"/>
        <v>Detached A2 SpHeat Electric Heater (E)</v>
      </c>
      <c r="D29" s="41" t="str">
        <f>Commodities!$D$48</f>
        <v>RSDELC</v>
      </c>
      <c r="E29" s="138" t="str">
        <f>Commodities!$AA$17</f>
        <v>RSD_DTA2_SH</v>
      </c>
      <c r="F29" s="228">
        <f>($J29*VLOOKUP(LEFT($B29,8),RSD_Stock!$H$21:$L$28,F$2,FALSE)*VLOOKUP($B29,RSD_Demands!$C$94:$E$157,F$2,FALSE)/1000)*Stk_Mult</f>
        <v>0</v>
      </c>
      <c r="G29" s="229"/>
      <c r="H29" s="229"/>
      <c r="I29" s="34"/>
      <c r="J29" s="202">
        <v>1.5</v>
      </c>
      <c r="K29" s="239">
        <f t="shared" si="1"/>
        <v>0</v>
      </c>
      <c r="L29" s="230">
        <f t="shared" si="2"/>
        <v>0</v>
      </c>
      <c r="M29" s="231">
        <f>VLOOKUP(LEFT($B29,11),RSD_En_Balance!$C$109:$R$190,MATCH($D29,RSD_En_Balance!$D$109:$R$109,0)+1,FALSE)</f>
        <v>9.8234888399999984E-2</v>
      </c>
      <c r="N29" s="175">
        <f t="shared" si="3"/>
        <v>-9.8234888399999984E-2</v>
      </c>
      <c r="O29" s="232"/>
      <c r="Q29" s="8" t="s">
        <v>147</v>
      </c>
      <c r="R29" s="5" t="str">
        <f>Commodities!$AA$17&amp;"_"&amp;RIGHT(Commodities!$D$48,3)&amp;"_"&amp;$R$3&amp;"01"</f>
        <v>RSD_DTA2_SH_ELC_E01</v>
      </c>
      <c r="S29" s="5" t="s">
        <v>735</v>
      </c>
      <c r="T29" s="85" t="str">
        <f>General!$B$2</f>
        <v>PJ</v>
      </c>
      <c r="U29" s="85" t="str">
        <f>General!$B$5</f>
        <v>GW</v>
      </c>
      <c r="V29" s="11" t="s">
        <v>125</v>
      </c>
      <c r="W29" s="11"/>
      <c r="X29" s="11"/>
      <c r="Y29" s="5"/>
    </row>
    <row r="30" spans="2:25" ht="13.8" hidden="1">
      <c r="B30" s="41" t="s">
        <v>147</v>
      </c>
      <c r="C30" s="152" t="str">
        <f t="shared" si="5"/>
        <v>Detached A2 SpHeat LPG Boiler (E)</v>
      </c>
      <c r="D30" s="152" t="str">
        <f>Commodities!$D$35</f>
        <v>RSDOILLPG</v>
      </c>
      <c r="E30" s="153" t="str">
        <f>Commodities!$AA$17</f>
        <v>RSD_DTA2_SH</v>
      </c>
      <c r="F30" s="233">
        <f>($J30*VLOOKUP(LEFT($B30,8),RSD_Stock!$H$22:$L$28,F$2,FALSE)*VLOOKUP($B30,RSD_Demands!$C$94:$E$157,F$2,FALSE)/1000)*Stk_Mult</f>
        <v>0</v>
      </c>
      <c r="G30" s="229"/>
      <c r="H30" s="229"/>
      <c r="I30" s="34"/>
      <c r="J30" s="234">
        <v>10</v>
      </c>
      <c r="K30" s="239">
        <f t="shared" si="1"/>
        <v>0</v>
      </c>
      <c r="L30" s="230">
        <f t="shared" si="2"/>
        <v>0</v>
      </c>
      <c r="M30" s="236">
        <f>VLOOKUP(LEFT($B30,11),RSD_En_Balance!$C$109:$R$190,MATCH($D30,RSD_En_Balance!$D$109:$R$109,0)+1,FALSE)</f>
        <v>0</v>
      </c>
      <c r="N30" s="244">
        <f t="shared" si="3"/>
        <v>0</v>
      </c>
      <c r="O30" s="237"/>
      <c r="Q30" s="8" t="s">
        <v>147</v>
      </c>
      <c r="R30" s="100" t="str">
        <f>Commodities!$AA$17&amp;"_"&amp;RIGHT(Commodities!$D$35,3)&amp;"_"&amp;$R$3&amp;"01"</f>
        <v>RSD_DTA2_SH_LPG_E01</v>
      </c>
      <c r="S30" s="100" t="s">
        <v>736</v>
      </c>
      <c r="T30" s="101" t="str">
        <f>General!$B$2</f>
        <v>PJ</v>
      </c>
      <c r="U30" s="101" t="str">
        <f>General!$B$5</f>
        <v>GW</v>
      </c>
      <c r="V30" s="101" t="s">
        <v>125</v>
      </c>
      <c r="W30" s="101"/>
      <c r="X30" s="101"/>
      <c r="Y30" s="100"/>
    </row>
    <row r="31" spans="2:25" ht="13.8" hidden="1">
      <c r="B31" s="41" t="s">
        <v>147</v>
      </c>
      <c r="C31" s="51" t="str">
        <f t="shared" si="5"/>
        <v>Apartment A2 SpHeat Coal Stove (E)</v>
      </c>
      <c r="D31" s="51" t="str">
        <f>Commodities!$D$31</f>
        <v>RSDCOABIC</v>
      </c>
      <c r="E31" s="138" t="str">
        <f>Commodities!$AA$18</f>
        <v>RSD_APA2_SH</v>
      </c>
      <c r="F31" s="228">
        <f>($J31*VLOOKUP(LEFT($B31,8),RSD_Stock!$H$22:$L$28,F$2,FALSE)*VLOOKUP($B31,RSD_Demands!$C$94:$E$157,F$2,FALSE)/1000)*Stk_Mult</f>
        <v>0</v>
      </c>
      <c r="G31" s="229"/>
      <c r="H31" s="229"/>
      <c r="I31" s="34" t="s">
        <v>940</v>
      </c>
      <c r="J31" s="238">
        <f>ROUNDUP(J23/3,1)</f>
        <v>3.4</v>
      </c>
      <c r="K31" s="245">
        <f t="shared" si="1"/>
        <v>0</v>
      </c>
      <c r="L31" s="246">
        <f t="shared" si="2"/>
        <v>0</v>
      </c>
      <c r="M31" s="231">
        <f>VLOOKUP(LEFT($B31,11),RSD_En_Balance!$C$109:$R$190,MATCH($D31,RSD_En_Balance!$D$109:$R$109,0)+1,FALSE)</f>
        <v>0</v>
      </c>
      <c r="N31" s="175">
        <f t="shared" si="3"/>
        <v>0</v>
      </c>
      <c r="O31" s="232" t="e">
        <f>SUM(K31:K38)/RSD_Stock!$E$24</f>
        <v>#DIV/0!</v>
      </c>
      <c r="Q31" s="8" t="s">
        <v>147</v>
      </c>
      <c r="R31" s="5" t="str">
        <f>Commodities!$AA$18&amp;"_"&amp;RIGHT(Commodities!$D$31,3)&amp;"_"&amp;$R$3&amp;"01"</f>
        <v>RSD_APA2_SH_BIC_E01</v>
      </c>
      <c r="S31" s="5" t="s">
        <v>747</v>
      </c>
      <c r="T31" s="85" t="str">
        <f>General!$B$2</f>
        <v>PJ</v>
      </c>
      <c r="U31" s="85" t="str">
        <f>General!$B$5</f>
        <v>GW</v>
      </c>
      <c r="V31" s="11" t="s">
        <v>125</v>
      </c>
      <c r="W31" s="11"/>
      <c r="X31" s="11"/>
      <c r="Y31" s="8"/>
    </row>
    <row r="32" spans="2:25" ht="13.8" hidden="1">
      <c r="B32" s="41" t="s">
        <v>147</v>
      </c>
      <c r="C32" s="51" t="str">
        <f t="shared" si="5"/>
        <v>Apartment A2 SpHeat BCO Stove (E)</v>
      </c>
      <c r="D32" s="41" t="str">
        <f>Commodities!$D$33</f>
        <v>RSDCOABCO</v>
      </c>
      <c r="E32" s="138" t="str">
        <f>Commodities!$AA$18</f>
        <v>RSD_APA2_SH</v>
      </c>
      <c r="F32" s="228">
        <f>($J32*VLOOKUP(LEFT($B32,8),RSD_Stock!$H$22:$L$28,F$2,FALSE)*VLOOKUP($B32,RSD_Demands!$C$94:$E$157,F$2,FALSE)/1000)*Stk_Mult</f>
        <v>0</v>
      </c>
      <c r="G32" s="229"/>
      <c r="H32" s="229"/>
      <c r="I32" s="34"/>
      <c r="J32" s="238">
        <f t="shared" ref="J32:J38" si="7">ROUNDUP(J24/3,1)</f>
        <v>3.4</v>
      </c>
      <c r="K32" s="247">
        <f t="shared" si="1"/>
        <v>0</v>
      </c>
      <c r="L32" s="230">
        <f t="shared" si="2"/>
        <v>0</v>
      </c>
      <c r="M32" s="231">
        <f>VLOOKUP(LEFT($B32,11),RSD_En_Balance!$C$109:$R$190,MATCH($D32,RSD_En_Balance!$D$109:$R$109,0)+1,FALSE)</f>
        <v>0</v>
      </c>
      <c r="N32" s="175">
        <f t="shared" si="3"/>
        <v>0</v>
      </c>
      <c r="O32" s="232"/>
      <c r="Q32" s="8" t="s">
        <v>147</v>
      </c>
      <c r="R32" s="5" t="str">
        <f>Commodities!$AA$18&amp;"_"&amp;RIGHT(Commodities!$D$33,3)&amp;"_"&amp;$R$3&amp;"01"</f>
        <v>RSD_APA2_SH_BCO_E01</v>
      </c>
      <c r="S32" s="5" t="s">
        <v>888</v>
      </c>
      <c r="T32" s="85" t="str">
        <f>General!$B$2</f>
        <v>PJ</v>
      </c>
      <c r="U32" s="85" t="str">
        <f>General!$B$5</f>
        <v>GW</v>
      </c>
      <c r="V32" s="11" t="s">
        <v>125</v>
      </c>
      <c r="W32" s="11"/>
      <c r="X32" s="11"/>
      <c r="Y32" s="8"/>
    </row>
    <row r="33" spans="2:25" ht="13.8" hidden="1">
      <c r="B33" s="41" t="s">
        <v>147</v>
      </c>
      <c r="C33" s="51" t="str">
        <f t="shared" si="5"/>
        <v>Apartment A2 SpHeat Gas Boiler (E)</v>
      </c>
      <c r="D33" s="41" t="str">
        <f>Commodities!$D$37</f>
        <v>RSDGASNAT</v>
      </c>
      <c r="E33" s="138" t="str">
        <f>Commodities!$AA$18</f>
        <v>RSD_APA2_SH</v>
      </c>
      <c r="F33" s="228">
        <f>($J33*VLOOKUP(LEFT($B33,8),RSD_Stock!$H$22:$L$28,F$2,FALSE)*VLOOKUP($B33,RSD_Demands!$C$94:$E$157,F$2,FALSE)/1000)*Stk_Mult</f>
        <v>0</v>
      </c>
      <c r="G33" s="229"/>
      <c r="H33" s="229"/>
      <c r="I33" s="34"/>
      <c r="J33" s="238">
        <f t="shared" si="7"/>
        <v>3.4</v>
      </c>
      <c r="K33" s="247">
        <f t="shared" si="1"/>
        <v>0</v>
      </c>
      <c r="L33" s="230">
        <f t="shared" si="2"/>
        <v>0</v>
      </c>
      <c r="M33" s="231">
        <f>VLOOKUP(LEFT($B33,11),RSD_En_Balance!$C$109:$R$190,MATCH($D33,RSD_En_Balance!$D$109:$R$109,0)+1,FALSE)</f>
        <v>6.8483068920000001</v>
      </c>
      <c r="N33" s="175">
        <f t="shared" si="3"/>
        <v>-6.8483068920000001</v>
      </c>
      <c r="O33" s="232"/>
      <c r="Q33" s="8" t="s">
        <v>147</v>
      </c>
      <c r="R33" s="5" t="str">
        <f>Commodities!$AA$18&amp;"_"&amp;LEFT(RIGHT(Commodities!$D$37,6),3)&amp;"_"&amp;$R$3&amp;"01"</f>
        <v>RSD_APA2_SH_GAS_E01</v>
      </c>
      <c r="S33" s="5" t="s">
        <v>748</v>
      </c>
      <c r="T33" s="85" t="str">
        <f>General!$B$2</f>
        <v>PJ</v>
      </c>
      <c r="U33" s="85" t="str">
        <f>General!$B$5</f>
        <v>GW</v>
      </c>
      <c r="V33" s="11" t="s">
        <v>125</v>
      </c>
      <c r="W33" s="11"/>
      <c r="X33" s="11"/>
      <c r="Y33" s="8"/>
    </row>
    <row r="34" spans="2:25" ht="13.8" hidden="1">
      <c r="B34" s="41" t="s">
        <v>147</v>
      </c>
      <c r="C34" s="51" t="str">
        <f t="shared" si="5"/>
        <v>Apartment A2 SpHeat Dist. Heat (E)</v>
      </c>
      <c r="D34" s="51" t="str">
        <f>Commodities!$D$55</f>
        <v>RSDLTHA2</v>
      </c>
      <c r="E34" s="138" t="str">
        <f>Commodities!$AA$18</f>
        <v>RSD_APA2_SH</v>
      </c>
      <c r="F34" s="228">
        <f>($J34*VLOOKUP(LEFT($B34,8),RSD_Stock!$H$22:$L$28,F$2,FALSE)*VLOOKUP($B34,RSD_Demands!$C$94:$E$157,F$2,FALSE)/1000)*Stk_Mult</f>
        <v>0</v>
      </c>
      <c r="G34" s="229"/>
      <c r="H34" s="229"/>
      <c r="I34" s="34"/>
      <c r="J34" s="238">
        <f t="shared" si="7"/>
        <v>3.4</v>
      </c>
      <c r="K34" s="247">
        <f t="shared" si="1"/>
        <v>0</v>
      </c>
      <c r="L34" s="230">
        <f t="shared" si="2"/>
        <v>0</v>
      </c>
      <c r="M34" s="231">
        <f>VLOOKUP(LEFT($B34,11),RSD_En_Balance!$C$109:$R$190,MATCH("RSDLTH",RSD_En_Balance!$D$109:$R$109,0)+1,FALSE)</f>
        <v>0</v>
      </c>
      <c r="N34" s="175">
        <f t="shared" si="3"/>
        <v>0</v>
      </c>
      <c r="O34" s="232"/>
      <c r="Q34" s="8" t="s">
        <v>147</v>
      </c>
      <c r="R34" s="5" t="str">
        <f>Commodities!$AA$18&amp;"_"&amp;RIGHT(Commodities!$D$50,3)&amp;"_"&amp;$R$3&amp;"01"</f>
        <v>RSD_APA2_SH_LTH_E01</v>
      </c>
      <c r="S34" s="5" t="s">
        <v>749</v>
      </c>
      <c r="T34" s="85" t="str">
        <f>General!$B$2</f>
        <v>PJ</v>
      </c>
      <c r="U34" s="85" t="str">
        <f>General!$B$5</f>
        <v>GW</v>
      </c>
      <c r="V34" s="11" t="s">
        <v>125</v>
      </c>
      <c r="W34" s="11"/>
      <c r="X34" s="11"/>
      <c r="Y34" s="8"/>
    </row>
    <row r="35" spans="2:25" ht="13.8" hidden="1">
      <c r="B35" s="41" t="s">
        <v>147</v>
      </c>
      <c r="C35" s="51" t="str">
        <f t="shared" si="5"/>
        <v>Apartment A2 SpHeat  Wood Stove-Boiler €</v>
      </c>
      <c r="D35" s="41" t="str">
        <f>Commodities!$D$38</f>
        <v>RSDBIOLOG</v>
      </c>
      <c r="E35" s="138" t="str">
        <f>Commodities!$AA$18</f>
        <v>RSD_APA2_SH</v>
      </c>
      <c r="F35" s="228">
        <f>($J35*VLOOKUP(LEFT($B35,8),RSD_Stock!$H$22:$L$28,F$2,FALSE)*VLOOKUP($B35,RSD_Demands!$C$94:$E$157,F$2,FALSE)/1000)*Stk_Mult</f>
        <v>0</v>
      </c>
      <c r="G35" s="229"/>
      <c r="H35" s="229"/>
      <c r="I35" s="34"/>
      <c r="J35" s="238">
        <f t="shared" si="7"/>
        <v>3.4</v>
      </c>
      <c r="K35" s="247">
        <f t="shared" si="1"/>
        <v>0</v>
      </c>
      <c r="L35" s="230">
        <f t="shared" si="2"/>
        <v>0</v>
      </c>
      <c r="M35" s="231">
        <f>VLOOKUP(LEFT($B35,11),RSD_En_Balance!$C$109:$R$190,MATCH($D35,RSD_En_Balance!$D$109:$R$109,0)+1,FALSE)*RSD_Demands!$G$94</f>
        <v>0.21980700000000003</v>
      </c>
      <c r="N35" s="175">
        <f t="shared" si="3"/>
        <v>-0.21980700000000003</v>
      </c>
      <c r="O35" s="232"/>
      <c r="Q35" s="8" t="s">
        <v>147</v>
      </c>
      <c r="R35" s="5" t="str">
        <f>Commodities!$AA$18&amp;"_"&amp;RIGHT(Commodities!$D$38,3)&amp;"_"&amp;$R$3&amp;"01"</f>
        <v>RSD_APA2_SH_LOG_E01</v>
      </c>
      <c r="S35" s="5" t="s">
        <v>949</v>
      </c>
      <c r="T35" s="85" t="str">
        <f>General!$B$2</f>
        <v>PJ</v>
      </c>
      <c r="U35" s="85" t="str">
        <f>General!$B$5</f>
        <v>GW</v>
      </c>
      <c r="V35" s="11" t="s">
        <v>125</v>
      </c>
      <c r="W35" s="11"/>
      <c r="X35" s="11"/>
      <c r="Y35" s="5"/>
    </row>
    <row r="36" spans="2:25" ht="13.8" hidden="1">
      <c r="B36" s="41" t="s">
        <v>147</v>
      </c>
      <c r="C36" s="51" t="str">
        <f t="shared" si="5"/>
        <v>Apartment A2 SpHeat DieselOil Boiler €</v>
      </c>
      <c r="D36" s="41" t="str">
        <f>Commodities!$D$34</f>
        <v>RSDOILDSL</v>
      </c>
      <c r="E36" s="138" t="str">
        <f>Commodities!$AA$18</f>
        <v>RSD_APA2_SH</v>
      </c>
      <c r="F36" s="228">
        <f>($J36*VLOOKUP(LEFT($B36,8),RSD_Stock!$H$22:$L$28,F$2,FALSE)*VLOOKUP($B36,RSD_Demands!$C$94:$E$157,F$2,FALSE)/1000)*Stk_Mult</f>
        <v>0</v>
      </c>
      <c r="G36" s="229"/>
      <c r="H36" s="229"/>
      <c r="I36" s="34"/>
      <c r="J36" s="238">
        <f t="shared" si="7"/>
        <v>3.4</v>
      </c>
      <c r="K36" s="247">
        <f t="shared" si="1"/>
        <v>0</v>
      </c>
      <c r="L36" s="203">
        <f t="shared" si="2"/>
        <v>0</v>
      </c>
      <c r="M36" s="231">
        <f>VLOOKUP(LEFT($B36,11),RSD_En_Balance!$C$109:$R$190,MATCH($D36,RSD_En_Balance!$D$109:$R$109,0)+1,FALSE)</f>
        <v>32.971049999999998</v>
      </c>
      <c r="N36" s="175">
        <f t="shared" si="3"/>
        <v>-32.971049999999998</v>
      </c>
      <c r="O36" s="232"/>
      <c r="Q36" s="8" t="s">
        <v>147</v>
      </c>
      <c r="R36" s="5" t="str">
        <f>Commodities!$AA$18&amp;"_"&amp;RIGHT(Commodities!$D$34,3)&amp;"_"&amp;$R$3&amp;"01"</f>
        <v>RSD_APA2_SH_DSL_E01</v>
      </c>
      <c r="S36" s="5" t="s">
        <v>956</v>
      </c>
      <c r="T36" s="85" t="str">
        <f>General!$B$2</f>
        <v>PJ</v>
      </c>
      <c r="U36" s="85" t="str">
        <f>General!$B$5</f>
        <v>GW</v>
      </c>
      <c r="V36" s="11" t="s">
        <v>125</v>
      </c>
      <c r="W36" s="11"/>
      <c r="X36" s="11"/>
      <c r="Y36" s="5"/>
    </row>
    <row r="37" spans="2:25" ht="13.8" hidden="1">
      <c r="B37" s="41" t="s">
        <v>147</v>
      </c>
      <c r="C37" s="51" t="str">
        <f t="shared" si="5"/>
        <v>Apartment A2 SpHeat Electric Heater (E)</v>
      </c>
      <c r="D37" s="41" t="str">
        <f>Commodities!$D$48</f>
        <v>RSDELC</v>
      </c>
      <c r="E37" s="138" t="str">
        <f>Commodities!$AA$18</f>
        <v>RSD_APA2_SH</v>
      </c>
      <c r="F37" s="228">
        <f>($J37*VLOOKUP(LEFT($B37,8),RSD_Stock!$H$21:$L$28,F$2,FALSE)*VLOOKUP($B37,RSD_Demands!$C$94:$E$157,F$2,FALSE)/1000)*Stk_Mult</f>
        <v>0</v>
      </c>
      <c r="G37" s="229"/>
      <c r="H37" s="229"/>
      <c r="I37" s="34"/>
      <c r="J37" s="238">
        <v>1.5</v>
      </c>
      <c r="K37" s="247">
        <f t="shared" si="1"/>
        <v>0</v>
      </c>
      <c r="L37" s="230">
        <f t="shared" si="2"/>
        <v>0</v>
      </c>
      <c r="M37" s="231">
        <f>VLOOKUP(LEFT($B37,11),RSD_En_Balance!$C$109:$R$190,MATCH($D37,RSD_En_Balance!$D$109:$R$109,0)+1,FALSE)</f>
        <v>9.8234888399999984E-2</v>
      </c>
      <c r="N37" s="175">
        <f t="shared" si="3"/>
        <v>-9.8234888399999984E-2</v>
      </c>
      <c r="O37" s="232"/>
      <c r="Q37" s="8" t="s">
        <v>147</v>
      </c>
      <c r="R37" s="5" t="str">
        <f>Commodities!$AA$18&amp;"_"&amp;RIGHT(Commodities!$D$48,3)&amp;"_"&amp;$R$3&amp;"01"</f>
        <v>RSD_APA2_SH_ELC_E01</v>
      </c>
      <c r="S37" s="5" t="s">
        <v>750</v>
      </c>
      <c r="T37" s="85" t="str">
        <f>General!$B$2</f>
        <v>PJ</v>
      </c>
      <c r="U37" s="85" t="str">
        <f>General!$B$5</f>
        <v>GW</v>
      </c>
      <c r="V37" s="11" t="s">
        <v>125</v>
      </c>
      <c r="W37" s="11"/>
      <c r="X37" s="11"/>
      <c r="Y37" s="5"/>
    </row>
    <row r="38" spans="2:25" ht="13.8" hidden="1">
      <c r="B38" s="41" t="s">
        <v>147</v>
      </c>
      <c r="C38" s="152" t="str">
        <f t="shared" si="5"/>
        <v>Apartment A2 SpHeat LPG Boiler (E)</v>
      </c>
      <c r="D38" s="152" t="str">
        <f>Commodities!$D$35</f>
        <v>RSDOILLPG</v>
      </c>
      <c r="E38" s="153" t="str">
        <f>Commodities!$AA$18</f>
        <v>RSD_APA2_SH</v>
      </c>
      <c r="F38" s="233">
        <f>($J38*VLOOKUP(LEFT($B38,8),RSD_Stock!$H$22:$L$28,F$2,FALSE)*VLOOKUP($B38,RSD_Demands!$C$94:$E$157,F$2,FALSE)/1000)*Stk_Mult</f>
        <v>0</v>
      </c>
      <c r="G38" s="229"/>
      <c r="H38" s="229"/>
      <c r="I38" s="34"/>
      <c r="J38" s="241">
        <f t="shared" si="7"/>
        <v>3.4</v>
      </c>
      <c r="K38" s="247">
        <f t="shared" si="1"/>
        <v>0</v>
      </c>
      <c r="L38" s="230">
        <f t="shared" si="2"/>
        <v>0</v>
      </c>
      <c r="M38" s="236">
        <f>VLOOKUP(LEFT($B38,11),RSD_En_Balance!$C$109:$R$190,MATCH($D38,RSD_En_Balance!$D$109:$R$109,0)+1,FALSE)</f>
        <v>0</v>
      </c>
      <c r="N38" s="178">
        <f t="shared" si="3"/>
        <v>0</v>
      </c>
      <c r="O38" s="237"/>
      <c r="Q38" s="8" t="s">
        <v>147</v>
      </c>
      <c r="R38" s="100" t="str">
        <f>Commodities!$AA$18&amp;"_"&amp;RIGHT(Commodities!$D$35,3)&amp;"_"&amp;$R$3&amp;"01"</f>
        <v>RSD_APA2_SH_LPG_E01</v>
      </c>
      <c r="S38" s="100" t="s">
        <v>751</v>
      </c>
      <c r="T38" s="101" t="str">
        <f>General!$B$2</f>
        <v>PJ</v>
      </c>
      <c r="U38" s="101" t="str">
        <f>General!$B$5</f>
        <v>GW</v>
      </c>
      <c r="V38" s="101" t="s">
        <v>125</v>
      </c>
      <c r="W38" s="101"/>
      <c r="X38" s="101"/>
      <c r="Y38" s="100"/>
    </row>
    <row r="39" spans="2:25" ht="13.8" hidden="1">
      <c r="B39" s="41" t="s">
        <v>147</v>
      </c>
      <c r="C39" s="51" t="str">
        <f t="shared" ref="C39:C54" si="8">S39</f>
        <v>Detached A3 SpHeat Coal Stove (E)</v>
      </c>
      <c r="D39" s="51" t="str">
        <f>Commodities!$D$31</f>
        <v>RSDCOABIC</v>
      </c>
      <c r="E39" s="138" t="str">
        <f>Commodities!$AA$19</f>
        <v>RSD_DTA3_SH</v>
      </c>
      <c r="F39" s="228">
        <f>($J39*VLOOKUP(LEFT($B39,8),RSD_Stock!$H$22:$L$28,F$2,FALSE)*VLOOKUP($B39,RSD_Demands!$C$94:$E$157,F$2,FALSE)/1000)*Stk_Mult</f>
        <v>0</v>
      </c>
      <c r="G39" s="229"/>
      <c r="H39" s="229"/>
      <c r="I39" s="34" t="s">
        <v>939</v>
      </c>
      <c r="J39" s="202">
        <v>10</v>
      </c>
      <c r="K39" s="248">
        <f t="shared" ref="K39:K70" si="9">F39*F179*F250</f>
        <v>0</v>
      </c>
      <c r="L39" s="246">
        <f t="shared" ref="L39:L70" si="10">F39*F179*F250/F109</f>
        <v>0</v>
      </c>
      <c r="M39" s="231">
        <f>VLOOKUP(LEFT($B39,11),RSD_En_Balance!$C$109:$R$190,MATCH($D39,RSD_En_Balance!$D$109:$R$109,0)+1,FALSE)</f>
        <v>0</v>
      </c>
      <c r="N39" s="175">
        <f t="shared" ref="N39:N70" si="11">SUM(L39:L39)-SUM(M39:M39)</f>
        <v>0</v>
      </c>
      <c r="O39" s="232" t="e">
        <f>SUM(K39:K46)/RSD_Stock!$E$25</f>
        <v>#DIV/0!</v>
      </c>
      <c r="Q39" s="8" t="s">
        <v>147</v>
      </c>
      <c r="R39" s="5" t="str">
        <f>Commodities!$AA$19&amp;"_"&amp;RIGHT(Commodities!$D$31,3)&amp;"_"&amp;$R$3&amp;"01"</f>
        <v>RSD_DTA3_SH_BIC_E01</v>
      </c>
      <c r="S39" s="5" t="s">
        <v>737</v>
      </c>
      <c r="T39" s="85" t="str">
        <f>General!$B$2</f>
        <v>PJ</v>
      </c>
      <c r="U39" s="85" t="str">
        <f>General!$B$5</f>
        <v>GW</v>
      </c>
      <c r="V39" s="11" t="s">
        <v>125</v>
      </c>
      <c r="W39" s="11"/>
      <c r="X39" s="11"/>
      <c r="Y39" s="8"/>
    </row>
    <row r="40" spans="2:25" ht="13.8" hidden="1">
      <c r="B40" s="41" t="s">
        <v>147</v>
      </c>
      <c r="C40" s="51" t="str">
        <f t="shared" si="8"/>
        <v>Detached A3 SpHeat BCO Stove (E)</v>
      </c>
      <c r="D40" s="41" t="str">
        <f>Commodities!$D$33</f>
        <v>RSDCOABCO</v>
      </c>
      <c r="E40" s="138" t="str">
        <f>Commodities!$AA$19</f>
        <v>RSD_DTA3_SH</v>
      </c>
      <c r="F40" s="228">
        <f>($J40*VLOOKUP(LEFT($B40,8),RSD_Stock!$H$22:$L$28,F$2,FALSE)*VLOOKUP($B40,RSD_Demands!$C$94:$E$157,F$2,FALSE)/1000)*Stk_Mult</f>
        <v>0</v>
      </c>
      <c r="G40" s="229"/>
      <c r="H40" s="229"/>
      <c r="I40" s="34"/>
      <c r="J40" s="202">
        <v>10</v>
      </c>
      <c r="K40" s="239">
        <f t="shared" si="9"/>
        <v>0</v>
      </c>
      <c r="L40" s="230">
        <f t="shared" si="10"/>
        <v>0</v>
      </c>
      <c r="M40" s="231">
        <f>VLOOKUP(LEFT($B40,11),RSD_En_Balance!$C$109:$R$190,MATCH($D40,RSD_En_Balance!$D$109:$R$109,0)+1,FALSE)</f>
        <v>0</v>
      </c>
      <c r="N40" s="175">
        <f t="shared" si="11"/>
        <v>0</v>
      </c>
      <c r="O40" s="232"/>
      <c r="Q40" s="8" t="s">
        <v>147</v>
      </c>
      <c r="R40" s="5" t="str">
        <f>Commodities!$AA$19&amp;"_"&amp;RIGHT(Commodities!$D$33,3)&amp;"_"&amp;$R$3&amp;"01"</f>
        <v>RSD_DTA3_SH_BCO_E01</v>
      </c>
      <c r="S40" s="5" t="s">
        <v>889</v>
      </c>
      <c r="T40" s="85" t="str">
        <f>General!$B$2</f>
        <v>PJ</v>
      </c>
      <c r="U40" s="85" t="str">
        <f>General!$B$5</f>
        <v>GW</v>
      </c>
      <c r="V40" s="11" t="s">
        <v>125</v>
      </c>
      <c r="W40" s="11"/>
      <c r="X40" s="11"/>
      <c r="Y40" s="8"/>
    </row>
    <row r="41" spans="2:25" ht="13.8" hidden="1">
      <c r="B41" s="41" t="s">
        <v>147</v>
      </c>
      <c r="C41" s="51" t="str">
        <f t="shared" si="8"/>
        <v>Detached A3 SpHeat Gas Boiler (E)</v>
      </c>
      <c r="D41" s="41" t="str">
        <f>Commodities!$D$37</f>
        <v>RSDGASNAT</v>
      </c>
      <c r="E41" s="138" t="str">
        <f>Commodities!$AA$19</f>
        <v>RSD_DTA3_SH</v>
      </c>
      <c r="F41" s="228">
        <f>($J41*VLOOKUP(LEFT($B41,8),RSD_Stock!$H$22:$L$28,F$2,FALSE)*VLOOKUP($B41,RSD_Demands!$C$94:$E$157,F$2,FALSE)/1000)*Stk_Mult</f>
        <v>0</v>
      </c>
      <c r="G41" s="229"/>
      <c r="H41" s="229"/>
      <c r="I41" s="34"/>
      <c r="J41" s="202">
        <v>10</v>
      </c>
      <c r="K41" s="239">
        <f t="shared" si="9"/>
        <v>0</v>
      </c>
      <c r="L41" s="230">
        <f t="shared" si="10"/>
        <v>0</v>
      </c>
      <c r="M41" s="231">
        <f>VLOOKUP(LEFT($B41,11),RSD_En_Balance!$C$109:$R$190,MATCH($D41,RSD_En_Balance!$D$109:$R$109,0)+1,FALSE)</f>
        <v>6.8483068920000001</v>
      </c>
      <c r="N41" s="175">
        <f t="shared" si="11"/>
        <v>-6.8483068920000001</v>
      </c>
      <c r="O41" s="232"/>
      <c r="Q41" s="8" t="s">
        <v>147</v>
      </c>
      <c r="R41" s="5" t="str">
        <f>Commodities!$AA$19&amp;"_"&amp;LEFT(RIGHT(Commodities!$D$37,6),3)&amp;"_"&amp;$R$3&amp;"01"</f>
        <v>RSD_DTA3_SH_GAS_E01</v>
      </c>
      <c r="S41" s="5" t="s">
        <v>738</v>
      </c>
      <c r="T41" s="85" t="str">
        <f>General!$B$2</f>
        <v>PJ</v>
      </c>
      <c r="U41" s="85" t="str">
        <f>General!$B$5</f>
        <v>GW</v>
      </c>
      <c r="V41" s="11" t="s">
        <v>125</v>
      </c>
      <c r="W41" s="11"/>
      <c r="X41" s="11"/>
      <c r="Y41" s="8"/>
    </row>
    <row r="42" spans="2:25" ht="13.8" hidden="1">
      <c r="B42" s="41" t="s">
        <v>147</v>
      </c>
      <c r="C42" s="51" t="str">
        <f t="shared" si="8"/>
        <v>Detached A3 SpHeat Dist. Heat (E)</v>
      </c>
      <c r="D42" s="51" t="str">
        <f>Commodities!$D$56</f>
        <v>RSDLTHA3</v>
      </c>
      <c r="E42" s="138" t="str">
        <f>Commodities!$AA$19</f>
        <v>RSD_DTA3_SH</v>
      </c>
      <c r="F42" s="228">
        <f>($J42*VLOOKUP(LEFT($B42,8),RSD_Stock!$H$22:$L$28,F$2,FALSE)*VLOOKUP($B42,RSD_Demands!$C$94:$E$157,F$2,FALSE)/1000)*Stk_Mult</f>
        <v>0</v>
      </c>
      <c r="G42" s="229"/>
      <c r="H42" s="229"/>
      <c r="I42" s="34"/>
      <c r="J42" s="202">
        <v>10</v>
      </c>
      <c r="K42" s="239">
        <f t="shared" si="9"/>
        <v>0</v>
      </c>
      <c r="L42" s="230">
        <f t="shared" si="10"/>
        <v>0</v>
      </c>
      <c r="M42" s="231">
        <f>VLOOKUP(LEFT($B42,11),RSD_En_Balance!$C$109:$R$190,MATCH("RSDLTH",RSD_En_Balance!$D$109:$R$109,0)+1,FALSE)</f>
        <v>0</v>
      </c>
      <c r="N42" s="175">
        <f t="shared" si="11"/>
        <v>0</v>
      </c>
      <c r="O42" s="232"/>
      <c r="Q42" s="8" t="s">
        <v>147</v>
      </c>
      <c r="R42" s="5" t="str">
        <f>Commodities!$AA$19&amp;"_"&amp;RIGHT(Commodities!$D$50,3)&amp;"_"&amp;$R$3&amp;"01"</f>
        <v>RSD_DTA3_SH_LTH_E01</v>
      </c>
      <c r="S42" s="5" t="s">
        <v>739</v>
      </c>
      <c r="T42" s="85" t="str">
        <f>General!$B$2</f>
        <v>PJ</v>
      </c>
      <c r="U42" s="85" t="str">
        <f>General!$B$5</f>
        <v>GW</v>
      </c>
      <c r="V42" s="11" t="s">
        <v>125</v>
      </c>
      <c r="W42" s="11"/>
      <c r="X42" s="11"/>
      <c r="Y42" s="5"/>
    </row>
    <row r="43" spans="2:25" ht="13.8" hidden="1">
      <c r="B43" s="41" t="s">
        <v>147</v>
      </c>
      <c r="C43" s="51" t="str">
        <f t="shared" si="8"/>
        <v>Detached A3 SpHeat  Wood Stove-Boiler €</v>
      </c>
      <c r="D43" s="41" t="str">
        <f>Commodities!$D$38</f>
        <v>RSDBIOLOG</v>
      </c>
      <c r="E43" s="138" t="str">
        <f>Commodities!$AA$19</f>
        <v>RSD_DTA3_SH</v>
      </c>
      <c r="F43" s="228">
        <f>($J43*VLOOKUP(LEFT($B43,8),RSD_Stock!$H$22:$L$28,F$2,FALSE)*VLOOKUP($B43,RSD_Demands!$C$94:$E$157,F$2,FALSE)/1000)*Stk_Mult</f>
        <v>0</v>
      </c>
      <c r="G43" s="229"/>
      <c r="H43" s="229"/>
      <c r="I43" s="34"/>
      <c r="J43" s="202">
        <v>10</v>
      </c>
      <c r="K43" s="239">
        <f t="shared" si="9"/>
        <v>0</v>
      </c>
      <c r="L43" s="230">
        <f t="shared" si="10"/>
        <v>0</v>
      </c>
      <c r="M43" s="231">
        <f>VLOOKUP(LEFT($B43,11),RSD_En_Balance!$C$109:$R$190,MATCH($D43,RSD_En_Balance!$D$109:$R$109,0)+1,FALSE)*RSD_Demands!$G$94</f>
        <v>0.21980700000000003</v>
      </c>
      <c r="N43" s="175">
        <f t="shared" si="11"/>
        <v>-0.21980700000000003</v>
      </c>
      <c r="O43" s="232"/>
      <c r="Q43" s="8" t="s">
        <v>147</v>
      </c>
      <c r="R43" s="5" t="str">
        <f>Commodities!$AA$19&amp;"_"&amp;RIGHT(Commodities!$D$38,3)&amp;"_"&amp;$R$3&amp;"01"</f>
        <v>RSD_DTA3_SH_LOG_E01</v>
      </c>
      <c r="S43" s="5" t="s">
        <v>950</v>
      </c>
      <c r="T43" s="85" t="str">
        <f>General!$B$2</f>
        <v>PJ</v>
      </c>
      <c r="U43" s="85" t="str">
        <f>General!$B$5</f>
        <v>GW</v>
      </c>
      <c r="V43" s="11" t="s">
        <v>125</v>
      </c>
      <c r="W43" s="11"/>
      <c r="X43" s="11"/>
      <c r="Y43" s="5"/>
    </row>
    <row r="44" spans="2:25" ht="13.8" hidden="1">
      <c r="B44" s="41" t="s">
        <v>147</v>
      </c>
      <c r="C44" s="51" t="str">
        <f t="shared" si="8"/>
        <v>Detached A3 SpHeat DieselOil Boiler €</v>
      </c>
      <c r="D44" s="41" t="str">
        <f>Commodities!$D$34</f>
        <v>RSDOILDSL</v>
      </c>
      <c r="E44" s="138" t="str">
        <f>Commodities!$AA$19</f>
        <v>RSD_DTA3_SH</v>
      </c>
      <c r="F44" s="228">
        <f>($J44*VLOOKUP(LEFT($B44,8),RSD_Stock!$H$22:$L$28,F$2,FALSE)*VLOOKUP($B44,RSD_Demands!$C$94:$E$157,F$2,FALSE)/1000)*Stk_Mult</f>
        <v>0</v>
      </c>
      <c r="G44" s="229"/>
      <c r="H44" s="229"/>
      <c r="I44" s="34"/>
      <c r="J44" s="202">
        <v>10</v>
      </c>
      <c r="K44" s="239">
        <f t="shared" si="9"/>
        <v>0</v>
      </c>
      <c r="L44" s="230">
        <f t="shared" si="10"/>
        <v>0</v>
      </c>
      <c r="M44" s="231">
        <f>VLOOKUP(LEFT($B44,11),RSD_En_Balance!$C$109:$R$190,MATCH($D44,RSD_En_Balance!$D$109:$R$109,0)+1,FALSE)</f>
        <v>32.971049999999998</v>
      </c>
      <c r="N44" s="175">
        <f t="shared" si="11"/>
        <v>-32.971049999999998</v>
      </c>
      <c r="O44" s="232"/>
      <c r="Q44" s="8" t="s">
        <v>147</v>
      </c>
      <c r="R44" s="5" t="str">
        <f>Commodities!$AA$19&amp;"_"&amp;RIGHT(Commodities!$D$34,3)&amp;"_"&amp;$R$3&amp;"01"</f>
        <v>RSD_DTA3_SH_DSL_E01</v>
      </c>
      <c r="S44" s="5" t="s">
        <v>957</v>
      </c>
      <c r="T44" s="85" t="str">
        <f>General!$B$2</f>
        <v>PJ</v>
      </c>
      <c r="U44" s="85" t="str">
        <f>General!$B$5</f>
        <v>GW</v>
      </c>
      <c r="V44" s="11" t="s">
        <v>125</v>
      </c>
      <c r="W44" s="11"/>
      <c r="X44" s="11"/>
      <c r="Y44" s="5"/>
    </row>
    <row r="45" spans="2:25" ht="13.8" hidden="1">
      <c r="B45" s="41" t="s">
        <v>147</v>
      </c>
      <c r="C45" s="51" t="str">
        <f t="shared" si="8"/>
        <v>Detached A3 SpHeat Electric Heater (E)</v>
      </c>
      <c r="D45" s="41" t="str">
        <f>Commodities!$D$48</f>
        <v>RSDELC</v>
      </c>
      <c r="E45" s="138" t="str">
        <f>Commodities!$AA$19</f>
        <v>RSD_DTA3_SH</v>
      </c>
      <c r="F45" s="228">
        <f>($J45*VLOOKUP(LEFT($B45,8),RSD_Stock!$H$21:$L$28,F$2,FALSE)*VLOOKUP($B45,RSD_Demands!$C$94:$E$157,F$2,FALSE)/1000)*Stk_Mult</f>
        <v>0</v>
      </c>
      <c r="G45" s="229"/>
      <c r="H45" s="229"/>
      <c r="I45" s="34"/>
      <c r="J45" s="202">
        <v>1.5</v>
      </c>
      <c r="K45" s="239">
        <f t="shared" si="9"/>
        <v>0</v>
      </c>
      <c r="L45" s="230">
        <f t="shared" si="10"/>
        <v>0</v>
      </c>
      <c r="M45" s="231">
        <f>VLOOKUP(LEFT($B45,11),RSD_En_Balance!$C$109:$R$190,MATCH($D45,RSD_En_Balance!$D$109:$R$109,0)+1,FALSE)</f>
        <v>9.8234888399999984E-2</v>
      </c>
      <c r="N45" s="175">
        <f t="shared" si="11"/>
        <v>-9.8234888399999984E-2</v>
      </c>
      <c r="O45" s="232"/>
      <c r="Q45" s="8" t="s">
        <v>147</v>
      </c>
      <c r="R45" s="5" t="str">
        <f>Commodities!$AA$19&amp;"_"&amp;RIGHT(Commodities!$D$48,3)&amp;"_"&amp;$R$3&amp;"01"</f>
        <v>RSD_DTA3_SH_ELC_E01</v>
      </c>
      <c r="S45" s="5" t="s">
        <v>740</v>
      </c>
      <c r="T45" s="85" t="str">
        <f>General!$B$2</f>
        <v>PJ</v>
      </c>
      <c r="U45" s="85" t="str">
        <f>General!$B$5</f>
        <v>GW</v>
      </c>
      <c r="V45" s="11" t="s">
        <v>125</v>
      </c>
      <c r="W45" s="11"/>
      <c r="X45" s="11"/>
      <c r="Y45" s="5"/>
    </row>
    <row r="46" spans="2:25" ht="13.8" hidden="1">
      <c r="B46" s="41" t="s">
        <v>147</v>
      </c>
      <c r="C46" s="152" t="str">
        <f t="shared" si="8"/>
        <v>Detached A3 SpHeat LPG Boiler (E)</v>
      </c>
      <c r="D46" s="152" t="str">
        <f>Commodities!$D$35</f>
        <v>RSDOILLPG</v>
      </c>
      <c r="E46" s="153" t="str">
        <f>Commodities!$AA$19</f>
        <v>RSD_DTA3_SH</v>
      </c>
      <c r="F46" s="233">
        <f>($J46*VLOOKUP(LEFT($B46,8),RSD_Stock!$H$22:$L$28,F$2,FALSE)*VLOOKUP($B46,RSD_Demands!$C$94:$E$157,F$2,FALSE)/1000)*Stk_Mult</f>
        <v>0</v>
      </c>
      <c r="G46" s="229"/>
      <c r="H46" s="229"/>
      <c r="I46" s="34"/>
      <c r="J46" s="234">
        <v>10</v>
      </c>
      <c r="K46" s="239">
        <f t="shared" si="9"/>
        <v>0</v>
      </c>
      <c r="L46" s="230">
        <f t="shared" si="10"/>
        <v>0</v>
      </c>
      <c r="M46" s="236">
        <f>VLOOKUP(LEFT($B46,11),RSD_En_Balance!$C$109:$R$190,MATCH($D46,RSD_En_Balance!$D$109:$R$109,0)+1,FALSE)</f>
        <v>0</v>
      </c>
      <c r="N46" s="178">
        <f t="shared" si="11"/>
        <v>0</v>
      </c>
      <c r="O46" s="237"/>
      <c r="Q46" s="8" t="s">
        <v>147</v>
      </c>
      <c r="R46" s="100" t="str">
        <f>Commodities!$AA$19&amp;"_"&amp;RIGHT(Commodities!$D$35,3)&amp;"_"&amp;$R$3&amp;"01"</f>
        <v>RSD_DTA3_SH_LPG_E01</v>
      </c>
      <c r="S46" s="100" t="s">
        <v>741</v>
      </c>
      <c r="T46" s="101" t="str">
        <f>General!$B$2</f>
        <v>PJ</v>
      </c>
      <c r="U46" s="101" t="str">
        <f>General!$B$5</f>
        <v>GW</v>
      </c>
      <c r="V46" s="101" t="s">
        <v>125</v>
      </c>
      <c r="W46" s="101"/>
      <c r="X46" s="101"/>
      <c r="Y46" s="100"/>
    </row>
    <row r="47" spans="2:25" ht="13.8" hidden="1">
      <c r="B47" s="41" t="s">
        <v>147</v>
      </c>
      <c r="C47" s="51" t="str">
        <f t="shared" si="8"/>
        <v>Apartment A3 SpHeat Coal Stove (E)</v>
      </c>
      <c r="D47" s="51" t="str">
        <f>Commodities!$D$31</f>
        <v>RSDCOABIC</v>
      </c>
      <c r="E47" s="138" t="str">
        <f>Commodities!$AA$20</f>
        <v>RSD_APA3_SH</v>
      </c>
      <c r="F47" s="228">
        <f>($J47*VLOOKUP(LEFT($B47,8),RSD_Stock!$H$22:$L$28,F$2,FALSE)*VLOOKUP($B47,RSD_Demands!$C$94:$E$157,F$2,FALSE)/1000)*Stk_Mult</f>
        <v>0</v>
      </c>
      <c r="G47" s="229"/>
      <c r="H47" s="229"/>
      <c r="I47" s="34" t="s">
        <v>940</v>
      </c>
      <c r="J47" s="238">
        <f>ROUNDUP(J39/3,1)</f>
        <v>3.4</v>
      </c>
      <c r="K47" s="248">
        <f t="shared" si="9"/>
        <v>0</v>
      </c>
      <c r="L47" s="246">
        <f t="shared" si="10"/>
        <v>0</v>
      </c>
      <c r="M47" s="231">
        <f>VLOOKUP(LEFT($B47,11),RSD_En_Balance!$C$109:$R$190,MATCH($D47,RSD_En_Balance!$D$109:$R$109,0)+1,FALSE)</f>
        <v>0</v>
      </c>
      <c r="N47" s="175">
        <f t="shared" si="11"/>
        <v>0</v>
      </c>
      <c r="O47" s="232" t="e">
        <f>SUM(K47:K54)/RSD_Stock!$E$26</f>
        <v>#DIV/0!</v>
      </c>
      <c r="Q47" s="8" t="s">
        <v>147</v>
      </c>
      <c r="R47" s="5" t="str">
        <f>Commodities!$AA$20&amp;"_"&amp;RIGHT(Commodities!$D$31,3)&amp;"_"&amp;$R$3&amp;"01"</f>
        <v>RSD_APA3_SH_BIC_E01</v>
      </c>
      <c r="S47" s="5" t="s">
        <v>752</v>
      </c>
      <c r="T47" s="85" t="str">
        <f>General!$B$2</f>
        <v>PJ</v>
      </c>
      <c r="U47" s="85" t="str">
        <f>General!$B$5</f>
        <v>GW</v>
      </c>
      <c r="V47" s="11" t="s">
        <v>125</v>
      </c>
      <c r="W47" s="11"/>
      <c r="X47" s="11"/>
      <c r="Y47" s="8"/>
    </row>
    <row r="48" spans="2:25" ht="13.8" hidden="1">
      <c r="B48" s="41" t="s">
        <v>147</v>
      </c>
      <c r="C48" s="51" t="str">
        <f t="shared" si="8"/>
        <v>Apartment A3 SpHeat BCO Stove (E)</v>
      </c>
      <c r="D48" s="41" t="str">
        <f>Commodities!$D$33</f>
        <v>RSDCOABCO</v>
      </c>
      <c r="E48" s="138" t="str">
        <f>Commodities!$AA$20</f>
        <v>RSD_APA3_SH</v>
      </c>
      <c r="F48" s="228">
        <f>($J48*VLOOKUP(LEFT($B48,8),RSD_Stock!$H$22:$L$28,F$2,FALSE)*VLOOKUP($B48,RSD_Demands!$C$94:$E$157,F$2,FALSE)/1000)*Stk_Mult</f>
        <v>0</v>
      </c>
      <c r="G48" s="229"/>
      <c r="H48" s="229"/>
      <c r="I48" s="34"/>
      <c r="J48" s="238">
        <f t="shared" ref="J48:J54" si="12">ROUNDUP(J40/3,1)</f>
        <v>3.4</v>
      </c>
      <c r="K48" s="239">
        <f t="shared" si="9"/>
        <v>0</v>
      </c>
      <c r="L48" s="230">
        <f t="shared" si="10"/>
        <v>0</v>
      </c>
      <c r="M48" s="231">
        <f>VLOOKUP(LEFT($B48,11),RSD_En_Balance!$C$109:$R$190,MATCH($D48,RSD_En_Balance!$D$109:$R$109,0)+1,FALSE)</f>
        <v>0</v>
      </c>
      <c r="N48" s="175">
        <f t="shared" si="11"/>
        <v>0</v>
      </c>
      <c r="O48" s="232"/>
      <c r="Q48" s="8" t="s">
        <v>147</v>
      </c>
      <c r="R48" s="5" t="str">
        <f>Commodities!$AA$20&amp;"_"&amp;RIGHT(Commodities!$D$33,3)&amp;"_"&amp;$R$3&amp;"01"</f>
        <v>RSD_APA3_SH_BCO_E01</v>
      </c>
      <c r="S48" s="5" t="s">
        <v>890</v>
      </c>
      <c r="T48" s="85" t="str">
        <f>General!$B$2</f>
        <v>PJ</v>
      </c>
      <c r="U48" s="85" t="str">
        <f>General!$B$5</f>
        <v>GW</v>
      </c>
      <c r="V48" s="11" t="s">
        <v>125</v>
      </c>
      <c r="W48" s="11"/>
      <c r="X48" s="11"/>
      <c r="Y48" s="8"/>
    </row>
    <row r="49" spans="2:28" ht="13.8" hidden="1">
      <c r="B49" s="41" t="s">
        <v>147</v>
      </c>
      <c r="C49" s="51" t="str">
        <f t="shared" si="8"/>
        <v>Apartment A3 SpHeat Gas Boiler (E)</v>
      </c>
      <c r="D49" s="41" t="str">
        <f>Commodities!$D$37</f>
        <v>RSDGASNAT</v>
      </c>
      <c r="E49" s="138" t="str">
        <f>Commodities!$AA$20</f>
        <v>RSD_APA3_SH</v>
      </c>
      <c r="F49" s="228">
        <f>($J49*VLOOKUP(LEFT($B49,8),RSD_Stock!$H$22:$L$28,F$2,FALSE)*VLOOKUP($B49,RSD_Demands!$C$94:$E$157,F$2,FALSE)/1000)*Stk_Mult</f>
        <v>0</v>
      </c>
      <c r="G49" s="229"/>
      <c r="H49" s="229"/>
      <c r="I49" s="34"/>
      <c r="J49" s="238">
        <f t="shared" si="12"/>
        <v>3.4</v>
      </c>
      <c r="K49" s="239">
        <f t="shared" si="9"/>
        <v>0</v>
      </c>
      <c r="L49" s="230">
        <f t="shared" si="10"/>
        <v>0</v>
      </c>
      <c r="M49" s="231">
        <f>VLOOKUP(LEFT($B49,11),RSD_En_Balance!$C$109:$R$190,MATCH($D49,RSD_En_Balance!$D$109:$R$109,0)+1,FALSE)</f>
        <v>6.8483068920000001</v>
      </c>
      <c r="N49" s="175">
        <f t="shared" si="11"/>
        <v>-6.8483068920000001</v>
      </c>
      <c r="O49" s="232"/>
      <c r="Q49" s="8" t="s">
        <v>147</v>
      </c>
      <c r="R49" s="5" t="str">
        <f>Commodities!$AA$20&amp;"_"&amp;LEFT(RIGHT(Commodities!$D$37,6),3)&amp;"_"&amp;$R$3&amp;"01"</f>
        <v>RSD_APA3_SH_GAS_E01</v>
      </c>
      <c r="S49" s="5" t="s">
        <v>753</v>
      </c>
      <c r="T49" s="85" t="str">
        <f>General!$B$2</f>
        <v>PJ</v>
      </c>
      <c r="U49" s="85" t="str">
        <f>General!$B$5</f>
        <v>GW</v>
      </c>
      <c r="V49" s="11" t="s">
        <v>125</v>
      </c>
      <c r="W49" s="11"/>
      <c r="X49" s="11"/>
      <c r="Y49" s="8"/>
    </row>
    <row r="50" spans="2:28" ht="13.8" hidden="1">
      <c r="B50" s="41" t="s">
        <v>147</v>
      </c>
      <c r="C50" s="51" t="str">
        <f t="shared" si="8"/>
        <v>Apartment A3 SpHeat Dist. Heat (E)</v>
      </c>
      <c r="D50" s="51" t="str">
        <f>Commodities!$D$56</f>
        <v>RSDLTHA3</v>
      </c>
      <c r="E50" s="138" t="str">
        <f>Commodities!$AA$20</f>
        <v>RSD_APA3_SH</v>
      </c>
      <c r="F50" s="228">
        <f>($J50*VLOOKUP(LEFT($B50,8),RSD_Stock!$H$22:$L$28,F$2,FALSE)*VLOOKUP($B50,RSD_Demands!$C$94:$E$157,F$2,FALSE)/1000)*Stk_Mult</f>
        <v>0</v>
      </c>
      <c r="G50" s="229"/>
      <c r="H50" s="229"/>
      <c r="I50" s="34"/>
      <c r="J50" s="238">
        <f t="shared" si="12"/>
        <v>3.4</v>
      </c>
      <c r="K50" s="239">
        <f t="shared" si="9"/>
        <v>0</v>
      </c>
      <c r="L50" s="230">
        <f t="shared" si="10"/>
        <v>0</v>
      </c>
      <c r="M50" s="231">
        <f>VLOOKUP(LEFT($B50,11),RSD_En_Balance!$C$109:$R$190,MATCH("RSDLTH",RSD_En_Balance!$D$109:$R$109,0)+1,FALSE)</f>
        <v>0</v>
      </c>
      <c r="N50" s="175">
        <f t="shared" si="11"/>
        <v>0</v>
      </c>
      <c r="O50" s="232"/>
      <c r="Q50" s="8" t="s">
        <v>147</v>
      </c>
      <c r="R50" s="5" t="str">
        <f>Commodities!$AA$20&amp;"_"&amp;RIGHT(Commodities!$D$50,3)&amp;"_"&amp;$R$3&amp;"01"</f>
        <v>RSD_APA3_SH_LTH_E01</v>
      </c>
      <c r="S50" s="5" t="s">
        <v>754</v>
      </c>
      <c r="T50" s="85" t="str">
        <f>General!$B$2</f>
        <v>PJ</v>
      </c>
      <c r="U50" s="85" t="str">
        <f>General!$B$5</f>
        <v>GW</v>
      </c>
      <c r="V50" s="11" t="s">
        <v>125</v>
      </c>
      <c r="W50" s="11"/>
      <c r="X50" s="11"/>
      <c r="Y50" s="8"/>
    </row>
    <row r="51" spans="2:28" ht="13.8" hidden="1">
      <c r="B51" s="41" t="s">
        <v>147</v>
      </c>
      <c r="C51" s="51" t="str">
        <f t="shared" si="8"/>
        <v>Apartment A3 SpHeat  Wood Stove-Boiler €</v>
      </c>
      <c r="D51" s="41" t="str">
        <f>Commodities!$D$38</f>
        <v>RSDBIOLOG</v>
      </c>
      <c r="E51" s="138" t="str">
        <f>Commodities!$AA$20</f>
        <v>RSD_APA3_SH</v>
      </c>
      <c r="F51" s="228">
        <f>($J51*VLOOKUP(LEFT($B51,8),RSD_Stock!$H$22:$L$28,F$2,FALSE)*VLOOKUP($B51,RSD_Demands!$C$94:$E$157,F$2,FALSE)/1000)*Stk_Mult</f>
        <v>0</v>
      </c>
      <c r="G51" s="229"/>
      <c r="H51" s="229"/>
      <c r="I51" s="34"/>
      <c r="J51" s="238">
        <f t="shared" si="12"/>
        <v>3.4</v>
      </c>
      <c r="K51" s="239">
        <f t="shared" si="9"/>
        <v>0</v>
      </c>
      <c r="L51" s="247">
        <f t="shared" si="10"/>
        <v>0</v>
      </c>
      <c r="M51" s="231">
        <f>VLOOKUP(LEFT($B51,11),RSD_En_Balance!$C$109:$R$190,MATCH($D51,RSD_En_Balance!$D$109:$R$109,0)+1,FALSE)*RSD_Demands!$G$94</f>
        <v>0.21980700000000003</v>
      </c>
      <c r="N51" s="175">
        <f t="shared" si="11"/>
        <v>-0.21980700000000003</v>
      </c>
      <c r="O51" s="232"/>
      <c r="Q51" s="8" t="s">
        <v>147</v>
      </c>
      <c r="R51" s="5" t="str">
        <f>Commodities!$AA$20&amp;"_"&amp;RIGHT(Commodities!$D$38,3)&amp;"_"&amp;$R$3&amp;"01"</f>
        <v>RSD_APA3_SH_LOG_E01</v>
      </c>
      <c r="S51" s="5" t="s">
        <v>951</v>
      </c>
      <c r="T51" s="85" t="str">
        <f>General!$B$2</f>
        <v>PJ</v>
      </c>
      <c r="U51" s="85" t="str">
        <f>General!$B$5</f>
        <v>GW</v>
      </c>
      <c r="V51" s="11" t="s">
        <v>125</v>
      </c>
      <c r="W51" s="11"/>
      <c r="X51" s="11"/>
      <c r="Y51" s="8"/>
    </row>
    <row r="52" spans="2:28" ht="13.8" hidden="1">
      <c r="B52" s="41" t="s">
        <v>147</v>
      </c>
      <c r="C52" s="51" t="str">
        <f t="shared" si="8"/>
        <v>Apartment A3 SpHeat DieselOil Boiler €</v>
      </c>
      <c r="D52" s="41" t="str">
        <f>Commodities!$D$34</f>
        <v>RSDOILDSL</v>
      </c>
      <c r="E52" s="138" t="str">
        <f>Commodities!$AA$20</f>
        <v>RSD_APA3_SH</v>
      </c>
      <c r="F52" s="228">
        <f>($J52*VLOOKUP(LEFT($B52,8),RSD_Stock!$H$22:$L$28,F$2,FALSE)*VLOOKUP($B52,RSD_Demands!$C$94:$E$157,F$2,FALSE)/1000)*Stk_Mult</f>
        <v>0</v>
      </c>
      <c r="G52" s="229"/>
      <c r="H52" s="229"/>
      <c r="I52" s="34"/>
      <c r="J52" s="238">
        <f t="shared" si="12"/>
        <v>3.4</v>
      </c>
      <c r="K52" s="239">
        <f t="shared" si="9"/>
        <v>0</v>
      </c>
      <c r="L52" s="247">
        <f t="shared" si="10"/>
        <v>0</v>
      </c>
      <c r="M52" s="231">
        <f>VLOOKUP(LEFT($B52,11),RSD_En_Balance!$C$109:$R$190,MATCH($D52,RSD_En_Balance!$D$109:$R$109,0)+1,FALSE)</f>
        <v>32.971049999999998</v>
      </c>
      <c r="N52" s="175">
        <f t="shared" si="11"/>
        <v>-32.971049999999998</v>
      </c>
      <c r="O52" s="232"/>
      <c r="Q52" s="8" t="s">
        <v>147</v>
      </c>
      <c r="R52" s="5" t="str">
        <f>Commodities!$AA$20&amp;"_"&amp;RIGHT(Commodities!$D$34,3)&amp;"_"&amp;$R$3&amp;"01"</f>
        <v>RSD_APA3_SH_DSL_E01</v>
      </c>
      <c r="S52" s="5" t="s">
        <v>958</v>
      </c>
      <c r="T52" s="85" t="str">
        <f>General!$B$2</f>
        <v>PJ</v>
      </c>
      <c r="U52" s="85" t="str">
        <f>General!$B$5</f>
        <v>GW</v>
      </c>
      <c r="V52" s="11" t="s">
        <v>125</v>
      </c>
      <c r="W52" s="11"/>
      <c r="X52" s="11"/>
      <c r="Y52" s="5"/>
    </row>
    <row r="53" spans="2:28" ht="13.8" hidden="1">
      <c r="B53" s="41" t="s">
        <v>147</v>
      </c>
      <c r="C53" s="51" t="str">
        <f t="shared" si="8"/>
        <v>Apartment A3 SpHeat Electric Heater (E)</v>
      </c>
      <c r="D53" s="41" t="str">
        <f>Commodities!$D$48</f>
        <v>RSDELC</v>
      </c>
      <c r="E53" s="138" t="str">
        <f>Commodities!$AA$20</f>
        <v>RSD_APA3_SH</v>
      </c>
      <c r="F53" s="228">
        <f>($J53*VLOOKUP(LEFT($B53,8),RSD_Stock!$H$21:$L$28,F$2,FALSE)*VLOOKUP($B53,RSD_Demands!$C$94:$E$157,F$2,FALSE)/1000)*Stk_Mult</f>
        <v>0</v>
      </c>
      <c r="G53" s="229"/>
      <c r="H53" s="229"/>
      <c r="I53" s="34"/>
      <c r="J53" s="238">
        <v>1.5</v>
      </c>
      <c r="K53" s="239">
        <f t="shared" si="9"/>
        <v>0</v>
      </c>
      <c r="L53" s="230">
        <f t="shared" si="10"/>
        <v>0</v>
      </c>
      <c r="M53" s="231">
        <f>VLOOKUP(LEFT($B53,11),RSD_En_Balance!$C$109:$R$190,MATCH($D53,RSD_En_Balance!$D$109:$R$109,0)+1,FALSE)</f>
        <v>9.8234888399999984E-2</v>
      </c>
      <c r="N53" s="175">
        <f t="shared" si="11"/>
        <v>-9.8234888399999984E-2</v>
      </c>
      <c r="O53" s="232"/>
      <c r="Q53" s="8" t="s">
        <v>147</v>
      </c>
      <c r="R53" s="5" t="str">
        <f>Commodities!$AA$20&amp;"_"&amp;RIGHT(Commodities!$D$48,3)&amp;"_"&amp;$R$3&amp;"01"</f>
        <v>RSD_APA3_SH_ELC_E01</v>
      </c>
      <c r="S53" s="5" t="s">
        <v>755</v>
      </c>
      <c r="T53" s="85" t="str">
        <f>General!$B$2</f>
        <v>PJ</v>
      </c>
      <c r="U53" s="85" t="str">
        <f>General!$B$5</f>
        <v>GW</v>
      </c>
      <c r="V53" s="11" t="s">
        <v>125</v>
      </c>
      <c r="W53" s="11"/>
      <c r="X53" s="11"/>
      <c r="Y53" s="5"/>
    </row>
    <row r="54" spans="2:28" ht="13.8" hidden="1">
      <c r="B54" s="41" t="s">
        <v>147</v>
      </c>
      <c r="C54" s="152" t="str">
        <f t="shared" si="8"/>
        <v>Apartment A3 SpHeat LPG Boiler (E)</v>
      </c>
      <c r="D54" s="152" t="str">
        <f>Commodities!$D$35</f>
        <v>RSDOILLPG</v>
      </c>
      <c r="E54" s="153" t="str">
        <f>Commodities!$AA$20</f>
        <v>RSD_APA3_SH</v>
      </c>
      <c r="F54" s="233">
        <f>($J54*VLOOKUP(LEFT($B54,8),RSD_Stock!$H$22:$L$28,F$2,FALSE)*VLOOKUP($B54,RSD_Demands!$C$94:$E$157,F$2,FALSE)/1000)*Stk_Mult</f>
        <v>0</v>
      </c>
      <c r="G54" s="229"/>
      <c r="H54" s="229"/>
      <c r="I54" s="34"/>
      <c r="J54" s="241">
        <f t="shared" si="12"/>
        <v>3.4</v>
      </c>
      <c r="K54" s="242">
        <f t="shared" si="9"/>
        <v>0</v>
      </c>
      <c r="L54" s="235">
        <f t="shared" si="10"/>
        <v>0</v>
      </c>
      <c r="M54" s="236">
        <f>VLOOKUP(LEFT($B54,11),RSD_En_Balance!$C$109:$R$190,MATCH($D54,RSD_En_Balance!$D$109:$R$109,0)+1,FALSE)</f>
        <v>0</v>
      </c>
      <c r="N54" s="178">
        <f t="shared" si="11"/>
        <v>0</v>
      </c>
      <c r="O54" s="237"/>
      <c r="Q54" s="8" t="s">
        <v>147</v>
      </c>
      <c r="R54" s="100" t="str">
        <f>Commodities!$AA$20&amp;"_"&amp;RIGHT(Commodities!$D$35,3)&amp;"_"&amp;$R$3&amp;"01"</f>
        <v>RSD_APA3_SH_LPG_E01</v>
      </c>
      <c r="S54" s="100" t="s">
        <v>756</v>
      </c>
      <c r="T54" s="101" t="str">
        <f>General!$B$2</f>
        <v>PJ</v>
      </c>
      <c r="U54" s="101" t="str">
        <f>General!$B$5</f>
        <v>GW</v>
      </c>
      <c r="V54" s="101" t="s">
        <v>125</v>
      </c>
      <c r="W54" s="101"/>
      <c r="X54" s="101"/>
      <c r="Y54" s="100"/>
    </row>
    <row r="55" spans="2:28" ht="13.8" hidden="1">
      <c r="B55" s="41" t="s">
        <v>147</v>
      </c>
      <c r="C55" s="51" t="str">
        <f t="shared" ref="C55:C70" si="13">S55</f>
        <v>Detached A4 SpHeat Coal Stove (E)</v>
      </c>
      <c r="D55" s="51" t="str">
        <f>Commodities!$D$31</f>
        <v>RSDCOABIC</v>
      </c>
      <c r="E55" s="138" t="str">
        <f>Commodities!$AA$21</f>
        <v>RSD_DTA4_SH</v>
      </c>
      <c r="F55" s="228">
        <f>($J55*VLOOKUP(LEFT($B55,8),RSD_Stock!$H$22:$L$28,F$2,FALSE)*VLOOKUP($B55,RSD_Demands!$C$94:$E$157,F$2,FALSE)/1000)*Stk_Mult</f>
        <v>0</v>
      </c>
      <c r="G55" s="179"/>
      <c r="H55" s="179"/>
      <c r="I55" s="34" t="s">
        <v>939</v>
      </c>
      <c r="J55" s="202">
        <v>10</v>
      </c>
      <c r="K55" s="248">
        <f t="shared" si="9"/>
        <v>0</v>
      </c>
      <c r="L55" s="246">
        <f t="shared" si="10"/>
        <v>0</v>
      </c>
      <c r="M55" s="231">
        <f>VLOOKUP(LEFT($B55,11),RSD_En_Balance!$C$109:$R$190,MATCH($D55,RSD_En_Balance!$D$109:$R$109,0)+1,FALSE)</f>
        <v>0</v>
      </c>
      <c r="N55" s="175">
        <f t="shared" si="11"/>
        <v>0</v>
      </c>
      <c r="O55" s="232" t="e">
        <f>SUM(K55:K62)/RSD_Stock!$E$27</f>
        <v>#DIV/0!</v>
      </c>
      <c r="Q55" s="8" t="s">
        <v>147</v>
      </c>
      <c r="R55" s="5" t="str">
        <f>Commodities!$AA$21&amp;"_"&amp;RIGHT(Commodities!$D$31,3)&amp;"_"&amp;$R$3&amp;"01"</f>
        <v>RSD_DTA4_SH_BIC_E01</v>
      </c>
      <c r="S55" s="5" t="s">
        <v>722</v>
      </c>
      <c r="T55" s="85" t="str">
        <f>General!$B$2</f>
        <v>PJ</v>
      </c>
      <c r="U55" s="85" t="str">
        <f>General!$B$5</f>
        <v>GW</v>
      </c>
      <c r="V55" s="11" t="s">
        <v>125</v>
      </c>
      <c r="W55" s="11"/>
      <c r="X55" s="11"/>
      <c r="Y55" s="5"/>
    </row>
    <row r="56" spans="2:28" ht="13.8" hidden="1">
      <c r="B56" s="41" t="s">
        <v>147</v>
      </c>
      <c r="C56" s="51" t="str">
        <f t="shared" si="13"/>
        <v>Detached A4 SpHeat BCO Stove (E)</v>
      </c>
      <c r="D56" s="41" t="str">
        <f>Commodities!$D$33</f>
        <v>RSDCOABCO</v>
      </c>
      <c r="E56" s="138" t="str">
        <f>Commodities!$AA$21</f>
        <v>RSD_DTA4_SH</v>
      </c>
      <c r="F56" s="228">
        <f>($J56*VLOOKUP(LEFT($B56,8),RSD_Stock!$H$22:$L$28,F$2,FALSE)*VLOOKUP($B56,RSD_Demands!$C$94:$E$157,F$2,FALSE)/1000)*Stk_Mult</f>
        <v>0</v>
      </c>
      <c r="G56" s="249"/>
      <c r="H56" s="249"/>
      <c r="I56" s="34"/>
      <c r="J56" s="202">
        <v>10</v>
      </c>
      <c r="K56" s="239">
        <f t="shared" si="9"/>
        <v>0</v>
      </c>
      <c r="L56" s="230">
        <f t="shared" si="10"/>
        <v>0</v>
      </c>
      <c r="M56" s="231">
        <f>VLOOKUP(LEFT($B56,11),RSD_En_Balance!$C$109:$R$190,MATCH($D56,RSD_En_Balance!$D$109:$R$109,0)+1,FALSE)</f>
        <v>0</v>
      </c>
      <c r="N56" s="175">
        <f t="shared" si="11"/>
        <v>0</v>
      </c>
      <c r="O56" s="232"/>
      <c r="Q56" s="8" t="s">
        <v>147</v>
      </c>
      <c r="R56" s="5" t="str">
        <f>Commodities!$AA$21&amp;"_"&amp;RIGHT(Commodities!$D$33,3)&amp;"_"&amp;$R$3&amp;"01"</f>
        <v>RSD_DTA4_SH_BCO_E01</v>
      </c>
      <c r="S56" s="5" t="s">
        <v>891</v>
      </c>
      <c r="T56" s="85" t="str">
        <f>General!$B$2</f>
        <v>PJ</v>
      </c>
      <c r="U56" s="85" t="str">
        <f>General!$B$5</f>
        <v>GW</v>
      </c>
      <c r="V56" s="11" t="s">
        <v>125</v>
      </c>
      <c r="W56" s="11"/>
      <c r="X56" s="11"/>
      <c r="Z56" s="44"/>
      <c r="AA56" s="44"/>
      <c r="AB56" s="44"/>
    </row>
    <row r="57" spans="2:28" ht="13.8" hidden="1">
      <c r="B57" s="41" t="s">
        <v>147</v>
      </c>
      <c r="C57" s="51" t="str">
        <f t="shared" si="13"/>
        <v>Detached A4 SpHeat Gas Boiler (E)</v>
      </c>
      <c r="D57" s="41" t="str">
        <f>Commodities!$D$37</f>
        <v>RSDGASNAT</v>
      </c>
      <c r="E57" s="138" t="str">
        <f>Commodities!$AA$21</f>
        <v>RSD_DTA4_SH</v>
      </c>
      <c r="F57" s="228">
        <f>($J57*VLOOKUP(LEFT($B57,8),RSD_Stock!$H$22:$L$28,F$2,FALSE)*VLOOKUP($B57,RSD_Demands!$C$94:$E$157,F$2,FALSE)/1000)*Stk_Mult</f>
        <v>0</v>
      </c>
      <c r="I57" s="34"/>
      <c r="J57" s="202">
        <v>10</v>
      </c>
      <c r="K57" s="239">
        <f t="shared" si="9"/>
        <v>0</v>
      </c>
      <c r="L57" s="230">
        <f t="shared" si="10"/>
        <v>0</v>
      </c>
      <c r="M57" s="231">
        <f>VLOOKUP(LEFT($B57,11),RSD_En_Balance!$C$109:$R$190,MATCH($D57,RSD_En_Balance!$D$109:$R$109,0)+1,FALSE)</f>
        <v>6.8483068920000001</v>
      </c>
      <c r="N57" s="175">
        <f t="shared" si="11"/>
        <v>-6.8483068920000001</v>
      </c>
      <c r="O57" s="232"/>
      <c r="Q57" s="8" t="s">
        <v>147</v>
      </c>
      <c r="R57" s="5" t="str">
        <f>Commodities!$AA$21&amp;"_"&amp;LEFT(RIGHT(Commodities!$D$37,6),3)&amp;"_"&amp;$R$3&amp;"01"</f>
        <v>RSD_DTA4_SH_GAS_E01</v>
      </c>
      <c r="S57" s="5" t="s">
        <v>723</v>
      </c>
      <c r="T57" s="85" t="str">
        <f>General!$B$2</f>
        <v>PJ</v>
      </c>
      <c r="U57" s="85" t="str">
        <f>General!$B$5</f>
        <v>GW</v>
      </c>
      <c r="V57" s="11" t="s">
        <v>125</v>
      </c>
      <c r="W57" s="11"/>
      <c r="X57" s="11"/>
    </row>
    <row r="58" spans="2:28" ht="13.8" hidden="1">
      <c r="B58" s="41" t="s">
        <v>147</v>
      </c>
      <c r="C58" s="51" t="str">
        <f t="shared" si="13"/>
        <v>Detached A4 SpHeat Dist. Heat (E)</v>
      </c>
      <c r="D58" s="51" t="str">
        <f>Commodities!$D$57</f>
        <v>RSDLTHA4</v>
      </c>
      <c r="E58" s="138" t="str">
        <f>Commodities!$AA$21</f>
        <v>RSD_DTA4_SH</v>
      </c>
      <c r="F58" s="228">
        <f>($J58*VLOOKUP(LEFT($B58,8),RSD_Stock!$H$22:$L$28,F$2,FALSE)*VLOOKUP($B58,RSD_Demands!$C$94:$E$157,F$2,FALSE)/1000)*Stk_Mult</f>
        <v>0</v>
      </c>
      <c r="G58" s="31"/>
      <c r="H58" s="31"/>
      <c r="I58" s="34"/>
      <c r="J58" s="202">
        <v>10</v>
      </c>
      <c r="K58" s="239">
        <f t="shared" si="9"/>
        <v>0</v>
      </c>
      <c r="L58" s="230">
        <f t="shared" si="10"/>
        <v>0</v>
      </c>
      <c r="M58" s="231">
        <f>VLOOKUP(LEFT($B58,11),RSD_En_Balance!$C$109:$R$190,MATCH("RSDLTH",RSD_En_Balance!$D$109:$R$109,0)+1,FALSE)</f>
        <v>0</v>
      </c>
      <c r="N58" s="175">
        <f t="shared" si="11"/>
        <v>0</v>
      </c>
      <c r="O58" s="232"/>
      <c r="Q58" s="8" t="s">
        <v>147</v>
      </c>
      <c r="R58" s="5" t="str">
        <f>Commodities!$AA$21&amp;"_"&amp;RIGHT(Commodities!$D$50,3)&amp;"_"&amp;$R$3&amp;"01"</f>
        <v>RSD_DTA4_SH_LTH_E01</v>
      </c>
      <c r="S58" s="5" t="s">
        <v>724</v>
      </c>
      <c r="T58" s="85" t="str">
        <f>General!$B$2</f>
        <v>PJ</v>
      </c>
      <c r="U58" s="85" t="str">
        <f>General!$B$5</f>
        <v>GW</v>
      </c>
      <c r="V58" s="11" t="s">
        <v>125</v>
      </c>
      <c r="W58" s="11"/>
      <c r="X58" s="11"/>
    </row>
    <row r="59" spans="2:28" ht="13.8" hidden="1">
      <c r="B59" s="41" t="s">
        <v>147</v>
      </c>
      <c r="C59" s="51" t="str">
        <f t="shared" si="13"/>
        <v>Detached A4 SpHeat  Wood Stove-Boiler €</v>
      </c>
      <c r="D59" s="41" t="str">
        <f>Commodities!$D$38</f>
        <v>RSDBIOLOG</v>
      </c>
      <c r="E59" s="138" t="str">
        <f>Commodities!$AA$21</f>
        <v>RSD_DTA4_SH</v>
      </c>
      <c r="F59" s="228">
        <f>($J59*VLOOKUP(LEFT($B59,8),RSD_Stock!$H$22:$L$28,F$2,FALSE)*VLOOKUP($B59,RSD_Demands!$C$94:$E$157,F$2,FALSE)/1000)*Stk_Mult</f>
        <v>0</v>
      </c>
      <c r="G59" s="33"/>
      <c r="H59" s="33"/>
      <c r="I59" s="34"/>
      <c r="J59" s="202">
        <v>10</v>
      </c>
      <c r="K59" s="239">
        <f t="shared" si="9"/>
        <v>0</v>
      </c>
      <c r="L59" s="230">
        <f t="shared" si="10"/>
        <v>0</v>
      </c>
      <c r="M59" s="231">
        <f>VLOOKUP(LEFT($B59,11),RSD_En_Balance!$C$109:$R$190,MATCH($D59,RSD_En_Balance!$D$109:$R$109,0)+1,FALSE)*RSD_Demands!$G$94</f>
        <v>0.21980700000000003</v>
      </c>
      <c r="N59" s="175">
        <f t="shared" si="11"/>
        <v>-0.21980700000000003</v>
      </c>
      <c r="O59" s="232"/>
      <c r="Q59" s="8" t="s">
        <v>147</v>
      </c>
      <c r="R59" s="5" t="str">
        <f>Commodities!$AA$21&amp;"_"&amp;RIGHT(Commodities!$D$38,3)&amp;"_"&amp;$R$3&amp;"01"</f>
        <v>RSD_DTA4_SH_LOG_E01</v>
      </c>
      <c r="S59" s="5" t="s">
        <v>952</v>
      </c>
      <c r="T59" s="85" t="str">
        <f>General!$B$2</f>
        <v>PJ</v>
      </c>
      <c r="U59" s="85" t="str">
        <f>General!$B$5</f>
        <v>GW</v>
      </c>
      <c r="V59" s="11" t="s">
        <v>125</v>
      </c>
      <c r="W59" s="11"/>
      <c r="X59" s="11"/>
    </row>
    <row r="60" spans="2:28" ht="13.8" hidden="1">
      <c r="B60" s="41" t="s">
        <v>147</v>
      </c>
      <c r="C60" s="51" t="str">
        <f t="shared" si="13"/>
        <v>Detached A4 SpHeat DieselOil Boiler €</v>
      </c>
      <c r="D60" s="41" t="str">
        <f>Commodities!$D$34</f>
        <v>RSDOILDSL</v>
      </c>
      <c r="E60" s="138" t="str">
        <f>Commodities!$AA$21</f>
        <v>RSD_DTA4_SH</v>
      </c>
      <c r="F60" s="228">
        <f>($J60*VLOOKUP(LEFT($B60,8),RSD_Stock!$H$22:$L$28,F$2,FALSE)*VLOOKUP($B60,RSD_Demands!$C$94:$E$157,F$2,FALSE)/1000)*Stk_Mult</f>
        <v>0</v>
      </c>
      <c r="G60" s="250"/>
      <c r="H60" s="250"/>
      <c r="I60" s="34"/>
      <c r="J60" s="202">
        <v>10</v>
      </c>
      <c r="K60" s="239">
        <f t="shared" si="9"/>
        <v>0</v>
      </c>
      <c r="L60" s="230">
        <f t="shared" si="10"/>
        <v>0</v>
      </c>
      <c r="M60" s="231">
        <f>VLOOKUP(LEFT($B60,11),RSD_En_Balance!$C$109:$R$190,MATCH($D60,RSD_En_Balance!$D$109:$R$109,0)+1,FALSE)</f>
        <v>32.971049999999998</v>
      </c>
      <c r="N60" s="175">
        <f t="shared" si="11"/>
        <v>-32.971049999999998</v>
      </c>
      <c r="O60" s="232"/>
      <c r="Q60" s="8" t="s">
        <v>147</v>
      </c>
      <c r="R60" s="5" t="str">
        <f>Commodities!$AA$21&amp;"_"&amp;RIGHT(Commodities!$D$34,3)&amp;"_"&amp;$R$3&amp;"01"</f>
        <v>RSD_DTA4_SH_DSL_E01</v>
      </c>
      <c r="S60" s="5" t="s">
        <v>959</v>
      </c>
      <c r="T60" s="85" t="str">
        <f>General!$B$2</f>
        <v>PJ</v>
      </c>
      <c r="U60" s="85" t="str">
        <f>General!$B$5</f>
        <v>GW</v>
      </c>
      <c r="V60" s="11" t="s">
        <v>125</v>
      </c>
      <c r="W60" s="11"/>
      <c r="X60" s="11"/>
    </row>
    <row r="61" spans="2:28" ht="13.8" hidden="1">
      <c r="B61" s="41" t="s">
        <v>147</v>
      </c>
      <c r="C61" s="51" t="str">
        <f t="shared" si="13"/>
        <v>Detached A4 SpHeat Electric Heater (E)</v>
      </c>
      <c r="D61" s="41" t="str">
        <f>Commodities!$D$48</f>
        <v>RSDELC</v>
      </c>
      <c r="E61" s="138" t="str">
        <f>Commodities!$AA$21</f>
        <v>RSD_DTA4_SH</v>
      </c>
      <c r="F61" s="228">
        <f>($J61*VLOOKUP(LEFT($B61,8),RSD_Stock!$H$21:$L$28,F$2,FALSE)*VLOOKUP($B61,RSD_Demands!$C$94:$E$157,F$2,FALSE)/1000)*Stk_Mult</f>
        <v>0</v>
      </c>
      <c r="G61" s="179"/>
      <c r="H61" s="179"/>
      <c r="I61" s="34"/>
      <c r="J61" s="202">
        <v>1.5</v>
      </c>
      <c r="K61" s="239">
        <f t="shared" si="9"/>
        <v>0</v>
      </c>
      <c r="L61" s="230">
        <f t="shared" si="10"/>
        <v>0</v>
      </c>
      <c r="M61" s="231">
        <f>VLOOKUP(LEFT($B61,11),RSD_En_Balance!$C$109:$R$190,MATCH($D61,RSD_En_Balance!$D$109:$R$109,0)+1,FALSE)</f>
        <v>9.8234888399999984E-2</v>
      </c>
      <c r="N61" s="175">
        <f t="shared" si="11"/>
        <v>-9.8234888399999984E-2</v>
      </c>
      <c r="O61" s="232"/>
      <c r="Q61" s="8" t="s">
        <v>147</v>
      </c>
      <c r="R61" s="5" t="str">
        <f>Commodities!$AA$21&amp;"_"&amp;RIGHT(Commodities!$D$48,3)&amp;"_"&amp;$R$3&amp;"01"</f>
        <v>RSD_DTA4_SH_ELC_E01</v>
      </c>
      <c r="S61" s="5" t="s">
        <v>725</v>
      </c>
      <c r="T61" s="85" t="str">
        <f>General!$B$2</f>
        <v>PJ</v>
      </c>
      <c r="U61" s="85" t="str">
        <f>General!$B$5</f>
        <v>GW</v>
      </c>
      <c r="V61" s="11" t="s">
        <v>125</v>
      </c>
      <c r="W61" s="11"/>
      <c r="X61" s="11"/>
    </row>
    <row r="62" spans="2:28" ht="13.8" hidden="1">
      <c r="B62" s="41" t="s">
        <v>147</v>
      </c>
      <c r="C62" s="152" t="str">
        <f t="shared" si="13"/>
        <v>Detached A4 SpHeat LPG Boiler (E)</v>
      </c>
      <c r="D62" s="152" t="str">
        <f>Commodities!$D$35</f>
        <v>RSDOILLPG</v>
      </c>
      <c r="E62" s="153" t="str">
        <f>Commodities!$AA$21</f>
        <v>RSD_DTA4_SH</v>
      </c>
      <c r="F62" s="233">
        <f>($J62*VLOOKUP(LEFT($B62,8),RSD_Stock!$H$22:$L$28,F$2,FALSE)*VLOOKUP($B62,RSD_Demands!$C$94:$E$157,F$2,FALSE)/1000)*Stk_Mult</f>
        <v>0</v>
      </c>
      <c r="G62" s="179"/>
      <c r="H62" s="179"/>
      <c r="I62" s="34"/>
      <c r="J62" s="234">
        <v>10</v>
      </c>
      <c r="K62" s="239">
        <f t="shared" si="9"/>
        <v>0</v>
      </c>
      <c r="L62" s="230">
        <f t="shared" si="10"/>
        <v>0</v>
      </c>
      <c r="M62" s="236">
        <f>VLOOKUP(LEFT($B62,11),RSD_En_Balance!$C$109:$R$190,MATCH($D62,RSD_En_Balance!$D$109:$R$109,0)+1,FALSE)</f>
        <v>0</v>
      </c>
      <c r="N62" s="178">
        <f t="shared" si="11"/>
        <v>0</v>
      </c>
      <c r="O62" s="237"/>
      <c r="Q62" s="8" t="s">
        <v>147</v>
      </c>
      <c r="R62" s="100" t="str">
        <f>Commodities!$AA$21&amp;"_"&amp;RIGHT(Commodities!$D$35,3)&amp;"_"&amp;$R$3&amp;"01"</f>
        <v>RSD_DTA4_SH_LPG_E01</v>
      </c>
      <c r="S62" s="100" t="s">
        <v>726</v>
      </c>
      <c r="T62" s="101" t="str">
        <f>General!$B$2</f>
        <v>PJ</v>
      </c>
      <c r="U62" s="101" t="str">
        <f>General!$B$5</f>
        <v>GW</v>
      </c>
      <c r="V62" s="101" t="s">
        <v>125</v>
      </c>
      <c r="W62" s="101"/>
      <c r="X62" s="101"/>
    </row>
    <row r="63" spans="2:28" ht="13.8" hidden="1">
      <c r="B63" s="41" t="s">
        <v>147</v>
      </c>
      <c r="C63" s="51" t="str">
        <f t="shared" si="13"/>
        <v>Apartment A4 SpHeat Coal Stove (E)</v>
      </c>
      <c r="D63" s="51" t="str">
        <f>Commodities!$D$31</f>
        <v>RSDCOABIC</v>
      </c>
      <c r="E63" s="138" t="str">
        <f>Commodities!$AA$22</f>
        <v>RSD_APA4_SH</v>
      </c>
      <c r="F63" s="228">
        <f>($J63*VLOOKUP(LEFT($B63,8),RSD_Stock!$H$22:$L$28,F$2,FALSE)*VLOOKUP($B63,RSD_Demands!$C$94:$E$157,F$2,FALSE)/1000)*Stk_Mult</f>
        <v>0</v>
      </c>
      <c r="G63" s="179"/>
      <c r="H63" s="179"/>
      <c r="I63" s="34" t="s">
        <v>940</v>
      </c>
      <c r="J63" s="238">
        <f>ROUNDUP(J55/3,1)</f>
        <v>3.4</v>
      </c>
      <c r="K63" s="248">
        <f t="shared" si="9"/>
        <v>0</v>
      </c>
      <c r="L63" s="246">
        <f t="shared" si="10"/>
        <v>0</v>
      </c>
      <c r="M63" s="231">
        <f>VLOOKUP(LEFT($B63,11),RSD_En_Balance!$C$109:$R$190,MATCH($D63,RSD_En_Balance!$D$109:$R$109,0)+1,FALSE)</f>
        <v>0</v>
      </c>
      <c r="N63" s="175">
        <f t="shared" si="11"/>
        <v>0</v>
      </c>
      <c r="O63" s="232" t="e">
        <f>SUM(K63:K70)/RSD_Stock!$E$28</f>
        <v>#DIV/0!</v>
      </c>
      <c r="Q63" s="8" t="s">
        <v>147</v>
      </c>
      <c r="R63" s="5" t="str">
        <f>Commodities!$AA$22&amp;"_"&amp;RIGHT(Commodities!$D$31,3)&amp;"_"&amp;$R$3&amp;"01"</f>
        <v>RSD_APA4_SH_BIC_E01</v>
      </c>
      <c r="S63" s="5" t="s">
        <v>757</v>
      </c>
      <c r="T63" s="85" t="str">
        <f>General!$B$2</f>
        <v>PJ</v>
      </c>
      <c r="U63" s="85" t="str">
        <f>General!$B$5</f>
        <v>GW</v>
      </c>
      <c r="V63" s="11" t="s">
        <v>125</v>
      </c>
      <c r="W63" s="11"/>
      <c r="X63" s="11"/>
    </row>
    <row r="64" spans="2:28" ht="13.8" hidden="1">
      <c r="B64" s="41" t="s">
        <v>147</v>
      </c>
      <c r="C64" s="51" t="str">
        <f t="shared" si="13"/>
        <v>Apartment A4 SpHeat BCO Stove (E)</v>
      </c>
      <c r="D64" s="41" t="str">
        <f>Commodities!$D$33</f>
        <v>RSDCOABCO</v>
      </c>
      <c r="E64" s="138" t="str">
        <f>Commodities!$AA$22</f>
        <v>RSD_APA4_SH</v>
      </c>
      <c r="F64" s="228">
        <f>($J64*VLOOKUP(LEFT($B64,8),RSD_Stock!$H$22:$L$28,F$2,FALSE)*VLOOKUP($B64,RSD_Demands!$C$94:$E$157,F$2,FALSE)/1000)*Stk_Mult</f>
        <v>0</v>
      </c>
      <c r="G64" s="179"/>
      <c r="H64" s="179"/>
      <c r="I64" s="34"/>
      <c r="J64" s="238">
        <f t="shared" ref="J64:J70" si="14">ROUNDUP(J56/3,1)</f>
        <v>3.4</v>
      </c>
      <c r="K64" s="239">
        <f t="shared" si="9"/>
        <v>0</v>
      </c>
      <c r="L64" s="230">
        <f t="shared" si="10"/>
        <v>0</v>
      </c>
      <c r="M64" s="231">
        <f>VLOOKUP(LEFT($B64,11),RSD_En_Balance!$C$109:$R$190,MATCH($D64,RSD_En_Balance!$D$109:$R$109,0)+1,FALSE)</f>
        <v>0</v>
      </c>
      <c r="N64" s="175">
        <f t="shared" si="11"/>
        <v>0</v>
      </c>
      <c r="O64" s="232"/>
      <c r="Q64" s="8" t="s">
        <v>147</v>
      </c>
      <c r="R64" s="5" t="str">
        <f>Commodities!$AA$22&amp;"_"&amp;RIGHT(Commodities!$D$33,3)&amp;"_"&amp;$R$3&amp;"01"</f>
        <v>RSD_APA4_SH_BCO_E01</v>
      </c>
      <c r="S64" s="5" t="s">
        <v>892</v>
      </c>
      <c r="T64" s="85" t="str">
        <f>General!$B$2</f>
        <v>PJ</v>
      </c>
      <c r="U64" s="85" t="str">
        <f>General!$B$5</f>
        <v>GW</v>
      </c>
      <c r="V64" s="11" t="s">
        <v>125</v>
      </c>
      <c r="W64" s="11"/>
      <c r="X64" s="11"/>
    </row>
    <row r="65" spans="1:24" ht="13.8" hidden="1">
      <c r="B65" s="41" t="s">
        <v>147</v>
      </c>
      <c r="C65" s="51" t="str">
        <f t="shared" si="13"/>
        <v>Apartment A4 SpHeat Gas Boiler (E)</v>
      </c>
      <c r="D65" s="41" t="str">
        <f>Commodities!$D$37</f>
        <v>RSDGASNAT</v>
      </c>
      <c r="E65" s="138" t="str">
        <f>Commodities!$AA$22</f>
        <v>RSD_APA4_SH</v>
      </c>
      <c r="F65" s="228">
        <f>($J65*VLOOKUP(LEFT($B65,8),RSD_Stock!$H$22:$L$28,F$2,FALSE)*VLOOKUP($B65,RSD_Demands!$C$94:$E$157,F$2,FALSE)/1000)*Stk_Mult</f>
        <v>0</v>
      </c>
      <c r="G65" s="179"/>
      <c r="H65" s="179"/>
      <c r="I65" s="34"/>
      <c r="J65" s="238">
        <f t="shared" si="14"/>
        <v>3.4</v>
      </c>
      <c r="K65" s="239">
        <f t="shared" si="9"/>
        <v>0</v>
      </c>
      <c r="L65" s="230">
        <f t="shared" si="10"/>
        <v>0</v>
      </c>
      <c r="M65" s="231">
        <f>VLOOKUP(LEFT($B65,11),RSD_En_Balance!$C$109:$R$190,MATCH($D65,RSD_En_Balance!$D$109:$R$109,0)+1,FALSE)</f>
        <v>6.8483068920000001</v>
      </c>
      <c r="N65" s="175">
        <f t="shared" si="11"/>
        <v>-6.8483068920000001</v>
      </c>
      <c r="O65" s="232"/>
      <c r="Q65" s="8" t="s">
        <v>147</v>
      </c>
      <c r="R65" s="5" t="str">
        <f>Commodities!$AA$22&amp;"_"&amp;LEFT(RIGHT(Commodities!$D$37,6),3)&amp;"_"&amp;$R$3&amp;"01"</f>
        <v>RSD_APA4_SH_GAS_E01</v>
      </c>
      <c r="S65" s="5" t="s">
        <v>758</v>
      </c>
      <c r="T65" s="85" t="str">
        <f>General!$B$2</f>
        <v>PJ</v>
      </c>
      <c r="U65" s="85" t="str">
        <f>General!$B$5</f>
        <v>GW</v>
      </c>
      <c r="V65" s="11" t="s">
        <v>125</v>
      </c>
      <c r="W65" s="11"/>
      <c r="X65" s="11"/>
    </row>
    <row r="66" spans="1:24" ht="13.8" hidden="1">
      <c r="B66" s="41" t="s">
        <v>147</v>
      </c>
      <c r="C66" s="51" t="str">
        <f t="shared" si="13"/>
        <v>Apartment A4 SpHeat Dist. Heat (E)</v>
      </c>
      <c r="D66" s="51" t="str">
        <f>Commodities!$D$57</f>
        <v>RSDLTHA4</v>
      </c>
      <c r="E66" s="138" t="str">
        <f>Commodities!$AA$22</f>
        <v>RSD_APA4_SH</v>
      </c>
      <c r="F66" s="228">
        <f>($J66*VLOOKUP(LEFT($B66,8),RSD_Stock!$H$22:$L$28,F$2,FALSE)*VLOOKUP($B66,RSD_Demands!$C$94:$E$157,F$2,FALSE)/1000)*Stk_Mult</f>
        <v>0</v>
      </c>
      <c r="G66" s="179"/>
      <c r="H66" s="179"/>
      <c r="I66" s="34"/>
      <c r="J66" s="238">
        <f t="shared" si="14"/>
        <v>3.4</v>
      </c>
      <c r="K66" s="239">
        <f t="shared" si="9"/>
        <v>0</v>
      </c>
      <c r="L66" s="230">
        <f t="shared" si="10"/>
        <v>0</v>
      </c>
      <c r="M66" s="231">
        <f>VLOOKUP(LEFT($B66,11),RSD_En_Balance!$C$109:$R$190,MATCH("RSDLTH",RSD_En_Balance!$D$109:$R$109,0)+1,FALSE)</f>
        <v>0</v>
      </c>
      <c r="N66" s="175">
        <f t="shared" si="11"/>
        <v>0</v>
      </c>
      <c r="O66" s="232"/>
      <c r="Q66" s="8" t="s">
        <v>147</v>
      </c>
      <c r="R66" s="5" t="str">
        <f>Commodities!$AA$22&amp;"_"&amp;RIGHT(Commodities!$D$50,3)&amp;"_"&amp;$R$3&amp;"01"</f>
        <v>RSD_APA4_SH_LTH_E01</v>
      </c>
      <c r="S66" s="5" t="s">
        <v>759</v>
      </c>
      <c r="T66" s="85" t="str">
        <f>General!$B$2</f>
        <v>PJ</v>
      </c>
      <c r="U66" s="85" t="str">
        <f>General!$B$5</f>
        <v>GW</v>
      </c>
      <c r="V66" s="11" t="s">
        <v>125</v>
      </c>
      <c r="W66" s="11"/>
      <c r="X66" s="11"/>
    </row>
    <row r="67" spans="1:24" ht="13.8" hidden="1">
      <c r="B67" s="41" t="s">
        <v>147</v>
      </c>
      <c r="C67" s="51" t="str">
        <f t="shared" si="13"/>
        <v>Apartment A4 SpHeat  Wood Stove-Boiler €</v>
      </c>
      <c r="D67" s="41" t="str">
        <f>Commodities!$D$38</f>
        <v>RSDBIOLOG</v>
      </c>
      <c r="E67" s="138" t="str">
        <f>Commodities!$AA$22</f>
        <v>RSD_APA4_SH</v>
      </c>
      <c r="F67" s="228">
        <f>($J67*VLOOKUP(LEFT($B67,8),RSD_Stock!$H$22:$L$28,F$2,FALSE)*VLOOKUP($B67,RSD_Demands!$C$94:$E$157,F$2,FALSE)/1000)*Stk_Mult</f>
        <v>0</v>
      </c>
      <c r="G67" s="179"/>
      <c r="H67" s="179"/>
      <c r="I67" s="34"/>
      <c r="J67" s="238">
        <f t="shared" si="14"/>
        <v>3.4</v>
      </c>
      <c r="K67" s="239">
        <f t="shared" si="9"/>
        <v>0</v>
      </c>
      <c r="L67" s="247">
        <f t="shared" si="10"/>
        <v>0</v>
      </c>
      <c r="M67" s="231">
        <f>VLOOKUP(LEFT($B67,11),RSD_En_Balance!$C$109:$R$190,MATCH($D67,RSD_En_Balance!$D$109:$R$109,0)+1,FALSE)*RSD_Demands!$G$94</f>
        <v>0.21980700000000003</v>
      </c>
      <c r="N67" s="175">
        <f t="shared" si="11"/>
        <v>-0.21980700000000003</v>
      </c>
      <c r="O67" s="232"/>
      <c r="Q67" s="8" t="s">
        <v>147</v>
      </c>
      <c r="R67" s="5" t="str">
        <f>Commodities!$AA$22&amp;"_"&amp;RIGHT(Commodities!$D$38,3)&amp;"_"&amp;$R$3&amp;"01"</f>
        <v>RSD_APA4_SH_LOG_E01</v>
      </c>
      <c r="S67" s="5" t="s">
        <v>953</v>
      </c>
      <c r="T67" s="85" t="str">
        <f>General!$B$2</f>
        <v>PJ</v>
      </c>
      <c r="U67" s="85" t="str">
        <f>General!$B$5</f>
        <v>GW</v>
      </c>
      <c r="V67" s="11" t="s">
        <v>125</v>
      </c>
      <c r="W67" s="11"/>
      <c r="X67" s="11"/>
    </row>
    <row r="68" spans="1:24" ht="13.8" hidden="1">
      <c r="B68" s="41" t="s">
        <v>147</v>
      </c>
      <c r="C68" s="51" t="str">
        <f t="shared" si="13"/>
        <v>Apartment A4 SpHeat DieselOil Boiler €</v>
      </c>
      <c r="D68" s="41" t="str">
        <f>Commodities!$D$34</f>
        <v>RSDOILDSL</v>
      </c>
      <c r="E68" s="138" t="str">
        <f>Commodities!$AA$22</f>
        <v>RSD_APA4_SH</v>
      </c>
      <c r="F68" s="228">
        <f>($J68*VLOOKUP(LEFT($B68,8),RSD_Stock!$H$22:$L$28,F$2,FALSE)*VLOOKUP($B68,RSD_Demands!$C$94:$E$157,F$2,FALSE)/1000)*Stk_Mult</f>
        <v>0</v>
      </c>
      <c r="G68" s="179"/>
      <c r="H68" s="179"/>
      <c r="I68" s="34"/>
      <c r="J68" s="238">
        <f t="shared" si="14"/>
        <v>3.4</v>
      </c>
      <c r="K68" s="239">
        <f t="shared" si="9"/>
        <v>0</v>
      </c>
      <c r="L68" s="247">
        <f t="shared" si="10"/>
        <v>0</v>
      </c>
      <c r="M68" s="231">
        <f>VLOOKUP(LEFT($B68,11),RSD_En_Balance!$C$109:$R$190,MATCH($D68,RSD_En_Balance!$D$109:$R$109,0)+1,FALSE)</f>
        <v>32.971049999999998</v>
      </c>
      <c r="N68" s="175">
        <f t="shared" si="11"/>
        <v>-32.971049999999998</v>
      </c>
      <c r="O68" s="232"/>
      <c r="Q68" s="8" t="s">
        <v>147</v>
      </c>
      <c r="R68" s="5" t="str">
        <f>Commodities!$AA$22&amp;"_"&amp;RIGHT(Commodities!$D$34,3)&amp;"_"&amp;$R$3&amp;"01"</f>
        <v>RSD_APA4_SH_DSL_E01</v>
      </c>
      <c r="S68" s="5" t="s">
        <v>960</v>
      </c>
      <c r="T68" s="85" t="str">
        <f>General!$B$2</f>
        <v>PJ</v>
      </c>
      <c r="U68" s="85" t="str">
        <f>General!$B$5</f>
        <v>GW</v>
      </c>
      <c r="V68" s="11" t="s">
        <v>125</v>
      </c>
      <c r="W68" s="11"/>
      <c r="X68" s="11"/>
    </row>
    <row r="69" spans="1:24" ht="13.8" hidden="1">
      <c r="A69" s="206"/>
      <c r="B69" s="41" t="s">
        <v>147</v>
      </c>
      <c r="C69" s="51" t="str">
        <f t="shared" si="13"/>
        <v>Apartment A4 SpHeat Electric Heater (E)</v>
      </c>
      <c r="D69" s="41" t="str">
        <f>Commodities!$D$48</f>
        <v>RSDELC</v>
      </c>
      <c r="E69" s="138" t="str">
        <f>Commodities!$AA$22</f>
        <v>RSD_APA4_SH</v>
      </c>
      <c r="F69" s="228">
        <f>($J69*VLOOKUP(LEFT($B69,8),RSD_Stock!$H$21:$L$28,F$2,FALSE)*VLOOKUP($B69,RSD_Demands!$C$94:$E$157,F$2,FALSE)/1000)*Stk_Mult</f>
        <v>0</v>
      </c>
      <c r="G69" s="179"/>
      <c r="H69" s="179"/>
      <c r="I69" s="34"/>
      <c r="J69" s="238">
        <v>1.5</v>
      </c>
      <c r="K69" s="239">
        <f t="shared" si="9"/>
        <v>0</v>
      </c>
      <c r="L69" s="230">
        <f t="shared" si="10"/>
        <v>0</v>
      </c>
      <c r="M69" s="231">
        <f>VLOOKUP(LEFT($B69,11),RSD_En_Balance!$C$109:$R$190,MATCH($D69,RSD_En_Balance!$D$109:$R$109,0)+1,FALSE)</f>
        <v>9.8234888399999984E-2</v>
      </c>
      <c r="N69" s="175">
        <f t="shared" si="11"/>
        <v>-9.8234888399999984E-2</v>
      </c>
      <c r="O69" s="232"/>
      <c r="Q69" s="8" t="s">
        <v>147</v>
      </c>
      <c r="R69" s="5" t="str">
        <f>Commodities!$AA$22&amp;"_"&amp;RIGHT(Commodities!$D$48,3)&amp;"_"&amp;$R$3&amp;"01"</f>
        <v>RSD_APA4_SH_ELC_E01</v>
      </c>
      <c r="S69" s="5" t="s">
        <v>760</v>
      </c>
      <c r="T69" s="85" t="str">
        <f>General!$B$2</f>
        <v>PJ</v>
      </c>
      <c r="U69" s="85" t="str">
        <f>General!$B$5</f>
        <v>GW</v>
      </c>
      <c r="V69" s="11" t="s">
        <v>125</v>
      </c>
      <c r="W69" s="11"/>
      <c r="X69" s="11"/>
    </row>
    <row r="70" spans="1:24" ht="13.8" hidden="1">
      <c r="A70" s="41"/>
      <c r="B70" s="41" t="s">
        <v>147</v>
      </c>
      <c r="C70" s="152" t="str">
        <f t="shared" si="13"/>
        <v>Apartment A4 SpHeat LPG Boiler (E)</v>
      </c>
      <c r="D70" s="152" t="str">
        <f>Commodities!$D$35</f>
        <v>RSDOILLPG</v>
      </c>
      <c r="E70" s="153" t="str">
        <f>Commodities!$AA$22</f>
        <v>RSD_APA4_SH</v>
      </c>
      <c r="F70" s="233">
        <f>($J70*VLOOKUP(LEFT($B70,8),RSD_Stock!$H$22:$L$28,F$2,FALSE)*VLOOKUP($B70,RSD_Demands!$C$94:$E$157,F$2,FALSE)/1000)*Stk_Mult</f>
        <v>0</v>
      </c>
      <c r="G70" s="179"/>
      <c r="H70" s="179"/>
      <c r="I70" s="34"/>
      <c r="J70" s="241">
        <f t="shared" si="14"/>
        <v>3.4</v>
      </c>
      <c r="K70" s="242">
        <f t="shared" si="9"/>
        <v>0</v>
      </c>
      <c r="L70" s="235">
        <f t="shared" si="10"/>
        <v>0</v>
      </c>
      <c r="M70" s="236">
        <f>VLOOKUP(LEFT($B70,11),RSD_En_Balance!$C$109:$R$190,MATCH($D70,RSD_En_Balance!$D$109:$R$109,0)+1,FALSE)</f>
        <v>0</v>
      </c>
      <c r="N70" s="178">
        <f t="shared" si="11"/>
        <v>0</v>
      </c>
      <c r="O70" s="237"/>
      <c r="Q70" s="8" t="s">
        <v>147</v>
      </c>
      <c r="R70" s="100" t="str">
        <f>Commodities!$AA$22&amp;"_"&amp;RIGHT(Commodities!$D$35,3)&amp;"_"&amp;$R$3&amp;"01"</f>
        <v>RSD_APA4_SH_LPG_E01</v>
      </c>
      <c r="S70" s="100" t="s">
        <v>761</v>
      </c>
      <c r="T70" s="101" t="str">
        <f>General!$B$2</f>
        <v>PJ</v>
      </c>
      <c r="U70" s="101" t="str">
        <f>General!$B$5</f>
        <v>GW</v>
      </c>
      <c r="V70" s="101" t="s">
        <v>125</v>
      </c>
      <c r="W70" s="101"/>
      <c r="X70" s="101"/>
    </row>
    <row r="71" spans="1:24" ht="13.8">
      <c r="A71" s="41"/>
      <c r="D71" s="41"/>
      <c r="E71" s="41"/>
      <c r="F71" s="179"/>
      <c r="G71" s="179"/>
      <c r="H71" s="179"/>
      <c r="I71" s="34"/>
      <c r="J71" s="179"/>
      <c r="K71" s="179"/>
      <c r="L71" s="179"/>
      <c r="M71" s="179"/>
      <c r="N71" s="179"/>
      <c r="O71" s="179"/>
    </row>
    <row r="72" spans="1:24">
      <c r="A72" s="41"/>
      <c r="F72" s="180"/>
      <c r="G72" s="179"/>
      <c r="H72" s="179"/>
      <c r="I72" s="179"/>
      <c r="J72" s="179"/>
      <c r="K72" s="179"/>
      <c r="L72" s="179"/>
      <c r="M72" s="179"/>
      <c r="N72" s="179"/>
      <c r="O72" s="179"/>
    </row>
    <row r="73" spans="1:24" ht="13.8">
      <c r="A73" s="41"/>
      <c r="E73" s="86" t="s">
        <v>351</v>
      </c>
      <c r="G73" s="179"/>
      <c r="H73" s="179"/>
      <c r="I73" s="179"/>
      <c r="J73" s="179"/>
      <c r="K73" s="179"/>
      <c r="L73" s="179"/>
      <c r="M73" s="179"/>
      <c r="N73" s="179"/>
      <c r="O73" s="179"/>
    </row>
    <row r="74" spans="1:24" ht="13.8">
      <c r="A74" s="41"/>
      <c r="B74" s="88" t="s">
        <v>1</v>
      </c>
      <c r="C74" s="88" t="s">
        <v>42</v>
      </c>
      <c r="D74" s="88" t="s">
        <v>7</v>
      </c>
      <c r="E74" s="88" t="s">
        <v>0</v>
      </c>
      <c r="F74" s="121" t="s">
        <v>999</v>
      </c>
      <c r="G74" s="179"/>
      <c r="H74" s="179"/>
      <c r="I74" s="179"/>
      <c r="J74" s="179"/>
      <c r="K74" s="179"/>
      <c r="L74" s="179"/>
      <c r="M74" s="179"/>
      <c r="N74" s="179"/>
      <c r="O74" s="179"/>
    </row>
    <row r="75" spans="1:24" ht="14.4" thickBot="1">
      <c r="A75" s="41"/>
      <c r="B75" s="92" t="s">
        <v>356</v>
      </c>
      <c r="C75" s="92" t="s">
        <v>26</v>
      </c>
      <c r="D75" s="124" t="s">
        <v>36</v>
      </c>
      <c r="E75" s="123" t="s">
        <v>37</v>
      </c>
      <c r="F75" s="92"/>
      <c r="G75" s="179"/>
      <c r="H75" s="179"/>
      <c r="I75" s="179"/>
      <c r="J75" s="179"/>
      <c r="K75" s="179"/>
      <c r="L75" s="179"/>
      <c r="M75" s="179"/>
      <c r="N75" s="179"/>
      <c r="O75" s="179"/>
    </row>
    <row r="76" spans="1:24" ht="14.4" thickBot="1">
      <c r="A76" s="41"/>
      <c r="B76" s="127" t="s">
        <v>269</v>
      </c>
      <c r="C76" s="127"/>
      <c r="D76" s="127"/>
      <c r="E76" s="128"/>
      <c r="F76" s="130"/>
      <c r="G76" s="179"/>
      <c r="H76" s="179"/>
      <c r="I76" s="179"/>
      <c r="J76" s="179"/>
      <c r="K76" s="179"/>
      <c r="L76" s="179"/>
      <c r="M76" s="179"/>
      <c r="N76" s="179"/>
      <c r="O76" s="179"/>
    </row>
    <row r="77" spans="1:24">
      <c r="A77" s="206"/>
      <c r="B77" s="41" t="str">
        <f t="shared" ref="B77:B92" si="15">R7</f>
        <v>RSD_DTA1_SH_BIC_E01</v>
      </c>
      <c r="C77" s="41" t="str">
        <f t="shared" ref="C77:C99" si="16">S7</f>
        <v>Detached A1 SpHeat Coal Stove (E)</v>
      </c>
      <c r="D77" s="41"/>
      <c r="E77" s="135" t="str">
        <f>Commodities!$AA$15</f>
        <v>RSD_DTA1_SH</v>
      </c>
      <c r="F77" s="179">
        <v>0.5</v>
      </c>
      <c r="G77" s="179"/>
      <c r="H77" s="179"/>
      <c r="I77" s="179"/>
      <c r="J77" s="179"/>
      <c r="K77" s="179"/>
      <c r="L77" s="179"/>
      <c r="M77" s="179"/>
      <c r="N77" s="179"/>
      <c r="O77" s="179"/>
    </row>
    <row r="78" spans="1:24">
      <c r="A78" s="41"/>
      <c r="B78" s="41" t="str">
        <f t="shared" si="15"/>
        <v>RSD_DTA1_SH_HFO_E01</v>
      </c>
      <c r="C78" s="41" t="str">
        <f t="shared" si="16"/>
        <v>Detached A1 SpHeat Fuel Oil boiler (E)</v>
      </c>
      <c r="D78" s="41"/>
      <c r="E78" s="138" t="str">
        <f>Commodities!$AA$15</f>
        <v>RSD_DTA1_SH</v>
      </c>
      <c r="F78" s="179">
        <v>0.55000000000000004</v>
      </c>
      <c r="G78" s="179"/>
      <c r="H78" s="179"/>
      <c r="I78" s="179"/>
      <c r="J78" s="179"/>
      <c r="K78" s="179"/>
      <c r="L78" s="179"/>
      <c r="M78" s="179"/>
      <c r="N78" s="179"/>
      <c r="O78" s="179"/>
    </row>
    <row r="79" spans="1:24">
      <c r="A79" s="41"/>
      <c r="B79" s="41" t="str">
        <f t="shared" si="15"/>
        <v>RSD_DTA1_SH_GAS_E01</v>
      </c>
      <c r="C79" s="41" t="str">
        <f t="shared" si="16"/>
        <v>Detached A1 SpHeat Gas Boiler (E)</v>
      </c>
      <c r="D79" s="41"/>
      <c r="E79" s="138" t="str">
        <f>Commodities!$AA$15</f>
        <v>RSD_DTA1_SH</v>
      </c>
      <c r="F79" s="179">
        <v>0.75</v>
      </c>
      <c r="G79" s="179"/>
      <c r="H79" s="179"/>
      <c r="I79" s="179"/>
      <c r="J79" s="179"/>
      <c r="K79" s="179"/>
      <c r="L79" s="179"/>
      <c r="M79" s="179"/>
      <c r="N79" s="179"/>
      <c r="O79" s="179"/>
    </row>
    <row r="80" spans="1:24">
      <c r="A80" s="41"/>
      <c r="B80" s="41" t="str">
        <f t="shared" si="15"/>
        <v>RSD_DTA1_SH_LTH_E01</v>
      </c>
      <c r="C80" s="41" t="str">
        <f t="shared" si="16"/>
        <v>Detached A1 SpHeat Dist. Heat (E)</v>
      </c>
      <c r="D80" s="41"/>
      <c r="E80" s="138" t="str">
        <f>Commodities!$AA$15</f>
        <v>RSD_DTA1_SH</v>
      </c>
      <c r="F80" s="179">
        <v>0.85</v>
      </c>
      <c r="G80" s="179"/>
      <c r="H80" s="179"/>
      <c r="I80" s="179"/>
      <c r="J80" s="179"/>
      <c r="K80" s="179"/>
      <c r="L80" s="179"/>
      <c r="M80" s="179"/>
      <c r="N80" s="179"/>
      <c r="O80" s="179"/>
    </row>
    <row r="81" spans="1:15">
      <c r="A81" s="41"/>
      <c r="B81" s="41" t="str">
        <f t="shared" si="15"/>
        <v>RSD_DTA1_SH_LOG_E01</v>
      </c>
      <c r="C81" s="41" t="str">
        <f t="shared" si="16"/>
        <v>Detached A1 SpHeat Wood Stove-Boiler (E)</v>
      </c>
      <c r="D81" s="41"/>
      <c r="E81" s="138" t="str">
        <f>Commodities!$AA$15</f>
        <v>RSD_DTA1_SH</v>
      </c>
      <c r="F81" s="179">
        <v>0.5</v>
      </c>
      <c r="G81" s="179"/>
      <c r="H81" s="179"/>
      <c r="I81" s="179"/>
      <c r="J81" s="179"/>
      <c r="K81" s="179"/>
      <c r="L81" s="179"/>
      <c r="M81" s="179"/>
      <c r="N81" s="179"/>
      <c r="O81" s="179"/>
    </row>
    <row r="82" spans="1:15">
      <c r="A82" s="41"/>
      <c r="B82" s="41" t="str">
        <f t="shared" si="15"/>
        <v>RSD_DTA1_SH_DSL_E01</v>
      </c>
      <c r="C82" s="41" t="str">
        <f t="shared" si="16"/>
        <v>Detached A1 SpHeat DieselOil Boiler (E)</v>
      </c>
      <c r="D82" s="41"/>
      <c r="E82" s="138" t="str">
        <f>Commodities!$AA$15</f>
        <v>RSD_DTA1_SH</v>
      </c>
      <c r="F82" s="179">
        <v>0.6</v>
      </c>
      <c r="G82" s="179"/>
      <c r="H82" s="179"/>
      <c r="I82" s="179"/>
      <c r="J82" s="179"/>
      <c r="K82" s="179"/>
      <c r="L82" s="179"/>
      <c r="M82" s="179"/>
      <c r="N82" s="179"/>
      <c r="O82" s="179"/>
    </row>
    <row r="83" spans="1:15">
      <c r="A83" s="41"/>
      <c r="B83" s="41" t="str">
        <f t="shared" si="15"/>
        <v>RSD_DTA1_SH_ELC_E01</v>
      </c>
      <c r="C83" s="41" t="str">
        <f t="shared" si="16"/>
        <v>Detached A1 SpHeat Electric Heater (E)</v>
      </c>
      <c r="D83" s="41"/>
      <c r="E83" s="138" t="str">
        <f>Commodities!$AA$15</f>
        <v>RSD_DTA1_SH</v>
      </c>
      <c r="F83" s="179">
        <v>0.9</v>
      </c>
      <c r="G83" s="179"/>
      <c r="H83" s="179"/>
      <c r="I83" s="179"/>
      <c r="J83" s="179"/>
      <c r="K83" s="179"/>
      <c r="L83" s="179"/>
      <c r="M83" s="179"/>
      <c r="N83" s="179"/>
      <c r="O83" s="179"/>
    </row>
    <row r="84" spans="1:15">
      <c r="A84" s="41"/>
      <c r="B84" s="41" t="str">
        <f t="shared" si="15"/>
        <v>RSD_DTA1_SH_LPG_E01</v>
      </c>
      <c r="C84" s="41" t="str">
        <f t="shared" si="16"/>
        <v>Detached A1 SpHeat LPG Boiler (E)</v>
      </c>
      <c r="D84" s="41"/>
      <c r="E84" s="153" t="str">
        <f>Commodities!$AA$15</f>
        <v>RSD_DTA1_SH</v>
      </c>
      <c r="F84" s="165">
        <v>0.75</v>
      </c>
      <c r="G84" s="179"/>
      <c r="H84" s="179"/>
      <c r="I84" s="179"/>
      <c r="J84" s="179"/>
      <c r="K84" s="179"/>
      <c r="L84" s="179"/>
      <c r="M84" s="179"/>
      <c r="N84" s="179"/>
      <c r="O84" s="179"/>
    </row>
    <row r="85" spans="1:15">
      <c r="A85" s="206"/>
      <c r="B85" s="206" t="str">
        <f t="shared" si="15"/>
        <v>RSD_APA1_SH_BIC_E01</v>
      </c>
      <c r="C85" s="206" t="str">
        <f t="shared" si="16"/>
        <v>Apartment A1 SpHeat Coal Stove (E)</v>
      </c>
      <c r="D85" s="206"/>
      <c r="E85" s="138" t="str">
        <f>Commodities!$AA$16</f>
        <v>RSD_APA1_SH</v>
      </c>
      <c r="F85" s="179">
        <v>0.5</v>
      </c>
      <c r="G85" s="179"/>
      <c r="H85" s="179"/>
      <c r="I85" s="179"/>
      <c r="J85" s="179"/>
      <c r="K85" s="179"/>
      <c r="L85" s="179"/>
      <c r="M85" s="179"/>
      <c r="N85" s="179"/>
      <c r="O85" s="179"/>
    </row>
    <row r="86" spans="1:15">
      <c r="A86" s="41"/>
      <c r="B86" s="41" t="str">
        <f t="shared" si="15"/>
        <v>RSD_APA1_SH_HFO_E01</v>
      </c>
      <c r="C86" s="41" t="str">
        <f t="shared" si="16"/>
        <v>Apartment A1 SpHeat Fuel Oil boiler (E)</v>
      </c>
      <c r="D86" s="41"/>
      <c r="E86" s="138" t="str">
        <f>Commodities!$AA$16</f>
        <v>RSD_APA1_SH</v>
      </c>
      <c r="F86" s="179">
        <v>0.55000000000000004</v>
      </c>
      <c r="G86" s="179"/>
      <c r="H86" s="179"/>
      <c r="I86" s="179"/>
      <c r="J86" s="179"/>
      <c r="K86" s="179"/>
      <c r="L86" s="179"/>
      <c r="M86" s="179"/>
      <c r="N86" s="179"/>
      <c r="O86" s="179"/>
    </row>
    <row r="87" spans="1:15">
      <c r="A87" s="41"/>
      <c r="B87" s="41" t="str">
        <f t="shared" si="15"/>
        <v>RSD_APA1_SH_GAS_E01</v>
      </c>
      <c r="C87" s="41" t="str">
        <f t="shared" si="16"/>
        <v>Apartment A1 SpHeat Gas Boiler (E)</v>
      </c>
      <c r="D87" s="41"/>
      <c r="E87" s="138" t="str">
        <f>Commodities!$AA$16</f>
        <v>RSD_APA1_SH</v>
      </c>
      <c r="F87" s="179">
        <v>0.75</v>
      </c>
      <c r="G87" s="179"/>
      <c r="H87" s="179"/>
      <c r="I87" s="179"/>
      <c r="J87" s="179"/>
      <c r="K87" s="179"/>
      <c r="L87" s="179"/>
      <c r="M87" s="179"/>
      <c r="N87" s="179"/>
      <c r="O87" s="179"/>
    </row>
    <row r="88" spans="1:15">
      <c r="A88" s="41"/>
      <c r="B88" s="41" t="str">
        <f t="shared" si="15"/>
        <v>RSD_APA1_SH_LTH_E01</v>
      </c>
      <c r="C88" s="41" t="str">
        <f t="shared" si="16"/>
        <v>Apartment A1 SpHeat Dist. Heat (E)</v>
      </c>
      <c r="D88" s="41"/>
      <c r="E88" s="138" t="str">
        <f>Commodities!$AA$16</f>
        <v>RSD_APA1_SH</v>
      </c>
      <c r="F88" s="179">
        <v>0.85</v>
      </c>
      <c r="G88" s="179"/>
      <c r="H88" s="179"/>
      <c r="I88" s="179"/>
      <c r="J88" s="179"/>
      <c r="K88" s="179"/>
      <c r="L88" s="179"/>
      <c r="M88" s="179"/>
      <c r="N88" s="179"/>
      <c r="O88" s="179"/>
    </row>
    <row r="89" spans="1:15">
      <c r="A89" s="41"/>
      <c r="B89" s="41" t="str">
        <f t="shared" si="15"/>
        <v>RSD_APA1_SH_LOG_E01</v>
      </c>
      <c r="C89" s="41" t="str">
        <f t="shared" si="16"/>
        <v>Apartment A1 SpHeat  Wood Stove-Boiler €</v>
      </c>
      <c r="D89" s="41"/>
      <c r="E89" s="138" t="str">
        <f>Commodities!$AA$16</f>
        <v>RSD_APA1_SH</v>
      </c>
      <c r="F89" s="179">
        <v>0.5</v>
      </c>
      <c r="G89" s="179"/>
      <c r="H89" s="179"/>
      <c r="I89" s="179"/>
      <c r="J89" s="179"/>
      <c r="K89" s="179"/>
      <c r="L89" s="179"/>
      <c r="M89" s="179"/>
      <c r="N89" s="179"/>
      <c r="O89" s="179"/>
    </row>
    <row r="90" spans="1:15">
      <c r="A90" s="41"/>
      <c r="B90" s="41" t="str">
        <f t="shared" si="15"/>
        <v>RSD_APA1_SH_DSL_E01</v>
      </c>
      <c r="C90" s="41" t="str">
        <f t="shared" si="16"/>
        <v>Apartment A1 SpHeat DieselOil Boiler €</v>
      </c>
      <c r="D90" s="41"/>
      <c r="E90" s="138" t="str">
        <f>Commodities!$AA$16</f>
        <v>RSD_APA1_SH</v>
      </c>
      <c r="F90" s="179">
        <v>0.6</v>
      </c>
      <c r="G90" s="179"/>
      <c r="H90" s="179"/>
      <c r="I90" s="179"/>
      <c r="J90" s="179"/>
      <c r="K90" s="179"/>
      <c r="L90" s="179"/>
      <c r="M90" s="179"/>
      <c r="N90" s="179"/>
      <c r="O90" s="179"/>
    </row>
    <row r="91" spans="1:15">
      <c r="A91" s="41"/>
      <c r="B91" s="41" t="str">
        <f t="shared" si="15"/>
        <v>RSD_APA1_SH_ELC_E01</v>
      </c>
      <c r="C91" s="41" t="str">
        <f t="shared" si="16"/>
        <v>Apartment A1 SpHeat Electric Heater (E)</v>
      </c>
      <c r="D91" s="41"/>
      <c r="E91" s="138" t="str">
        <f>Commodities!$AA$16</f>
        <v>RSD_APA1_SH</v>
      </c>
      <c r="F91" s="179">
        <v>0.9</v>
      </c>
      <c r="G91" s="179"/>
      <c r="H91" s="179"/>
      <c r="I91" s="179"/>
      <c r="J91" s="179"/>
      <c r="K91" s="179"/>
      <c r="L91" s="179"/>
      <c r="M91" s="179"/>
      <c r="N91" s="179"/>
      <c r="O91" s="179"/>
    </row>
    <row r="92" spans="1:15">
      <c r="A92" s="41"/>
      <c r="B92" s="152" t="str">
        <f t="shared" si="15"/>
        <v>RSD_APA1_SH_LPG_E01</v>
      </c>
      <c r="C92" s="152" t="str">
        <f t="shared" si="16"/>
        <v>Apartment A1 Standing SpHeat LPG Boiler (E)</v>
      </c>
      <c r="D92" s="152"/>
      <c r="E92" s="153" t="str">
        <f>Commodities!$AA$16</f>
        <v>RSD_APA1_SH</v>
      </c>
      <c r="F92" s="165">
        <v>0.75</v>
      </c>
      <c r="G92" s="179"/>
      <c r="H92" s="179"/>
      <c r="I92" s="179"/>
      <c r="J92" s="179"/>
      <c r="K92" s="179"/>
      <c r="L92" s="179"/>
      <c r="M92" s="179"/>
      <c r="N92" s="179"/>
      <c r="O92" s="179"/>
    </row>
    <row r="93" spans="1:15" hidden="1">
      <c r="A93" s="206"/>
      <c r="B93" s="206" t="s">
        <v>147</v>
      </c>
      <c r="C93" s="206" t="str">
        <f t="shared" si="16"/>
        <v>Detached A2 SpHeat Coal Stove (E)</v>
      </c>
      <c r="D93" s="206"/>
      <c r="E93" s="138" t="str">
        <f>Commodities!$AA$17</f>
        <v>RSD_DTA2_SH</v>
      </c>
      <c r="F93" s="179">
        <v>0.5</v>
      </c>
      <c r="G93" s="179"/>
      <c r="H93" s="179"/>
      <c r="I93" s="179"/>
      <c r="J93" s="179"/>
      <c r="K93" s="179"/>
      <c r="L93" s="179"/>
      <c r="M93" s="179"/>
      <c r="N93" s="179"/>
      <c r="O93" s="179"/>
    </row>
    <row r="94" spans="1:15" hidden="1">
      <c r="A94" s="41"/>
      <c r="B94" s="41" t="s">
        <v>147</v>
      </c>
      <c r="C94" s="41" t="str">
        <f t="shared" si="16"/>
        <v>Detached A2 SpHeat BCO Stove (E)</v>
      </c>
      <c r="D94" s="41"/>
      <c r="E94" s="138" t="str">
        <f>Commodities!$AA$17</f>
        <v>RSD_DTA2_SH</v>
      </c>
      <c r="F94" s="179">
        <v>0.55000000000000004</v>
      </c>
      <c r="G94" s="179"/>
      <c r="H94" s="179"/>
      <c r="I94" s="179"/>
      <c r="J94" s="179"/>
      <c r="K94" s="179"/>
      <c r="L94" s="179"/>
      <c r="M94" s="179"/>
      <c r="N94" s="179"/>
      <c r="O94" s="179"/>
    </row>
    <row r="95" spans="1:15" hidden="1">
      <c r="A95" s="41"/>
      <c r="B95" s="41" t="s">
        <v>147</v>
      </c>
      <c r="C95" s="41" t="str">
        <f t="shared" si="16"/>
        <v>Detached A2 SpHeat Gas Boiler (E)</v>
      </c>
      <c r="D95" s="41"/>
      <c r="E95" s="138" t="str">
        <f>Commodities!$AA$17</f>
        <v>RSD_DTA2_SH</v>
      </c>
      <c r="F95" s="179">
        <v>0.75</v>
      </c>
      <c r="G95" s="179"/>
      <c r="H95" s="179"/>
      <c r="I95" s="179"/>
      <c r="J95" s="179"/>
      <c r="K95" s="179"/>
      <c r="L95" s="179"/>
      <c r="M95" s="179"/>
      <c r="N95" s="179"/>
      <c r="O95" s="179"/>
    </row>
    <row r="96" spans="1:15" hidden="1">
      <c r="A96" s="41"/>
      <c r="B96" s="41" t="s">
        <v>147</v>
      </c>
      <c r="C96" s="41" t="str">
        <f t="shared" si="16"/>
        <v>Detached A2 SpHeat Dist. Heat (E)</v>
      </c>
      <c r="D96" s="41"/>
      <c r="E96" s="138" t="str">
        <f>Commodities!$AA$17</f>
        <v>RSD_DTA2_SH</v>
      </c>
      <c r="F96" s="179">
        <v>0.85</v>
      </c>
      <c r="G96" s="179"/>
      <c r="H96" s="179"/>
      <c r="I96" s="179"/>
      <c r="J96" s="179"/>
      <c r="K96" s="179"/>
      <c r="L96" s="179"/>
      <c r="M96" s="179"/>
      <c r="N96" s="179"/>
      <c r="O96" s="179"/>
    </row>
    <row r="97" spans="1:15" hidden="1">
      <c r="A97" s="41"/>
      <c r="B97" s="41" t="s">
        <v>147</v>
      </c>
      <c r="C97" s="41" t="str">
        <f t="shared" si="16"/>
        <v>Detached A2 SpHeat  Wood Stove-Boiler €</v>
      </c>
      <c r="D97" s="41"/>
      <c r="E97" s="138" t="str">
        <f>Commodities!$AA$17</f>
        <v>RSD_DTA2_SH</v>
      </c>
      <c r="F97" s="179">
        <v>0.5</v>
      </c>
      <c r="G97" s="179"/>
      <c r="H97" s="179"/>
      <c r="I97" s="179"/>
      <c r="J97" s="179"/>
      <c r="K97" s="179"/>
      <c r="L97" s="179"/>
      <c r="M97" s="179"/>
      <c r="N97" s="179"/>
      <c r="O97" s="179"/>
    </row>
    <row r="98" spans="1:15" hidden="1">
      <c r="A98" s="41"/>
      <c r="B98" s="41" t="s">
        <v>147</v>
      </c>
      <c r="C98" s="41" t="str">
        <f t="shared" si="16"/>
        <v>Detached A2 SpHeat DieselOil Boiler €</v>
      </c>
      <c r="D98" s="41"/>
      <c r="E98" s="138" t="str">
        <f>Commodities!$AA$17</f>
        <v>RSD_DTA2_SH</v>
      </c>
      <c r="F98" s="179">
        <v>0.6</v>
      </c>
      <c r="G98" s="179"/>
      <c r="H98" s="179"/>
      <c r="I98" s="179"/>
      <c r="J98" s="179"/>
      <c r="K98" s="179"/>
      <c r="L98" s="179"/>
      <c r="M98" s="179"/>
      <c r="N98" s="179"/>
      <c r="O98" s="179"/>
    </row>
    <row r="99" spans="1:15" hidden="1">
      <c r="A99" s="41"/>
      <c r="B99" s="41" t="s">
        <v>147</v>
      </c>
      <c r="C99" s="41" t="str">
        <f t="shared" si="16"/>
        <v>Detached A2 SpHeat Electric Heater (E)</v>
      </c>
      <c r="D99" s="41"/>
      <c r="E99" s="138" t="str">
        <f>Commodities!$AA$17</f>
        <v>RSD_DTA2_SH</v>
      </c>
      <c r="F99" s="179">
        <v>0.9</v>
      </c>
      <c r="G99" s="179"/>
      <c r="H99" s="179"/>
      <c r="I99" s="179"/>
      <c r="J99" s="179"/>
      <c r="K99" s="179"/>
      <c r="L99" s="179"/>
      <c r="M99" s="179"/>
      <c r="N99" s="179"/>
      <c r="O99" s="179"/>
    </row>
    <row r="100" spans="1:15" hidden="1">
      <c r="A100" s="41"/>
      <c r="B100" s="41" t="s">
        <v>147</v>
      </c>
      <c r="C100" s="41" t="str">
        <f t="shared" ref="C100:C116" si="17">S30</f>
        <v>Detached A2 SpHeat LPG Boiler (E)</v>
      </c>
      <c r="D100" s="41"/>
      <c r="E100" s="153" t="str">
        <f>Commodities!$AA$17</f>
        <v>RSD_DTA2_SH</v>
      </c>
      <c r="F100" s="165">
        <v>0.75</v>
      </c>
      <c r="G100" s="179"/>
      <c r="H100" s="179"/>
      <c r="I100" s="179"/>
      <c r="J100" s="179"/>
      <c r="K100" s="179"/>
      <c r="L100" s="179"/>
      <c r="M100" s="179"/>
      <c r="N100" s="179"/>
      <c r="O100" s="179"/>
    </row>
    <row r="101" spans="1:15" hidden="1">
      <c r="A101" s="206"/>
      <c r="B101" s="41" t="s">
        <v>147</v>
      </c>
      <c r="C101" s="206" t="str">
        <f t="shared" si="17"/>
        <v>Apartment A2 SpHeat Coal Stove (E)</v>
      </c>
      <c r="D101" s="206"/>
      <c r="E101" s="138" t="str">
        <f>Commodities!$AA$18</f>
        <v>RSD_APA2_SH</v>
      </c>
      <c r="F101" s="179">
        <v>0.5</v>
      </c>
      <c r="G101" s="179"/>
      <c r="H101" s="179"/>
      <c r="I101" s="179"/>
      <c r="J101" s="179"/>
      <c r="K101" s="179"/>
      <c r="L101" s="179"/>
      <c r="M101" s="179"/>
      <c r="N101" s="179"/>
      <c r="O101" s="179"/>
    </row>
    <row r="102" spans="1:15" hidden="1">
      <c r="A102" s="41"/>
      <c r="B102" s="41" t="s">
        <v>147</v>
      </c>
      <c r="C102" s="41" t="str">
        <f t="shared" si="17"/>
        <v>Apartment A2 SpHeat BCO Stove (E)</v>
      </c>
      <c r="D102" s="41"/>
      <c r="E102" s="138" t="str">
        <f>Commodities!$AA$18</f>
        <v>RSD_APA2_SH</v>
      </c>
      <c r="F102" s="179">
        <v>0.55000000000000004</v>
      </c>
      <c r="G102" s="179"/>
      <c r="H102" s="179"/>
      <c r="I102" s="179"/>
      <c r="J102" s="179"/>
      <c r="K102" s="179"/>
      <c r="L102" s="179"/>
      <c r="M102" s="179"/>
      <c r="N102" s="179"/>
      <c r="O102" s="179"/>
    </row>
    <row r="103" spans="1:15" hidden="1">
      <c r="A103" s="41"/>
      <c r="B103" s="41" t="s">
        <v>147</v>
      </c>
      <c r="C103" s="41" t="str">
        <f t="shared" si="17"/>
        <v>Apartment A2 SpHeat Gas Boiler (E)</v>
      </c>
      <c r="D103" s="41"/>
      <c r="E103" s="138" t="str">
        <f>Commodities!$AA$18</f>
        <v>RSD_APA2_SH</v>
      </c>
      <c r="F103" s="179">
        <v>0.75</v>
      </c>
      <c r="G103" s="179"/>
      <c r="H103" s="179"/>
      <c r="I103" s="179"/>
      <c r="J103" s="179"/>
      <c r="K103" s="179"/>
      <c r="L103" s="179"/>
      <c r="M103" s="179"/>
      <c r="N103" s="179"/>
      <c r="O103" s="179"/>
    </row>
    <row r="104" spans="1:15" hidden="1">
      <c r="A104" s="41"/>
      <c r="B104" s="41" t="s">
        <v>147</v>
      </c>
      <c r="C104" s="41" t="str">
        <f t="shared" si="17"/>
        <v>Apartment A2 SpHeat Dist. Heat (E)</v>
      </c>
      <c r="D104" s="41"/>
      <c r="E104" s="138" t="str">
        <f>Commodities!$AA$18</f>
        <v>RSD_APA2_SH</v>
      </c>
      <c r="F104" s="179">
        <v>0.85</v>
      </c>
      <c r="G104" s="179"/>
      <c r="H104" s="179"/>
      <c r="I104" s="179"/>
      <c r="J104" s="179"/>
      <c r="K104" s="179"/>
      <c r="L104" s="179"/>
      <c r="M104" s="179"/>
      <c r="N104" s="179"/>
      <c r="O104" s="179"/>
    </row>
    <row r="105" spans="1:15" hidden="1">
      <c r="A105" s="41"/>
      <c r="B105" s="41" t="s">
        <v>147</v>
      </c>
      <c r="C105" s="41" t="str">
        <f t="shared" si="17"/>
        <v>Apartment A2 SpHeat  Wood Stove-Boiler €</v>
      </c>
      <c r="D105" s="41"/>
      <c r="E105" s="138" t="str">
        <f>Commodities!$AA$18</f>
        <v>RSD_APA2_SH</v>
      </c>
      <c r="F105" s="179">
        <v>0.5</v>
      </c>
      <c r="G105" s="179"/>
      <c r="H105" s="179"/>
      <c r="I105" s="179"/>
      <c r="J105" s="179"/>
      <c r="K105" s="179"/>
      <c r="L105" s="179"/>
      <c r="M105" s="179"/>
      <c r="N105" s="179"/>
      <c r="O105" s="179"/>
    </row>
    <row r="106" spans="1:15" hidden="1">
      <c r="A106" s="41"/>
      <c r="B106" s="41" t="s">
        <v>147</v>
      </c>
      <c r="C106" s="41" t="str">
        <f t="shared" si="17"/>
        <v>Apartment A2 SpHeat DieselOil Boiler €</v>
      </c>
      <c r="D106" s="41"/>
      <c r="E106" s="138" t="str">
        <f>Commodities!$AA$18</f>
        <v>RSD_APA2_SH</v>
      </c>
      <c r="F106" s="179">
        <v>0.6</v>
      </c>
      <c r="G106" s="179"/>
      <c r="H106" s="179"/>
      <c r="I106" s="179"/>
      <c r="J106" s="179"/>
      <c r="K106" s="179"/>
      <c r="L106" s="179"/>
      <c r="M106" s="179"/>
      <c r="N106" s="179"/>
      <c r="O106" s="179"/>
    </row>
    <row r="107" spans="1:15" hidden="1">
      <c r="A107" s="41"/>
      <c r="B107" s="41" t="s">
        <v>147</v>
      </c>
      <c r="C107" s="41" t="str">
        <f t="shared" si="17"/>
        <v>Apartment A2 SpHeat Electric Heater (E)</v>
      </c>
      <c r="D107" s="41"/>
      <c r="E107" s="138" t="str">
        <f>Commodities!$AA$18</f>
        <v>RSD_APA2_SH</v>
      </c>
      <c r="F107" s="179">
        <v>0.9</v>
      </c>
      <c r="G107" s="179"/>
      <c r="H107" s="179"/>
      <c r="I107" s="179"/>
      <c r="J107" s="179"/>
      <c r="K107" s="179"/>
      <c r="L107" s="179"/>
      <c r="M107" s="179"/>
      <c r="N107" s="179"/>
      <c r="O107" s="179"/>
    </row>
    <row r="108" spans="1:15" hidden="1">
      <c r="A108" s="152"/>
      <c r="B108" s="41" t="s">
        <v>147</v>
      </c>
      <c r="C108" s="41" t="str">
        <f t="shared" si="17"/>
        <v>Apartment A2 SpHeat LPG Boiler (E)</v>
      </c>
      <c r="D108" s="41"/>
      <c r="E108" s="153" t="str">
        <f>Commodities!$AA$18</f>
        <v>RSD_APA2_SH</v>
      </c>
      <c r="F108" s="165">
        <v>0.75</v>
      </c>
      <c r="G108" s="179"/>
      <c r="H108" s="179"/>
      <c r="I108" s="179"/>
      <c r="J108" s="179"/>
      <c r="K108" s="179"/>
      <c r="L108" s="179"/>
      <c r="M108" s="179"/>
      <c r="N108" s="179"/>
      <c r="O108" s="179"/>
    </row>
    <row r="109" spans="1:15" hidden="1">
      <c r="B109" s="41" t="s">
        <v>147</v>
      </c>
      <c r="C109" s="206" t="str">
        <f t="shared" si="17"/>
        <v>Detached A3 SpHeat Coal Stove (E)</v>
      </c>
      <c r="D109" s="206"/>
      <c r="E109" s="138" t="str">
        <f>Commodities!$AA$19</f>
        <v>RSD_DTA3_SH</v>
      </c>
      <c r="F109" s="179">
        <v>0.5</v>
      </c>
      <c r="G109" s="41"/>
      <c r="H109" s="41"/>
      <c r="I109" s="41"/>
      <c r="J109" s="41"/>
      <c r="K109" s="179"/>
      <c r="L109" s="179"/>
      <c r="M109" s="179"/>
      <c r="N109" s="179"/>
      <c r="O109" s="179"/>
    </row>
    <row r="110" spans="1:15" hidden="1">
      <c r="B110" s="41" t="s">
        <v>147</v>
      </c>
      <c r="C110" s="41" t="str">
        <f t="shared" si="17"/>
        <v>Detached A3 SpHeat BCO Stove (E)</v>
      </c>
      <c r="D110" s="41"/>
      <c r="E110" s="138" t="str">
        <f>Commodities!$AA$19</f>
        <v>RSD_DTA3_SH</v>
      </c>
      <c r="F110" s="179">
        <v>0.55000000000000004</v>
      </c>
      <c r="K110" s="179"/>
      <c r="L110" s="179"/>
      <c r="M110" s="179"/>
      <c r="N110" s="179"/>
      <c r="O110" s="179"/>
    </row>
    <row r="111" spans="1:15" hidden="1">
      <c r="B111" s="41" t="s">
        <v>147</v>
      </c>
      <c r="C111" s="41" t="str">
        <f t="shared" si="17"/>
        <v>Detached A3 SpHeat Gas Boiler (E)</v>
      </c>
      <c r="D111" s="41"/>
      <c r="E111" s="138" t="str">
        <f>Commodities!$AA$19</f>
        <v>RSD_DTA3_SH</v>
      </c>
      <c r="F111" s="179">
        <v>0.75</v>
      </c>
      <c r="K111" s="179"/>
      <c r="L111" s="179"/>
      <c r="M111" s="179"/>
      <c r="N111" s="179"/>
      <c r="O111" s="179"/>
    </row>
    <row r="112" spans="1:15" ht="13.8" hidden="1">
      <c r="B112" s="41" t="s">
        <v>147</v>
      </c>
      <c r="C112" s="41" t="str">
        <f t="shared" si="17"/>
        <v>Detached A3 SpHeat Dist. Heat (E)</v>
      </c>
      <c r="D112" s="41"/>
      <c r="E112" s="138" t="str">
        <f>Commodities!$AA$19</f>
        <v>RSD_DTA3_SH</v>
      </c>
      <c r="F112" s="179">
        <v>0.85</v>
      </c>
      <c r="G112" s="31"/>
      <c r="H112" s="31"/>
      <c r="I112" s="31"/>
      <c r="J112" s="31"/>
      <c r="K112" s="179"/>
      <c r="L112" s="179"/>
      <c r="M112" s="179"/>
      <c r="N112" s="179"/>
      <c r="O112" s="179"/>
    </row>
    <row r="113" spans="2:15" ht="13.8" hidden="1">
      <c r="B113" s="41" t="s">
        <v>147</v>
      </c>
      <c r="C113" s="41" t="str">
        <f t="shared" si="17"/>
        <v>Detached A3 SpHeat  Wood Stove-Boiler €</v>
      </c>
      <c r="D113" s="41"/>
      <c r="E113" s="138" t="str">
        <f>Commodities!$AA$19</f>
        <v>RSD_DTA3_SH</v>
      </c>
      <c r="F113" s="179">
        <v>0.5</v>
      </c>
      <c r="G113" s="33"/>
      <c r="H113" s="33"/>
      <c r="I113" s="33"/>
      <c r="J113" s="33"/>
      <c r="K113" s="179"/>
      <c r="L113" s="179"/>
      <c r="M113" s="179"/>
      <c r="N113" s="179"/>
      <c r="O113" s="179"/>
    </row>
    <row r="114" spans="2:15" ht="13.8" hidden="1">
      <c r="B114" s="41" t="s">
        <v>147</v>
      </c>
      <c r="C114" s="41" t="str">
        <f t="shared" si="17"/>
        <v>Detached A3 SpHeat DieselOil Boiler €</v>
      </c>
      <c r="D114" s="41"/>
      <c r="E114" s="138" t="str">
        <f>Commodities!$AA$19</f>
        <v>RSD_DTA3_SH</v>
      </c>
      <c r="F114" s="179">
        <v>0.6</v>
      </c>
      <c r="G114" s="35"/>
      <c r="H114" s="35"/>
      <c r="I114" s="35"/>
      <c r="J114" s="35"/>
    </row>
    <row r="115" spans="2:15" hidden="1">
      <c r="B115" s="41" t="s">
        <v>147</v>
      </c>
      <c r="C115" s="41" t="str">
        <f t="shared" si="17"/>
        <v>Detached A3 SpHeat Electric Heater (E)</v>
      </c>
      <c r="D115" s="41"/>
      <c r="E115" s="138" t="str">
        <f>Commodities!$AA$19</f>
        <v>RSD_DTA3_SH</v>
      </c>
      <c r="F115" s="179">
        <v>0.9</v>
      </c>
      <c r="G115" s="164"/>
      <c r="H115" s="164"/>
      <c r="I115" s="164"/>
      <c r="J115" s="164"/>
    </row>
    <row r="116" spans="2:15" hidden="1">
      <c r="B116" s="41" t="s">
        <v>147</v>
      </c>
      <c r="C116" s="41" t="str">
        <f t="shared" si="17"/>
        <v>Detached A3 SpHeat LPG Boiler (E)</v>
      </c>
      <c r="D116" s="41"/>
      <c r="E116" s="153" t="str">
        <f>Commodities!$AA$19</f>
        <v>RSD_DTA3_SH</v>
      </c>
      <c r="F116" s="165">
        <v>0.75</v>
      </c>
      <c r="G116" s="164"/>
      <c r="H116" s="164"/>
      <c r="I116" s="164"/>
      <c r="J116" s="164"/>
    </row>
    <row r="117" spans="2:15" hidden="1">
      <c r="B117" s="41" t="s">
        <v>147</v>
      </c>
      <c r="C117" s="206" t="str">
        <f t="shared" ref="C117:C131" si="18">S47</f>
        <v>Apartment A3 SpHeat Coal Stove (E)</v>
      </c>
      <c r="D117" s="206"/>
      <c r="E117" s="138" t="str">
        <f>Commodities!$AA$20</f>
        <v>RSD_APA3_SH</v>
      </c>
      <c r="F117" s="179">
        <v>0.5</v>
      </c>
      <c r="G117" s="164"/>
      <c r="H117" s="164"/>
      <c r="I117" s="164"/>
      <c r="J117" s="164"/>
    </row>
    <row r="118" spans="2:15" hidden="1">
      <c r="B118" s="41" t="s">
        <v>147</v>
      </c>
      <c r="C118" s="41" t="str">
        <f t="shared" si="18"/>
        <v>Apartment A3 SpHeat BCO Stove (E)</v>
      </c>
      <c r="D118" s="41"/>
      <c r="E118" s="138" t="str">
        <f>Commodities!$AA$20</f>
        <v>RSD_APA3_SH</v>
      </c>
      <c r="F118" s="179">
        <v>0.55000000000000004</v>
      </c>
      <c r="G118" s="179"/>
      <c r="H118" s="179"/>
      <c r="I118" s="179"/>
      <c r="J118" s="179"/>
    </row>
    <row r="119" spans="2:15" hidden="1">
      <c r="B119" s="41" t="s">
        <v>147</v>
      </c>
      <c r="C119" s="41" t="str">
        <f t="shared" si="18"/>
        <v>Apartment A3 SpHeat Gas Boiler (E)</v>
      </c>
      <c r="D119" s="41"/>
      <c r="E119" s="138" t="str">
        <f>Commodities!$AA$20</f>
        <v>RSD_APA3_SH</v>
      </c>
      <c r="F119" s="179">
        <v>0.75</v>
      </c>
      <c r="G119" s="164"/>
      <c r="H119" s="164"/>
      <c r="I119" s="164"/>
      <c r="J119" s="164"/>
    </row>
    <row r="120" spans="2:15" hidden="1">
      <c r="B120" s="41" t="s">
        <v>147</v>
      </c>
      <c r="C120" s="41" t="str">
        <f t="shared" si="18"/>
        <v>Apartment A3 SpHeat Dist. Heat (E)</v>
      </c>
      <c r="D120" s="41"/>
      <c r="E120" s="138" t="str">
        <f>Commodities!$AA$20</f>
        <v>RSD_APA3_SH</v>
      </c>
      <c r="F120" s="179">
        <v>0.85</v>
      </c>
      <c r="G120" s="164"/>
      <c r="H120" s="164"/>
      <c r="I120" s="164"/>
      <c r="J120" s="164"/>
    </row>
    <row r="121" spans="2:15" hidden="1">
      <c r="B121" s="41" t="s">
        <v>147</v>
      </c>
      <c r="C121" s="41" t="str">
        <f t="shared" si="18"/>
        <v>Apartment A3 SpHeat  Wood Stove-Boiler €</v>
      </c>
      <c r="D121" s="41"/>
      <c r="E121" s="138" t="str">
        <f>Commodities!$AA$20</f>
        <v>RSD_APA3_SH</v>
      </c>
      <c r="F121" s="179">
        <v>0.5</v>
      </c>
      <c r="G121" s="179"/>
      <c r="H121" s="179"/>
      <c r="I121" s="179"/>
      <c r="J121" s="179"/>
    </row>
    <row r="122" spans="2:15" hidden="1">
      <c r="B122" s="41" t="s">
        <v>147</v>
      </c>
      <c r="C122" s="41" t="str">
        <f t="shared" si="18"/>
        <v>Apartment A3 SpHeat DieselOil Boiler €</v>
      </c>
      <c r="D122" s="41"/>
      <c r="E122" s="138" t="str">
        <f>Commodities!$AA$20</f>
        <v>RSD_APA3_SH</v>
      </c>
      <c r="F122" s="179">
        <v>0.6</v>
      </c>
      <c r="G122" s="179"/>
      <c r="H122" s="179"/>
      <c r="I122" s="179"/>
      <c r="J122" s="179"/>
    </row>
    <row r="123" spans="2:15" hidden="1">
      <c r="B123" s="41" t="s">
        <v>147</v>
      </c>
      <c r="C123" s="41" t="str">
        <f t="shared" si="18"/>
        <v>Apartment A3 SpHeat Electric Heater (E)</v>
      </c>
      <c r="D123" s="41"/>
      <c r="E123" s="138" t="str">
        <f>Commodities!$AA$20</f>
        <v>RSD_APA3_SH</v>
      </c>
      <c r="F123" s="179">
        <v>0.9</v>
      </c>
      <c r="G123" s="179"/>
      <c r="H123" s="179"/>
      <c r="I123" s="179"/>
      <c r="J123" s="179"/>
    </row>
    <row r="124" spans="2:15" hidden="1">
      <c r="B124" s="41" t="s">
        <v>147</v>
      </c>
      <c r="C124" s="152" t="str">
        <f t="shared" si="18"/>
        <v>Apartment A3 SpHeat LPG Boiler (E)</v>
      </c>
      <c r="D124" s="152"/>
      <c r="E124" s="153" t="str">
        <f>Commodities!$AA$20</f>
        <v>RSD_APA3_SH</v>
      </c>
      <c r="F124" s="165">
        <v>0.75</v>
      </c>
      <c r="G124" s="179"/>
      <c r="H124" s="179"/>
      <c r="I124" s="179"/>
      <c r="J124" s="179"/>
    </row>
    <row r="125" spans="2:15" hidden="1">
      <c r="B125" s="41" t="s">
        <v>147</v>
      </c>
      <c r="C125" s="206" t="str">
        <f t="shared" si="18"/>
        <v>Detached A4 SpHeat Coal Stove (E)</v>
      </c>
      <c r="D125" s="206"/>
      <c r="E125" s="138" t="str">
        <f>Commodities!$AA$21</f>
        <v>RSD_DTA4_SH</v>
      </c>
      <c r="F125" s="179">
        <v>0.5</v>
      </c>
      <c r="G125" s="179"/>
      <c r="H125" s="179"/>
      <c r="I125" s="179"/>
      <c r="J125" s="179"/>
    </row>
    <row r="126" spans="2:15" hidden="1">
      <c r="B126" s="41" t="s">
        <v>147</v>
      </c>
      <c r="C126" s="41" t="str">
        <f t="shared" si="18"/>
        <v>Detached A4 SpHeat BCO Stove (E)</v>
      </c>
      <c r="D126" s="41"/>
      <c r="E126" s="138" t="str">
        <f>Commodities!$AA$21</f>
        <v>RSD_DTA4_SH</v>
      </c>
      <c r="F126" s="179">
        <v>0.55000000000000004</v>
      </c>
      <c r="G126" s="179"/>
      <c r="H126" s="179"/>
      <c r="I126" s="179"/>
      <c r="J126" s="179"/>
    </row>
    <row r="127" spans="2:15" hidden="1">
      <c r="B127" s="41" t="s">
        <v>147</v>
      </c>
      <c r="C127" s="41" t="str">
        <f t="shared" si="18"/>
        <v>Detached A4 SpHeat Gas Boiler (E)</v>
      </c>
      <c r="D127" s="41"/>
      <c r="E127" s="138" t="str">
        <f>Commodities!$AA$21</f>
        <v>RSD_DTA4_SH</v>
      </c>
      <c r="F127" s="179">
        <v>0.75</v>
      </c>
      <c r="G127" s="179"/>
      <c r="H127" s="179"/>
      <c r="I127" s="179"/>
      <c r="J127" s="179"/>
    </row>
    <row r="128" spans="2:15" hidden="1">
      <c r="B128" s="41" t="s">
        <v>147</v>
      </c>
      <c r="C128" s="41" t="str">
        <f t="shared" si="18"/>
        <v>Detached A4 SpHeat Dist. Heat (E)</v>
      </c>
      <c r="D128" s="41"/>
      <c r="E128" s="138" t="str">
        <f>Commodities!$AA$21</f>
        <v>RSD_DTA4_SH</v>
      </c>
      <c r="F128" s="179">
        <v>0.85</v>
      </c>
      <c r="G128" s="179"/>
      <c r="H128" s="179"/>
      <c r="I128" s="179"/>
      <c r="J128" s="179"/>
    </row>
    <row r="129" spans="2:10" hidden="1">
      <c r="B129" s="41" t="s">
        <v>147</v>
      </c>
      <c r="C129" s="41" t="str">
        <f t="shared" si="18"/>
        <v>Detached A4 SpHeat  Wood Stove-Boiler €</v>
      </c>
      <c r="D129" s="41"/>
      <c r="E129" s="138" t="str">
        <f>Commodities!$AA$21</f>
        <v>RSD_DTA4_SH</v>
      </c>
      <c r="F129" s="179">
        <v>0.5</v>
      </c>
      <c r="G129" s="179"/>
      <c r="H129" s="179"/>
      <c r="I129" s="179"/>
      <c r="J129" s="179"/>
    </row>
    <row r="130" spans="2:10" hidden="1">
      <c r="B130" s="41" t="s">
        <v>147</v>
      </c>
      <c r="C130" s="41" t="str">
        <f t="shared" si="18"/>
        <v>Detached A4 SpHeat DieselOil Boiler €</v>
      </c>
      <c r="D130" s="41"/>
      <c r="E130" s="138" t="str">
        <f>Commodities!$AA$21</f>
        <v>RSD_DTA4_SH</v>
      </c>
      <c r="F130" s="179">
        <v>0.6</v>
      </c>
      <c r="G130" s="179"/>
      <c r="H130" s="179"/>
      <c r="I130" s="179"/>
      <c r="J130" s="179"/>
    </row>
    <row r="131" spans="2:10" hidden="1">
      <c r="B131" s="41" t="s">
        <v>147</v>
      </c>
      <c r="C131" s="41" t="str">
        <f t="shared" si="18"/>
        <v>Detached A4 SpHeat Electric Heater (E)</v>
      </c>
      <c r="D131" s="41"/>
      <c r="E131" s="138" t="str">
        <f>Commodities!$AA$21</f>
        <v>RSD_DTA4_SH</v>
      </c>
      <c r="F131" s="179">
        <v>0.9</v>
      </c>
      <c r="G131" s="179"/>
      <c r="H131" s="179"/>
      <c r="I131" s="179"/>
      <c r="J131" s="179"/>
    </row>
    <row r="132" spans="2:10" hidden="1">
      <c r="B132" s="41" t="s">
        <v>147</v>
      </c>
      <c r="C132" s="41" t="str">
        <f t="shared" ref="C132:C140" si="19">S62</f>
        <v>Detached A4 SpHeat LPG Boiler (E)</v>
      </c>
      <c r="D132" s="41"/>
      <c r="E132" s="153" t="str">
        <f>Commodities!$AA$21</f>
        <v>RSD_DTA4_SH</v>
      </c>
      <c r="F132" s="165">
        <v>0.75</v>
      </c>
      <c r="G132" s="179"/>
      <c r="H132" s="179"/>
      <c r="I132" s="179"/>
      <c r="J132" s="179"/>
    </row>
    <row r="133" spans="2:10" hidden="1">
      <c r="B133" s="41" t="s">
        <v>147</v>
      </c>
      <c r="C133" s="206" t="str">
        <f t="shared" si="19"/>
        <v>Apartment A4 SpHeat Coal Stove (E)</v>
      </c>
      <c r="D133" s="206"/>
      <c r="E133" s="138" t="str">
        <f>Commodities!$AA$22</f>
        <v>RSD_APA4_SH</v>
      </c>
      <c r="F133" s="179">
        <v>0.5</v>
      </c>
      <c r="G133" s="179"/>
      <c r="H133" s="179"/>
      <c r="I133" s="179"/>
      <c r="J133" s="179"/>
    </row>
    <row r="134" spans="2:10" hidden="1">
      <c r="B134" s="41" t="s">
        <v>147</v>
      </c>
      <c r="C134" s="41" t="str">
        <f t="shared" si="19"/>
        <v>Apartment A4 SpHeat BCO Stove (E)</v>
      </c>
      <c r="D134" s="41"/>
      <c r="E134" s="138" t="str">
        <f>Commodities!$AA$22</f>
        <v>RSD_APA4_SH</v>
      </c>
      <c r="F134" s="179">
        <v>0.55000000000000004</v>
      </c>
      <c r="G134" s="179"/>
      <c r="H134" s="179"/>
      <c r="I134" s="179"/>
      <c r="J134" s="179"/>
    </row>
    <row r="135" spans="2:10" hidden="1">
      <c r="B135" s="41" t="s">
        <v>147</v>
      </c>
      <c r="C135" s="41" t="str">
        <f t="shared" si="19"/>
        <v>Apartment A4 SpHeat Gas Boiler (E)</v>
      </c>
      <c r="D135" s="41"/>
      <c r="E135" s="138" t="str">
        <f>Commodities!$AA$22</f>
        <v>RSD_APA4_SH</v>
      </c>
      <c r="F135" s="179">
        <v>0.75</v>
      </c>
      <c r="G135" s="179"/>
      <c r="H135" s="179"/>
      <c r="I135" s="179"/>
      <c r="J135" s="179"/>
    </row>
    <row r="136" spans="2:10" hidden="1">
      <c r="B136" s="41" t="s">
        <v>147</v>
      </c>
      <c r="C136" s="41" t="str">
        <f t="shared" si="19"/>
        <v>Apartment A4 SpHeat Dist. Heat (E)</v>
      </c>
      <c r="D136" s="41"/>
      <c r="E136" s="138" t="str">
        <f>Commodities!$AA$22</f>
        <v>RSD_APA4_SH</v>
      </c>
      <c r="F136" s="179">
        <v>0.85</v>
      </c>
      <c r="G136" s="179"/>
      <c r="H136" s="179"/>
      <c r="I136" s="179"/>
      <c r="J136" s="179"/>
    </row>
    <row r="137" spans="2:10" hidden="1">
      <c r="B137" s="41" t="s">
        <v>147</v>
      </c>
      <c r="C137" s="41" t="str">
        <f t="shared" si="19"/>
        <v>Apartment A4 SpHeat  Wood Stove-Boiler €</v>
      </c>
      <c r="D137" s="41"/>
      <c r="E137" s="138" t="str">
        <f>Commodities!$AA$22</f>
        <v>RSD_APA4_SH</v>
      </c>
      <c r="F137" s="179">
        <v>0.5</v>
      </c>
      <c r="G137" s="179"/>
      <c r="H137" s="179"/>
      <c r="I137" s="179"/>
      <c r="J137" s="179"/>
    </row>
    <row r="138" spans="2:10" hidden="1">
      <c r="B138" s="41" t="s">
        <v>147</v>
      </c>
      <c r="C138" s="41" t="str">
        <f t="shared" si="19"/>
        <v>Apartment A4 SpHeat DieselOil Boiler €</v>
      </c>
      <c r="D138" s="41"/>
      <c r="E138" s="138" t="str">
        <f>Commodities!$AA$22</f>
        <v>RSD_APA4_SH</v>
      </c>
      <c r="F138" s="179">
        <v>0.6</v>
      </c>
      <c r="G138" s="179"/>
      <c r="H138" s="179"/>
      <c r="I138" s="179"/>
      <c r="J138" s="179"/>
    </row>
    <row r="139" spans="2:10" hidden="1">
      <c r="B139" s="41" t="s">
        <v>147</v>
      </c>
      <c r="C139" s="41" t="str">
        <f t="shared" si="19"/>
        <v>Apartment A4 SpHeat Electric Heater (E)</v>
      </c>
      <c r="D139" s="41"/>
      <c r="E139" s="138" t="str">
        <f>Commodities!$AA$22</f>
        <v>RSD_APA4_SH</v>
      </c>
      <c r="F139" s="179">
        <v>0.9</v>
      </c>
      <c r="G139" s="179"/>
      <c r="H139" s="179"/>
      <c r="I139" s="179"/>
      <c r="J139" s="179"/>
    </row>
    <row r="140" spans="2:10" hidden="1">
      <c r="B140" s="41" t="s">
        <v>147</v>
      </c>
      <c r="C140" s="152" t="str">
        <f t="shared" si="19"/>
        <v>Apartment A4 SpHeat LPG Boiler (E)</v>
      </c>
      <c r="D140" s="152"/>
      <c r="E140" s="153" t="str">
        <f>Commodities!$AA$22</f>
        <v>RSD_APA4_SH</v>
      </c>
      <c r="F140" s="165">
        <v>0.75</v>
      </c>
      <c r="G140" s="179"/>
      <c r="H140" s="179"/>
      <c r="I140" s="179"/>
      <c r="J140" s="179"/>
    </row>
    <row r="141" spans="2:10">
      <c r="B141" s="41"/>
      <c r="C141" s="41"/>
      <c r="D141" s="41"/>
      <c r="E141" s="41"/>
      <c r="F141" s="179"/>
      <c r="G141" s="179"/>
      <c r="H141" s="179"/>
      <c r="I141" s="179"/>
      <c r="J141" s="179"/>
    </row>
    <row r="142" spans="2:10">
      <c r="G142" s="179"/>
      <c r="H142" s="179"/>
      <c r="I142" s="179"/>
      <c r="J142" s="179"/>
    </row>
    <row r="143" spans="2:10" ht="13.8">
      <c r="E143" s="86" t="s">
        <v>352</v>
      </c>
      <c r="G143" s="179"/>
      <c r="H143" s="179"/>
      <c r="I143" s="179"/>
      <c r="J143" s="179"/>
    </row>
    <row r="144" spans="2:10" ht="13.8">
      <c r="B144" s="88" t="s">
        <v>1</v>
      </c>
      <c r="C144" s="88" t="s">
        <v>42</v>
      </c>
      <c r="D144" s="88" t="s">
        <v>7</v>
      </c>
      <c r="E144" s="88" t="s">
        <v>0</v>
      </c>
      <c r="F144" s="121" t="s">
        <v>999</v>
      </c>
      <c r="G144" s="179"/>
      <c r="H144" s="179"/>
      <c r="I144" s="179"/>
      <c r="J144" s="179"/>
    </row>
    <row r="145" spans="1:11" ht="14.4" thickBot="1">
      <c r="B145" s="92" t="s">
        <v>356</v>
      </c>
      <c r="C145" s="92" t="s">
        <v>26</v>
      </c>
      <c r="D145" s="124" t="s">
        <v>36</v>
      </c>
      <c r="E145" s="123"/>
      <c r="F145" s="92"/>
      <c r="G145" s="179"/>
      <c r="H145" s="179"/>
      <c r="I145" s="179"/>
      <c r="J145" s="179"/>
    </row>
    <row r="146" spans="1:11" ht="14.4" thickBot="1">
      <c r="B146" s="92" t="s">
        <v>269</v>
      </c>
      <c r="C146" s="92"/>
      <c r="D146" s="92"/>
      <c r="E146" s="123"/>
      <c r="F146" s="124"/>
      <c r="G146" s="179"/>
      <c r="H146" s="179"/>
      <c r="I146" s="179"/>
      <c r="J146" s="179"/>
    </row>
    <row r="147" spans="1:11">
      <c r="A147" s="41"/>
      <c r="B147" s="51" t="str">
        <f t="shared" ref="B147:B162" si="20">R7</f>
        <v>RSD_DTA1_SH_BIC_E01</v>
      </c>
      <c r="C147" s="51" t="str">
        <f t="shared" ref="C147:C194" si="21">S7</f>
        <v>Detached A1 SpHeat Coal Stove (E)</v>
      </c>
      <c r="E147" s="135" t="str">
        <f>Commodities!$AA$15</f>
        <v>RSD_DTA1_SH</v>
      </c>
      <c r="F147" s="164">
        <v>31.536000000000001</v>
      </c>
      <c r="G147" s="179"/>
      <c r="H147" s="179"/>
      <c r="I147" s="179"/>
      <c r="J147" s="179"/>
      <c r="K147" s="41"/>
    </row>
    <row r="148" spans="1:11">
      <c r="A148" s="41"/>
      <c r="B148" s="51" t="str">
        <f t="shared" si="20"/>
        <v>RSD_DTA1_SH_HFO_E01</v>
      </c>
      <c r="C148" s="51" t="str">
        <f t="shared" si="21"/>
        <v>Detached A1 SpHeat Fuel Oil boiler (E)</v>
      </c>
      <c r="E148" s="138" t="str">
        <f>Commodities!$AA$15</f>
        <v>RSD_DTA1_SH</v>
      </c>
      <c r="F148" s="164">
        <v>31.536000000000001</v>
      </c>
      <c r="G148" s="179"/>
      <c r="H148" s="179"/>
      <c r="I148" s="179"/>
      <c r="J148" s="179"/>
      <c r="K148" s="41"/>
    </row>
    <row r="149" spans="1:11">
      <c r="A149" s="41"/>
      <c r="B149" s="51" t="str">
        <f t="shared" si="20"/>
        <v>RSD_DTA1_SH_GAS_E01</v>
      </c>
      <c r="C149" s="51" t="str">
        <f t="shared" si="21"/>
        <v>Detached A1 SpHeat Gas Boiler (E)</v>
      </c>
      <c r="E149" s="138" t="str">
        <f>Commodities!$AA$15</f>
        <v>RSD_DTA1_SH</v>
      </c>
      <c r="F149" s="164">
        <v>31.536000000000001</v>
      </c>
      <c r="G149" s="179"/>
      <c r="H149" s="179"/>
      <c r="I149" s="179"/>
      <c r="J149" s="179"/>
      <c r="K149" s="41"/>
    </row>
    <row r="150" spans="1:11">
      <c r="A150" s="41"/>
      <c r="B150" s="51" t="str">
        <f t="shared" si="20"/>
        <v>RSD_DTA1_SH_LTH_E01</v>
      </c>
      <c r="C150" s="51" t="str">
        <f t="shared" si="21"/>
        <v>Detached A1 SpHeat Dist. Heat (E)</v>
      </c>
      <c r="D150" s="41"/>
      <c r="E150" s="138" t="str">
        <f>Commodities!$AA$15</f>
        <v>RSD_DTA1_SH</v>
      </c>
      <c r="F150" s="179">
        <v>31.536000000000001</v>
      </c>
      <c r="G150" s="179"/>
      <c r="H150" s="179"/>
      <c r="I150" s="179"/>
      <c r="J150" s="179"/>
      <c r="K150" s="41"/>
    </row>
    <row r="151" spans="1:11">
      <c r="A151" s="41"/>
      <c r="B151" s="51" t="str">
        <f t="shared" si="20"/>
        <v>RSD_DTA1_SH_LOG_E01</v>
      </c>
      <c r="C151" s="51" t="str">
        <f t="shared" si="21"/>
        <v>Detached A1 SpHeat Wood Stove-Boiler (E)</v>
      </c>
      <c r="E151" s="138" t="str">
        <f>Commodities!$AA$15</f>
        <v>RSD_DTA1_SH</v>
      </c>
      <c r="F151" s="164">
        <v>31.536000000000001</v>
      </c>
      <c r="G151" s="179"/>
      <c r="H151" s="179"/>
      <c r="I151" s="179"/>
      <c r="J151" s="179"/>
      <c r="K151" s="41"/>
    </row>
    <row r="152" spans="1:11">
      <c r="A152" s="41"/>
      <c r="B152" s="51" t="str">
        <f t="shared" si="20"/>
        <v>RSD_DTA1_SH_DSL_E01</v>
      </c>
      <c r="C152" s="51" t="str">
        <f t="shared" si="21"/>
        <v>Detached A1 SpHeat DieselOil Boiler (E)</v>
      </c>
      <c r="E152" s="138" t="str">
        <f>Commodities!$AA$15</f>
        <v>RSD_DTA1_SH</v>
      </c>
      <c r="F152" s="164">
        <v>31.536000000000001</v>
      </c>
      <c r="G152" s="179"/>
      <c r="H152" s="179"/>
      <c r="I152" s="179"/>
      <c r="J152" s="179"/>
      <c r="K152" s="41"/>
    </row>
    <row r="153" spans="1:11">
      <c r="A153" s="41"/>
      <c r="B153" s="51" t="str">
        <f t="shared" si="20"/>
        <v>RSD_DTA1_SH_ELC_E01</v>
      </c>
      <c r="C153" s="51" t="str">
        <f t="shared" si="21"/>
        <v>Detached A1 SpHeat Electric Heater (E)</v>
      </c>
      <c r="D153" s="41"/>
      <c r="E153" s="138" t="str">
        <f>Commodities!$AA$15</f>
        <v>RSD_DTA1_SH</v>
      </c>
      <c r="F153" s="179">
        <f>31.536/5</f>
        <v>6.3071999999999999</v>
      </c>
      <c r="G153" s="179"/>
      <c r="H153" s="179"/>
      <c r="I153" s="179"/>
      <c r="J153" s="179"/>
      <c r="K153" s="41"/>
    </row>
    <row r="154" spans="1:11">
      <c r="A154" s="41"/>
      <c r="B154" s="152" t="str">
        <f t="shared" si="20"/>
        <v>RSD_DTA1_SH_LPG_E01</v>
      </c>
      <c r="C154" s="152" t="str">
        <f t="shared" si="21"/>
        <v>Detached A1 SpHeat LPG Boiler (E)</v>
      </c>
      <c r="D154" s="152"/>
      <c r="E154" s="153" t="str">
        <f>Commodities!$AA$15</f>
        <v>RSD_DTA1_SH</v>
      </c>
      <c r="F154" s="224">
        <v>31.536000000000001</v>
      </c>
      <c r="G154" s="179"/>
      <c r="H154" s="179"/>
      <c r="I154" s="179"/>
      <c r="J154" s="179"/>
      <c r="K154" s="41"/>
    </row>
    <row r="155" spans="1:11">
      <c r="A155" s="41"/>
      <c r="B155" s="51" t="str">
        <f t="shared" si="20"/>
        <v>RSD_APA1_SH_BIC_E01</v>
      </c>
      <c r="C155" s="51" t="str">
        <f t="shared" si="21"/>
        <v>Apartment A1 SpHeat Coal Stove (E)</v>
      </c>
      <c r="D155" s="41"/>
      <c r="E155" s="138" t="str">
        <f>Commodities!$AA$16</f>
        <v>RSD_APA1_SH</v>
      </c>
      <c r="F155" s="179">
        <v>31.536000000000001</v>
      </c>
      <c r="G155" s="179"/>
      <c r="H155" s="179"/>
      <c r="I155" s="179"/>
      <c r="J155" s="179"/>
      <c r="K155" s="41"/>
    </row>
    <row r="156" spans="1:11">
      <c r="A156" s="41"/>
      <c r="B156" s="51" t="str">
        <f t="shared" si="20"/>
        <v>RSD_APA1_SH_HFO_E01</v>
      </c>
      <c r="C156" s="51" t="str">
        <f t="shared" si="21"/>
        <v>Apartment A1 SpHeat Fuel Oil boiler (E)</v>
      </c>
      <c r="D156" s="41"/>
      <c r="E156" s="138" t="str">
        <f>Commodities!$AA$16</f>
        <v>RSD_APA1_SH</v>
      </c>
      <c r="F156" s="179">
        <v>31.536000000000001</v>
      </c>
      <c r="G156" s="179"/>
      <c r="H156" s="179"/>
      <c r="I156" s="179"/>
      <c r="J156" s="179"/>
      <c r="K156" s="41"/>
    </row>
    <row r="157" spans="1:11">
      <c r="A157" s="41"/>
      <c r="B157" s="51" t="str">
        <f t="shared" si="20"/>
        <v>RSD_APA1_SH_GAS_E01</v>
      </c>
      <c r="C157" s="51" t="str">
        <f t="shared" si="21"/>
        <v>Apartment A1 SpHeat Gas Boiler (E)</v>
      </c>
      <c r="D157" s="41"/>
      <c r="E157" s="138" t="str">
        <f>Commodities!$AA$16</f>
        <v>RSD_APA1_SH</v>
      </c>
      <c r="F157" s="179">
        <v>31.536000000000001</v>
      </c>
      <c r="G157" s="179"/>
      <c r="H157" s="179"/>
      <c r="I157" s="179"/>
      <c r="J157" s="179"/>
      <c r="K157" s="41"/>
    </row>
    <row r="158" spans="1:11">
      <c r="A158" s="41"/>
      <c r="B158" s="51" t="str">
        <f t="shared" si="20"/>
        <v>RSD_APA1_SH_LTH_E01</v>
      </c>
      <c r="C158" s="51" t="str">
        <f t="shared" si="21"/>
        <v>Apartment A1 SpHeat Dist. Heat (E)</v>
      </c>
      <c r="D158" s="41"/>
      <c r="E158" s="138" t="str">
        <f>Commodities!$AA$16</f>
        <v>RSD_APA1_SH</v>
      </c>
      <c r="F158" s="179">
        <v>31.536000000000001</v>
      </c>
      <c r="G158" s="179"/>
      <c r="H158" s="179"/>
      <c r="I158" s="179"/>
      <c r="J158" s="179"/>
      <c r="K158" s="41"/>
    </row>
    <row r="159" spans="1:11">
      <c r="A159" s="41"/>
      <c r="B159" s="51" t="str">
        <f t="shared" si="20"/>
        <v>RSD_APA1_SH_LOG_E01</v>
      </c>
      <c r="C159" s="51" t="str">
        <f t="shared" si="21"/>
        <v>Apartment A1 SpHeat  Wood Stove-Boiler €</v>
      </c>
      <c r="D159" s="41"/>
      <c r="E159" s="138" t="str">
        <f>Commodities!$AA$16</f>
        <v>RSD_APA1_SH</v>
      </c>
      <c r="F159" s="179">
        <v>31.536000000000001</v>
      </c>
      <c r="G159" s="179"/>
      <c r="H159" s="179"/>
      <c r="I159" s="179"/>
      <c r="J159" s="179"/>
      <c r="K159" s="41"/>
    </row>
    <row r="160" spans="1:11">
      <c r="A160" s="41"/>
      <c r="B160" s="51" t="str">
        <f t="shared" si="20"/>
        <v>RSD_APA1_SH_DSL_E01</v>
      </c>
      <c r="C160" s="51" t="str">
        <f t="shared" si="21"/>
        <v>Apartment A1 SpHeat DieselOil Boiler €</v>
      </c>
      <c r="D160" s="41"/>
      <c r="E160" s="138" t="str">
        <f>Commodities!$AA$16</f>
        <v>RSD_APA1_SH</v>
      </c>
      <c r="F160" s="179">
        <v>31.536000000000001</v>
      </c>
      <c r="G160" s="179"/>
      <c r="H160" s="179"/>
      <c r="I160" s="179"/>
      <c r="J160" s="179"/>
      <c r="K160" s="41"/>
    </row>
    <row r="161" spans="1:11">
      <c r="A161" s="41"/>
      <c r="B161" s="51" t="str">
        <f t="shared" si="20"/>
        <v>RSD_APA1_SH_ELC_E01</v>
      </c>
      <c r="C161" s="51" t="str">
        <f t="shared" si="21"/>
        <v>Apartment A1 SpHeat Electric Heater (E)</v>
      </c>
      <c r="D161" s="41"/>
      <c r="E161" s="138" t="str">
        <f>Commodities!$AA$16</f>
        <v>RSD_APA1_SH</v>
      </c>
      <c r="F161" s="179">
        <f>31.536/3</f>
        <v>10.512</v>
      </c>
      <c r="G161" s="179"/>
      <c r="H161" s="179"/>
      <c r="I161" s="179"/>
      <c r="J161" s="179"/>
      <c r="K161" s="41"/>
    </row>
    <row r="162" spans="1:11">
      <c r="A162" s="41"/>
      <c r="B162" s="152" t="str">
        <f t="shared" si="20"/>
        <v>RSD_APA1_SH_LPG_E01</v>
      </c>
      <c r="C162" s="152" t="str">
        <f t="shared" si="21"/>
        <v>Apartment A1 Standing SpHeat LPG Boiler (E)</v>
      </c>
      <c r="D162" s="152"/>
      <c r="E162" s="153" t="str">
        <f>Commodities!$AA$16</f>
        <v>RSD_APA1_SH</v>
      </c>
      <c r="F162" s="224">
        <v>31.536000000000001</v>
      </c>
      <c r="G162" s="179"/>
      <c r="H162" s="179"/>
      <c r="I162" s="179"/>
      <c r="J162" s="179"/>
      <c r="K162" s="41"/>
    </row>
    <row r="163" spans="1:11" hidden="1">
      <c r="A163" s="41"/>
      <c r="B163" s="206" t="s">
        <v>147</v>
      </c>
      <c r="C163" s="41" t="str">
        <f t="shared" si="21"/>
        <v>Detached A2 SpHeat Coal Stove (E)</v>
      </c>
      <c r="D163" s="41"/>
      <c r="E163" s="138" t="str">
        <f>Commodities!$AA$17</f>
        <v>RSD_DTA2_SH</v>
      </c>
      <c r="F163" s="179">
        <v>31.536000000000001</v>
      </c>
      <c r="G163" s="179"/>
      <c r="H163" s="179"/>
      <c r="I163" s="179"/>
      <c r="J163" s="179"/>
      <c r="K163" s="41"/>
    </row>
    <row r="164" spans="1:11" hidden="1">
      <c r="A164" s="41"/>
      <c r="B164" s="41" t="s">
        <v>147</v>
      </c>
      <c r="C164" s="41" t="str">
        <f t="shared" si="21"/>
        <v>Detached A2 SpHeat BCO Stove (E)</v>
      </c>
      <c r="D164" s="41"/>
      <c r="E164" s="138" t="str">
        <f>Commodities!$AA$17</f>
        <v>RSD_DTA2_SH</v>
      </c>
      <c r="F164" s="179">
        <v>31.536000000000001</v>
      </c>
      <c r="G164" s="179"/>
      <c r="H164" s="179"/>
      <c r="I164" s="179"/>
      <c r="J164" s="179"/>
      <c r="K164" s="41"/>
    </row>
    <row r="165" spans="1:11" hidden="1">
      <c r="A165" s="41"/>
      <c r="B165" s="41" t="s">
        <v>147</v>
      </c>
      <c r="C165" s="41" t="str">
        <f t="shared" si="21"/>
        <v>Detached A2 SpHeat Gas Boiler (E)</v>
      </c>
      <c r="D165" s="41"/>
      <c r="E165" s="138" t="str">
        <f>Commodities!$AA$17</f>
        <v>RSD_DTA2_SH</v>
      </c>
      <c r="F165" s="179">
        <v>31.536000000000001</v>
      </c>
      <c r="G165" s="179"/>
      <c r="H165" s="179"/>
      <c r="I165" s="179"/>
      <c r="J165" s="179"/>
      <c r="K165" s="41"/>
    </row>
    <row r="166" spans="1:11" hidden="1">
      <c r="A166" s="41"/>
      <c r="B166" s="41" t="s">
        <v>147</v>
      </c>
      <c r="C166" s="41" t="str">
        <f t="shared" si="21"/>
        <v>Detached A2 SpHeat Dist. Heat (E)</v>
      </c>
      <c r="D166" s="41"/>
      <c r="E166" s="138" t="str">
        <f>Commodities!$AA$17</f>
        <v>RSD_DTA2_SH</v>
      </c>
      <c r="F166" s="179">
        <v>31.536000000000001</v>
      </c>
      <c r="G166" s="179"/>
      <c r="H166" s="179"/>
      <c r="I166" s="179"/>
      <c r="J166" s="179"/>
      <c r="K166" s="41"/>
    </row>
    <row r="167" spans="1:11" hidden="1">
      <c r="A167" s="41"/>
      <c r="B167" s="41" t="s">
        <v>147</v>
      </c>
      <c r="C167" s="41" t="str">
        <f t="shared" si="21"/>
        <v>Detached A2 SpHeat  Wood Stove-Boiler €</v>
      </c>
      <c r="D167" s="41"/>
      <c r="E167" s="138" t="str">
        <f>Commodities!$AA$17</f>
        <v>RSD_DTA2_SH</v>
      </c>
      <c r="F167" s="179">
        <v>31.536000000000001</v>
      </c>
      <c r="G167" s="179"/>
      <c r="H167" s="179"/>
      <c r="I167" s="179"/>
      <c r="J167" s="179"/>
      <c r="K167" s="41"/>
    </row>
    <row r="168" spans="1:11" hidden="1">
      <c r="A168" s="41"/>
      <c r="B168" s="41" t="s">
        <v>147</v>
      </c>
      <c r="C168" s="41" t="str">
        <f t="shared" si="21"/>
        <v>Detached A2 SpHeat DieselOil Boiler €</v>
      </c>
      <c r="D168" s="41"/>
      <c r="E168" s="138" t="str">
        <f>Commodities!$AA$17</f>
        <v>RSD_DTA2_SH</v>
      </c>
      <c r="F168" s="179">
        <v>31.536000000000001</v>
      </c>
      <c r="G168" s="179"/>
      <c r="H168" s="179"/>
      <c r="I168" s="179"/>
      <c r="J168" s="179"/>
      <c r="K168" s="41"/>
    </row>
    <row r="169" spans="1:11" hidden="1">
      <c r="A169" s="41"/>
      <c r="B169" s="41" t="s">
        <v>147</v>
      </c>
      <c r="C169" s="41" t="str">
        <f t="shared" si="21"/>
        <v>Detached A2 SpHeat Electric Heater (E)</v>
      </c>
      <c r="D169" s="41"/>
      <c r="E169" s="138" t="str">
        <f>Commodities!$AA$17</f>
        <v>RSD_DTA2_SH</v>
      </c>
      <c r="F169" s="179">
        <f>31.536/5</f>
        <v>6.3071999999999999</v>
      </c>
      <c r="G169" s="179"/>
      <c r="H169" s="179"/>
      <c r="I169" s="179"/>
      <c r="J169" s="179"/>
      <c r="K169" s="41"/>
    </row>
    <row r="170" spans="1:11" hidden="1">
      <c r="A170" s="41"/>
      <c r="B170" s="41" t="s">
        <v>147</v>
      </c>
      <c r="C170" s="152" t="str">
        <f t="shared" si="21"/>
        <v>Detached A2 SpHeat LPG Boiler (E)</v>
      </c>
      <c r="D170" s="152"/>
      <c r="E170" s="153" t="str">
        <f>Commodities!$AA$17</f>
        <v>RSD_DTA2_SH</v>
      </c>
      <c r="F170" s="224">
        <v>31.536000000000001</v>
      </c>
      <c r="G170" s="179"/>
      <c r="H170" s="179"/>
      <c r="I170" s="179"/>
      <c r="J170" s="179"/>
      <c r="K170" s="41"/>
    </row>
    <row r="171" spans="1:11" hidden="1">
      <c r="A171" s="41"/>
      <c r="B171" s="41" t="s">
        <v>147</v>
      </c>
      <c r="C171" s="41" t="str">
        <f t="shared" si="21"/>
        <v>Apartment A2 SpHeat Coal Stove (E)</v>
      </c>
      <c r="D171" s="41"/>
      <c r="E171" s="138" t="str">
        <f>Commodities!$AA$18</f>
        <v>RSD_APA2_SH</v>
      </c>
      <c r="F171" s="179">
        <v>31.536000000000001</v>
      </c>
      <c r="G171" s="179"/>
      <c r="H171" s="179"/>
      <c r="I171" s="179"/>
      <c r="J171" s="179"/>
      <c r="K171" s="41"/>
    </row>
    <row r="172" spans="1:11" hidden="1">
      <c r="A172" s="41"/>
      <c r="B172" s="41" t="s">
        <v>147</v>
      </c>
      <c r="C172" s="41" t="str">
        <f t="shared" si="21"/>
        <v>Apartment A2 SpHeat BCO Stove (E)</v>
      </c>
      <c r="D172" s="41"/>
      <c r="E172" s="138" t="str">
        <f>Commodities!$AA$18</f>
        <v>RSD_APA2_SH</v>
      </c>
      <c r="F172" s="179">
        <v>31.536000000000001</v>
      </c>
      <c r="G172" s="179"/>
      <c r="H172" s="179"/>
      <c r="I172" s="179"/>
      <c r="J172" s="179"/>
      <c r="K172" s="41"/>
    </row>
    <row r="173" spans="1:11" hidden="1">
      <c r="A173" s="41"/>
      <c r="B173" s="41" t="s">
        <v>147</v>
      </c>
      <c r="C173" s="41" t="str">
        <f t="shared" si="21"/>
        <v>Apartment A2 SpHeat Gas Boiler (E)</v>
      </c>
      <c r="D173" s="41"/>
      <c r="E173" s="138" t="str">
        <f>Commodities!$AA$18</f>
        <v>RSD_APA2_SH</v>
      </c>
      <c r="F173" s="179">
        <v>31.536000000000001</v>
      </c>
      <c r="G173" s="179"/>
      <c r="H173" s="179"/>
      <c r="I173" s="179"/>
      <c r="J173" s="179"/>
      <c r="K173" s="41"/>
    </row>
    <row r="174" spans="1:11" hidden="1">
      <c r="A174" s="41"/>
      <c r="B174" s="41" t="s">
        <v>147</v>
      </c>
      <c r="C174" s="41" t="str">
        <f t="shared" si="21"/>
        <v>Apartment A2 SpHeat Dist. Heat (E)</v>
      </c>
      <c r="D174" s="41"/>
      <c r="E174" s="138" t="str">
        <f>Commodities!$AA$18</f>
        <v>RSD_APA2_SH</v>
      </c>
      <c r="F174" s="179">
        <v>31.536000000000001</v>
      </c>
      <c r="G174" s="179"/>
      <c r="H174" s="179"/>
      <c r="I174" s="179"/>
      <c r="J174" s="179"/>
      <c r="K174" s="41"/>
    </row>
    <row r="175" spans="1:11" hidden="1">
      <c r="A175" s="41"/>
      <c r="B175" s="41" t="s">
        <v>147</v>
      </c>
      <c r="C175" s="41" t="str">
        <f t="shared" si="21"/>
        <v>Apartment A2 SpHeat  Wood Stove-Boiler €</v>
      </c>
      <c r="D175" s="41"/>
      <c r="E175" s="138" t="str">
        <f>Commodities!$AA$18</f>
        <v>RSD_APA2_SH</v>
      </c>
      <c r="F175" s="179">
        <v>31.536000000000001</v>
      </c>
      <c r="G175" s="179"/>
      <c r="H175" s="179"/>
      <c r="I175" s="179"/>
      <c r="J175" s="179"/>
      <c r="K175" s="41"/>
    </row>
    <row r="176" spans="1:11" hidden="1">
      <c r="A176" s="41"/>
      <c r="B176" s="41" t="s">
        <v>147</v>
      </c>
      <c r="C176" s="41" t="str">
        <f t="shared" si="21"/>
        <v>Apartment A2 SpHeat DieselOil Boiler €</v>
      </c>
      <c r="D176" s="41"/>
      <c r="E176" s="138" t="str">
        <f>Commodities!$AA$18</f>
        <v>RSD_APA2_SH</v>
      </c>
      <c r="F176" s="179">
        <v>31.536000000000001</v>
      </c>
      <c r="G176" s="179"/>
      <c r="H176" s="179"/>
      <c r="I176" s="179"/>
      <c r="J176" s="179"/>
      <c r="K176" s="41"/>
    </row>
    <row r="177" spans="1:25" hidden="1">
      <c r="A177" s="41"/>
      <c r="B177" s="41" t="s">
        <v>147</v>
      </c>
      <c r="C177" s="41" t="str">
        <f t="shared" si="21"/>
        <v>Apartment A2 SpHeat Electric Heater (E)</v>
      </c>
      <c r="D177" s="41"/>
      <c r="E177" s="138" t="str">
        <f>Commodities!$AA$18</f>
        <v>RSD_APA2_SH</v>
      </c>
      <c r="F177" s="179">
        <f>31.536/3</f>
        <v>10.512</v>
      </c>
      <c r="G177" s="179"/>
      <c r="H177" s="179"/>
      <c r="I177" s="179"/>
      <c r="J177" s="179"/>
      <c r="K177" s="41"/>
    </row>
    <row r="178" spans="1:25" hidden="1">
      <c r="A178" s="41"/>
      <c r="B178" s="41" t="s">
        <v>147</v>
      </c>
      <c r="C178" s="152" t="str">
        <f t="shared" si="21"/>
        <v>Apartment A2 SpHeat LPG Boiler (E)</v>
      </c>
      <c r="D178" s="152"/>
      <c r="E178" s="153" t="str">
        <f>Commodities!$AA$18</f>
        <v>RSD_APA2_SH</v>
      </c>
      <c r="F178" s="224">
        <v>31.536000000000001</v>
      </c>
      <c r="G178" s="179"/>
      <c r="H178" s="179"/>
      <c r="I178" s="179"/>
      <c r="J178" s="179"/>
      <c r="K178" s="41"/>
    </row>
    <row r="179" spans="1:25" hidden="1">
      <c r="A179" s="41"/>
      <c r="B179" s="41" t="s">
        <v>147</v>
      </c>
      <c r="C179" s="41" t="str">
        <f t="shared" si="21"/>
        <v>Detached A3 SpHeat Coal Stove (E)</v>
      </c>
      <c r="D179" s="41"/>
      <c r="E179" s="138" t="str">
        <f>Commodities!$AA$19</f>
        <v>RSD_DTA3_SH</v>
      </c>
      <c r="F179" s="179">
        <v>31.536000000000001</v>
      </c>
      <c r="G179" s="179"/>
      <c r="H179" s="179"/>
      <c r="I179" s="179"/>
      <c r="J179" s="179"/>
      <c r="K179" s="41"/>
    </row>
    <row r="180" spans="1:25" hidden="1">
      <c r="A180" s="41"/>
      <c r="B180" s="41" t="s">
        <v>147</v>
      </c>
      <c r="C180" s="41" t="str">
        <f t="shared" si="21"/>
        <v>Detached A3 SpHeat BCO Stove (E)</v>
      </c>
      <c r="D180" s="41"/>
      <c r="E180" s="138" t="str">
        <f>Commodities!$AA$19</f>
        <v>RSD_DTA3_SH</v>
      </c>
      <c r="F180" s="179">
        <v>31.536000000000001</v>
      </c>
      <c r="G180" s="179"/>
      <c r="H180" s="179"/>
      <c r="I180" s="179"/>
      <c r="J180" s="179"/>
      <c r="K180" s="41"/>
    </row>
    <row r="181" spans="1:25" hidden="1">
      <c r="B181" s="41" t="s">
        <v>147</v>
      </c>
      <c r="C181" s="41" t="str">
        <f t="shared" si="21"/>
        <v>Detached A3 SpHeat Gas Boiler (E)</v>
      </c>
      <c r="D181" s="41"/>
      <c r="E181" s="138" t="str">
        <f>Commodities!$AA$19</f>
        <v>RSD_DTA3_SH</v>
      </c>
      <c r="F181" s="179">
        <v>31.536000000000001</v>
      </c>
      <c r="I181" s="179"/>
      <c r="J181" s="179"/>
      <c r="K181" s="41"/>
      <c r="S181" s="44"/>
      <c r="T181" s="44"/>
      <c r="U181" s="44"/>
      <c r="X181" s="51"/>
      <c r="Y181" s="51"/>
    </row>
    <row r="182" spans="1:25" hidden="1">
      <c r="B182" s="41" t="s">
        <v>147</v>
      </c>
      <c r="C182" s="41" t="str">
        <f t="shared" si="21"/>
        <v>Detached A3 SpHeat Dist. Heat (E)</v>
      </c>
      <c r="D182" s="41"/>
      <c r="E182" s="138" t="str">
        <f>Commodities!$AA$19</f>
        <v>RSD_DTA3_SH</v>
      </c>
      <c r="F182" s="179">
        <v>31.536000000000001</v>
      </c>
      <c r="I182" s="179"/>
      <c r="J182" s="179"/>
      <c r="K182" s="41"/>
      <c r="S182" s="44"/>
      <c r="T182" s="44"/>
      <c r="U182" s="44"/>
      <c r="X182" s="51"/>
      <c r="Y182" s="51"/>
    </row>
    <row r="183" spans="1:25" ht="13.8" hidden="1">
      <c r="B183" s="41" t="s">
        <v>147</v>
      </c>
      <c r="C183" s="41" t="str">
        <f t="shared" si="21"/>
        <v>Detached A3 SpHeat  Wood Stove-Boiler €</v>
      </c>
      <c r="D183" s="41"/>
      <c r="E183" s="138" t="str">
        <f>Commodities!$AA$19</f>
        <v>RSD_DTA3_SH</v>
      </c>
      <c r="F183" s="179">
        <v>31.536000000000001</v>
      </c>
      <c r="G183" s="31"/>
      <c r="H183" s="31"/>
      <c r="I183" s="179"/>
      <c r="J183" s="179"/>
      <c r="K183" s="41"/>
      <c r="S183" s="44"/>
      <c r="T183" s="44"/>
      <c r="U183" s="44"/>
      <c r="X183" s="51"/>
      <c r="Y183" s="51"/>
    </row>
    <row r="184" spans="1:25" ht="13.8" hidden="1">
      <c r="B184" s="41" t="s">
        <v>147</v>
      </c>
      <c r="C184" s="41" t="str">
        <f t="shared" si="21"/>
        <v>Detached A3 SpHeat DieselOil Boiler €</v>
      </c>
      <c r="D184" s="41"/>
      <c r="E184" s="138" t="str">
        <f>Commodities!$AA$19</f>
        <v>RSD_DTA3_SH</v>
      </c>
      <c r="F184" s="179">
        <v>31.536000000000001</v>
      </c>
      <c r="G184" s="33"/>
      <c r="H184" s="33"/>
      <c r="I184" s="179"/>
      <c r="J184" s="179"/>
      <c r="K184" s="41"/>
      <c r="S184" s="44"/>
      <c r="T184" s="44"/>
      <c r="U184" s="44"/>
      <c r="X184" s="51"/>
      <c r="Y184" s="51"/>
    </row>
    <row r="185" spans="1:25" ht="13.8" hidden="1">
      <c r="B185" s="41" t="s">
        <v>147</v>
      </c>
      <c r="C185" s="41" t="str">
        <f t="shared" si="21"/>
        <v>Detached A3 SpHeat Electric Heater (E)</v>
      </c>
      <c r="D185" s="41"/>
      <c r="E185" s="138" t="str">
        <f>Commodities!$AA$19</f>
        <v>RSD_DTA3_SH</v>
      </c>
      <c r="F185" s="179">
        <f>31.536/5</f>
        <v>6.3071999999999999</v>
      </c>
      <c r="G185" s="35"/>
      <c r="H185" s="35"/>
      <c r="I185" s="179"/>
      <c r="J185" s="179"/>
      <c r="K185" s="41"/>
      <c r="S185" s="44"/>
      <c r="T185" s="44"/>
      <c r="U185" s="44"/>
      <c r="X185" s="51"/>
      <c r="Y185" s="51"/>
    </row>
    <row r="186" spans="1:25" hidden="1">
      <c r="B186" s="41" t="s">
        <v>147</v>
      </c>
      <c r="C186" s="152" t="str">
        <f t="shared" si="21"/>
        <v>Detached A3 SpHeat LPG Boiler (E)</v>
      </c>
      <c r="D186" s="152"/>
      <c r="E186" s="153" t="str">
        <f>Commodities!$AA$19</f>
        <v>RSD_DTA3_SH</v>
      </c>
      <c r="F186" s="224">
        <v>31.536000000000001</v>
      </c>
      <c r="G186" s="164"/>
      <c r="H186" s="164"/>
      <c r="I186" s="179"/>
      <c r="J186" s="179"/>
      <c r="K186" s="41"/>
      <c r="S186" s="44"/>
      <c r="T186" s="44"/>
      <c r="U186" s="44"/>
      <c r="X186" s="51"/>
      <c r="Y186" s="51"/>
    </row>
    <row r="187" spans="1:25" hidden="1">
      <c r="B187" s="41" t="s">
        <v>147</v>
      </c>
      <c r="C187" s="41" t="str">
        <f t="shared" si="21"/>
        <v>Apartment A3 SpHeat Coal Stove (E)</v>
      </c>
      <c r="D187" s="41"/>
      <c r="E187" s="138" t="str">
        <f>Commodities!$AA$20</f>
        <v>RSD_APA3_SH</v>
      </c>
      <c r="F187" s="179">
        <v>31.536000000000001</v>
      </c>
      <c r="G187" s="164"/>
      <c r="H187" s="164"/>
      <c r="I187" s="179"/>
      <c r="J187" s="179"/>
      <c r="K187" s="41"/>
      <c r="S187" s="44"/>
      <c r="T187" s="44"/>
      <c r="U187" s="44"/>
      <c r="X187" s="51"/>
      <c r="Y187" s="51"/>
    </row>
    <row r="188" spans="1:25" hidden="1">
      <c r="B188" s="41" t="s">
        <v>147</v>
      </c>
      <c r="C188" s="41" t="str">
        <f t="shared" si="21"/>
        <v>Apartment A3 SpHeat BCO Stove (E)</v>
      </c>
      <c r="D188" s="41"/>
      <c r="E188" s="138" t="str">
        <f>Commodities!$AA$20</f>
        <v>RSD_APA3_SH</v>
      </c>
      <c r="F188" s="179">
        <v>31.536000000000001</v>
      </c>
      <c r="G188" s="164"/>
      <c r="H188" s="164"/>
      <c r="I188" s="179"/>
      <c r="J188" s="179"/>
      <c r="K188" s="41"/>
      <c r="S188" s="44"/>
      <c r="T188" s="44"/>
      <c r="U188" s="44"/>
      <c r="X188" s="51"/>
      <c r="Y188" s="51"/>
    </row>
    <row r="189" spans="1:25" hidden="1">
      <c r="B189" s="41" t="s">
        <v>147</v>
      </c>
      <c r="C189" s="41" t="str">
        <f t="shared" si="21"/>
        <v>Apartment A3 SpHeat Gas Boiler (E)</v>
      </c>
      <c r="D189" s="41"/>
      <c r="E189" s="138" t="str">
        <f>Commodities!$AA$20</f>
        <v>RSD_APA3_SH</v>
      </c>
      <c r="F189" s="179">
        <v>31.536000000000001</v>
      </c>
      <c r="G189" s="164"/>
      <c r="H189" s="164"/>
      <c r="I189" s="179"/>
      <c r="J189" s="179"/>
      <c r="K189" s="41"/>
      <c r="S189" s="44"/>
      <c r="T189" s="44"/>
      <c r="U189" s="44"/>
      <c r="X189" s="51"/>
      <c r="Y189" s="51"/>
    </row>
    <row r="190" spans="1:25" hidden="1">
      <c r="B190" s="41" t="s">
        <v>147</v>
      </c>
      <c r="C190" s="41" t="str">
        <f t="shared" si="21"/>
        <v>Apartment A3 SpHeat Dist. Heat (E)</v>
      </c>
      <c r="D190" s="41"/>
      <c r="E190" s="138" t="str">
        <f>Commodities!$AA$20</f>
        <v>RSD_APA3_SH</v>
      </c>
      <c r="F190" s="179">
        <v>31.536000000000001</v>
      </c>
      <c r="G190" s="164"/>
      <c r="H190" s="164"/>
      <c r="I190" s="179"/>
      <c r="J190" s="179"/>
      <c r="K190" s="41"/>
      <c r="S190" s="44"/>
      <c r="T190" s="44"/>
      <c r="U190" s="44"/>
      <c r="X190" s="51"/>
      <c r="Y190" s="51"/>
    </row>
    <row r="191" spans="1:25" hidden="1">
      <c r="B191" s="41" t="s">
        <v>147</v>
      </c>
      <c r="C191" s="41" t="str">
        <f t="shared" si="21"/>
        <v>Apartment A3 SpHeat  Wood Stove-Boiler €</v>
      </c>
      <c r="D191" s="41"/>
      <c r="E191" s="138" t="str">
        <f>Commodities!$AA$20</f>
        <v>RSD_APA3_SH</v>
      </c>
      <c r="F191" s="179">
        <v>31.536000000000001</v>
      </c>
      <c r="G191" s="164"/>
      <c r="H191" s="164"/>
      <c r="I191" s="179"/>
      <c r="J191" s="179"/>
      <c r="K191" s="41"/>
      <c r="S191" s="44"/>
      <c r="T191" s="44"/>
      <c r="U191" s="44"/>
      <c r="X191" s="51"/>
      <c r="Y191" s="51"/>
    </row>
    <row r="192" spans="1:25" hidden="1">
      <c r="B192" s="41" t="s">
        <v>147</v>
      </c>
      <c r="C192" s="41" t="str">
        <f t="shared" si="21"/>
        <v>Apartment A3 SpHeat DieselOil Boiler €</v>
      </c>
      <c r="D192" s="41"/>
      <c r="E192" s="138" t="str">
        <f>Commodities!$AA$20</f>
        <v>RSD_APA3_SH</v>
      </c>
      <c r="F192" s="179">
        <v>31.536000000000001</v>
      </c>
      <c r="G192" s="164"/>
      <c r="H192" s="164"/>
      <c r="I192" s="179"/>
      <c r="J192" s="179"/>
      <c r="K192" s="41"/>
      <c r="S192" s="44"/>
      <c r="T192" s="44"/>
      <c r="U192" s="44"/>
      <c r="X192" s="51"/>
      <c r="Y192" s="51"/>
    </row>
    <row r="193" spans="1:25" hidden="1">
      <c r="B193" s="41" t="s">
        <v>147</v>
      </c>
      <c r="C193" s="41" t="str">
        <f t="shared" si="21"/>
        <v>Apartment A3 SpHeat Electric Heater (E)</v>
      </c>
      <c r="D193" s="41"/>
      <c r="E193" s="138" t="str">
        <f>Commodities!$AA$20</f>
        <v>RSD_APA3_SH</v>
      </c>
      <c r="F193" s="179">
        <f>31.536/3</f>
        <v>10.512</v>
      </c>
      <c r="G193" s="179"/>
      <c r="H193" s="179"/>
      <c r="I193" s="179"/>
      <c r="J193" s="179"/>
      <c r="K193" s="41"/>
      <c r="S193" s="44"/>
      <c r="T193" s="44"/>
      <c r="U193" s="44"/>
      <c r="X193" s="51"/>
      <c r="Y193" s="51"/>
    </row>
    <row r="194" spans="1:25" hidden="1">
      <c r="B194" s="41" t="s">
        <v>147</v>
      </c>
      <c r="C194" s="152" t="str">
        <f t="shared" si="21"/>
        <v>Apartment A3 SpHeat LPG Boiler (E)</v>
      </c>
      <c r="D194" s="152"/>
      <c r="E194" s="153" t="str">
        <f>Commodities!$AA$20</f>
        <v>RSD_APA3_SH</v>
      </c>
      <c r="F194" s="224">
        <v>31.536000000000001</v>
      </c>
      <c r="G194" s="164"/>
      <c r="H194" s="164"/>
      <c r="I194" s="179"/>
      <c r="J194" s="179"/>
      <c r="K194" s="41"/>
      <c r="S194" s="44"/>
      <c r="T194" s="44"/>
      <c r="U194" s="44"/>
      <c r="X194" s="51"/>
      <c r="Y194" s="51"/>
    </row>
    <row r="195" spans="1:25" hidden="1">
      <c r="A195" s="41"/>
      <c r="B195" s="41" t="s">
        <v>147</v>
      </c>
      <c r="C195" s="41" t="str">
        <f t="shared" ref="C195:C210" si="22">S55</f>
        <v>Detached A4 SpHeat Coal Stove (E)</v>
      </c>
      <c r="D195" s="41"/>
      <c r="E195" s="138" t="str">
        <f>Commodities!$AA$21</f>
        <v>RSD_DTA4_SH</v>
      </c>
      <c r="F195" s="179">
        <v>31.536000000000001</v>
      </c>
      <c r="G195" s="179"/>
      <c r="H195" s="179"/>
      <c r="I195" s="179"/>
      <c r="J195" s="179"/>
      <c r="K195" s="41"/>
    </row>
    <row r="196" spans="1:25" hidden="1">
      <c r="A196" s="41"/>
      <c r="B196" s="41" t="s">
        <v>147</v>
      </c>
      <c r="C196" s="41" t="str">
        <f t="shared" si="22"/>
        <v>Detached A4 SpHeat BCO Stove (E)</v>
      </c>
      <c r="D196" s="41"/>
      <c r="E196" s="138" t="str">
        <f>Commodities!$AA$21</f>
        <v>RSD_DTA4_SH</v>
      </c>
      <c r="F196" s="179">
        <v>31.536000000000001</v>
      </c>
      <c r="G196" s="179"/>
      <c r="H196" s="179"/>
      <c r="I196" s="179"/>
      <c r="J196" s="179"/>
      <c r="K196" s="41"/>
    </row>
    <row r="197" spans="1:25" hidden="1">
      <c r="B197" s="41" t="s">
        <v>147</v>
      </c>
      <c r="C197" s="41" t="str">
        <f t="shared" si="22"/>
        <v>Detached A4 SpHeat Gas Boiler (E)</v>
      </c>
      <c r="D197" s="41"/>
      <c r="E197" s="138" t="str">
        <f>Commodities!$AA$21</f>
        <v>RSD_DTA4_SH</v>
      </c>
      <c r="F197" s="179">
        <v>31.536000000000001</v>
      </c>
      <c r="I197" s="179"/>
      <c r="J197" s="179"/>
      <c r="K197" s="41"/>
      <c r="S197" s="44"/>
      <c r="T197" s="44"/>
      <c r="U197" s="44"/>
      <c r="X197" s="51"/>
      <c r="Y197" s="51"/>
    </row>
    <row r="198" spans="1:25" hidden="1">
      <c r="B198" s="41" t="s">
        <v>147</v>
      </c>
      <c r="C198" s="41" t="str">
        <f t="shared" si="22"/>
        <v>Detached A4 SpHeat Dist. Heat (E)</v>
      </c>
      <c r="D198" s="41"/>
      <c r="E198" s="138" t="str">
        <f>Commodities!$AA$21</f>
        <v>RSD_DTA4_SH</v>
      </c>
      <c r="F198" s="179">
        <v>31.536000000000001</v>
      </c>
      <c r="I198" s="179"/>
      <c r="J198" s="179"/>
      <c r="K198" s="41"/>
      <c r="S198" s="44"/>
      <c r="T198" s="44"/>
      <c r="U198" s="44"/>
      <c r="X198" s="51"/>
      <c r="Y198" s="51"/>
    </row>
    <row r="199" spans="1:25" ht="13.8" hidden="1">
      <c r="B199" s="41" t="s">
        <v>147</v>
      </c>
      <c r="C199" s="41" t="str">
        <f t="shared" si="22"/>
        <v>Detached A4 SpHeat  Wood Stove-Boiler €</v>
      </c>
      <c r="D199" s="41"/>
      <c r="E199" s="138" t="str">
        <f>Commodities!$AA$21</f>
        <v>RSD_DTA4_SH</v>
      </c>
      <c r="F199" s="179">
        <v>31.536000000000001</v>
      </c>
      <c r="G199" s="31"/>
      <c r="H199" s="31"/>
      <c r="I199" s="179"/>
      <c r="J199" s="179"/>
      <c r="K199" s="41"/>
      <c r="S199" s="44"/>
      <c r="T199" s="44"/>
      <c r="U199" s="44"/>
      <c r="X199" s="51"/>
      <c r="Y199" s="51"/>
    </row>
    <row r="200" spans="1:25" ht="13.8" hidden="1">
      <c r="B200" s="41" t="s">
        <v>147</v>
      </c>
      <c r="C200" s="41" t="str">
        <f t="shared" si="22"/>
        <v>Detached A4 SpHeat DieselOil Boiler €</v>
      </c>
      <c r="D200" s="41"/>
      <c r="E200" s="138" t="str">
        <f>Commodities!$AA$21</f>
        <v>RSD_DTA4_SH</v>
      </c>
      <c r="F200" s="179">
        <v>31.536000000000001</v>
      </c>
      <c r="G200" s="33"/>
      <c r="H200" s="33"/>
      <c r="I200" s="179"/>
      <c r="J200" s="179"/>
      <c r="K200" s="41"/>
      <c r="S200" s="44"/>
      <c r="T200" s="44"/>
      <c r="U200" s="44"/>
      <c r="X200" s="51"/>
      <c r="Y200" s="51"/>
    </row>
    <row r="201" spans="1:25" ht="13.8" hidden="1">
      <c r="B201" s="41" t="s">
        <v>147</v>
      </c>
      <c r="C201" s="41" t="str">
        <f t="shared" si="22"/>
        <v>Detached A4 SpHeat Electric Heater (E)</v>
      </c>
      <c r="D201" s="41"/>
      <c r="E201" s="138" t="str">
        <f>Commodities!$AA$21</f>
        <v>RSD_DTA4_SH</v>
      </c>
      <c r="F201" s="179">
        <f>31.536/5</f>
        <v>6.3071999999999999</v>
      </c>
      <c r="G201" s="35"/>
      <c r="H201" s="35"/>
      <c r="I201" s="179"/>
      <c r="J201" s="179"/>
      <c r="K201" s="41"/>
      <c r="S201" s="44"/>
      <c r="T201" s="44"/>
      <c r="U201" s="44"/>
      <c r="X201" s="51"/>
      <c r="Y201" s="51"/>
    </row>
    <row r="202" spans="1:25" hidden="1">
      <c r="B202" s="41" t="s">
        <v>147</v>
      </c>
      <c r="C202" s="152" t="str">
        <f t="shared" si="22"/>
        <v>Detached A4 SpHeat LPG Boiler (E)</v>
      </c>
      <c r="D202" s="152"/>
      <c r="E202" s="153" t="str">
        <f>Commodities!$AA$21</f>
        <v>RSD_DTA4_SH</v>
      </c>
      <c r="F202" s="224">
        <v>31.536000000000001</v>
      </c>
      <c r="G202" s="164"/>
      <c r="H202" s="164"/>
      <c r="I202" s="179"/>
      <c r="J202" s="179"/>
      <c r="K202" s="41"/>
      <c r="S202" s="44"/>
      <c r="T202" s="44"/>
      <c r="U202" s="44"/>
      <c r="X202" s="51"/>
      <c r="Y202" s="51"/>
    </row>
    <row r="203" spans="1:25" hidden="1">
      <c r="B203" s="41" t="s">
        <v>147</v>
      </c>
      <c r="C203" s="41" t="str">
        <f t="shared" si="22"/>
        <v>Apartment A4 SpHeat Coal Stove (E)</v>
      </c>
      <c r="D203" s="41"/>
      <c r="E203" s="138" t="str">
        <f>Commodities!$AA$22</f>
        <v>RSD_APA4_SH</v>
      </c>
      <c r="F203" s="179">
        <v>31.536000000000001</v>
      </c>
      <c r="G203" s="164"/>
      <c r="H203" s="164"/>
      <c r="I203" s="179"/>
      <c r="J203" s="179"/>
      <c r="K203" s="41"/>
      <c r="S203" s="44"/>
      <c r="T203" s="44"/>
      <c r="U203" s="44"/>
      <c r="X203" s="51"/>
      <c r="Y203" s="51"/>
    </row>
    <row r="204" spans="1:25" hidden="1">
      <c r="B204" s="41" t="s">
        <v>147</v>
      </c>
      <c r="C204" s="41" t="str">
        <f t="shared" si="22"/>
        <v>Apartment A4 SpHeat BCO Stove (E)</v>
      </c>
      <c r="D204" s="41"/>
      <c r="E204" s="138" t="str">
        <f>Commodities!$AA$22</f>
        <v>RSD_APA4_SH</v>
      </c>
      <c r="F204" s="179">
        <v>31.536000000000001</v>
      </c>
      <c r="G204" s="164"/>
      <c r="H204" s="164"/>
      <c r="I204" s="179"/>
      <c r="J204" s="179"/>
      <c r="K204" s="41"/>
      <c r="S204" s="44"/>
      <c r="T204" s="44"/>
      <c r="U204" s="44"/>
      <c r="X204" s="51"/>
      <c r="Y204" s="51"/>
    </row>
    <row r="205" spans="1:25" hidden="1">
      <c r="B205" s="41" t="s">
        <v>147</v>
      </c>
      <c r="C205" s="41" t="str">
        <f t="shared" si="22"/>
        <v>Apartment A4 SpHeat Gas Boiler (E)</v>
      </c>
      <c r="D205" s="41"/>
      <c r="E205" s="138" t="str">
        <f>Commodities!$AA$22</f>
        <v>RSD_APA4_SH</v>
      </c>
      <c r="F205" s="179">
        <v>31.536000000000001</v>
      </c>
      <c r="G205" s="164"/>
      <c r="H205" s="164"/>
      <c r="I205" s="179"/>
      <c r="J205" s="179"/>
      <c r="K205" s="41"/>
      <c r="S205" s="44"/>
      <c r="T205" s="44"/>
      <c r="U205" s="44"/>
      <c r="X205" s="51"/>
      <c r="Y205" s="51"/>
    </row>
    <row r="206" spans="1:25" hidden="1">
      <c r="B206" s="41" t="s">
        <v>147</v>
      </c>
      <c r="C206" s="41" t="str">
        <f t="shared" si="22"/>
        <v>Apartment A4 SpHeat Dist. Heat (E)</v>
      </c>
      <c r="D206" s="41"/>
      <c r="E206" s="138" t="str">
        <f>Commodities!$AA$22</f>
        <v>RSD_APA4_SH</v>
      </c>
      <c r="F206" s="179">
        <v>31.536000000000001</v>
      </c>
      <c r="G206" s="164"/>
      <c r="H206" s="164"/>
      <c r="I206" s="179"/>
      <c r="J206" s="179"/>
      <c r="K206" s="41"/>
      <c r="S206" s="44"/>
      <c r="T206" s="44"/>
      <c r="U206" s="44"/>
      <c r="X206" s="51"/>
      <c r="Y206" s="51"/>
    </row>
    <row r="207" spans="1:25" hidden="1">
      <c r="B207" s="41" t="s">
        <v>147</v>
      </c>
      <c r="C207" s="41" t="str">
        <f t="shared" si="22"/>
        <v>Apartment A4 SpHeat  Wood Stove-Boiler €</v>
      </c>
      <c r="D207" s="41"/>
      <c r="E207" s="138" t="str">
        <f>Commodities!$AA$22</f>
        <v>RSD_APA4_SH</v>
      </c>
      <c r="F207" s="179">
        <v>31.536000000000001</v>
      </c>
      <c r="G207" s="164"/>
      <c r="H207" s="164"/>
      <c r="I207" s="179"/>
      <c r="J207" s="179"/>
      <c r="K207" s="41"/>
      <c r="S207" s="44"/>
      <c r="T207" s="44"/>
      <c r="U207" s="44"/>
      <c r="X207" s="51"/>
      <c r="Y207" s="51"/>
    </row>
    <row r="208" spans="1:25" hidden="1">
      <c r="B208" s="41" t="s">
        <v>147</v>
      </c>
      <c r="C208" s="41" t="str">
        <f t="shared" si="22"/>
        <v>Apartment A4 SpHeat DieselOil Boiler €</v>
      </c>
      <c r="D208" s="41"/>
      <c r="E208" s="138" t="str">
        <f>Commodities!$AA$22</f>
        <v>RSD_APA4_SH</v>
      </c>
      <c r="F208" s="179">
        <v>31.536000000000001</v>
      </c>
      <c r="G208" s="164"/>
      <c r="H208" s="164"/>
      <c r="I208" s="179"/>
      <c r="J208" s="179"/>
      <c r="K208" s="41"/>
      <c r="S208" s="44"/>
      <c r="T208" s="44"/>
      <c r="U208" s="44"/>
      <c r="X208" s="51"/>
      <c r="Y208" s="51"/>
    </row>
    <row r="209" spans="2:25" hidden="1">
      <c r="B209" s="41" t="s">
        <v>147</v>
      </c>
      <c r="C209" s="41" t="str">
        <f t="shared" si="22"/>
        <v>Apartment A4 SpHeat Electric Heater (E)</v>
      </c>
      <c r="D209" s="41"/>
      <c r="E209" s="138" t="str">
        <f>Commodities!$AA$22</f>
        <v>RSD_APA4_SH</v>
      </c>
      <c r="F209" s="179">
        <f>31.536/3</f>
        <v>10.512</v>
      </c>
      <c r="G209" s="179"/>
      <c r="H209" s="179"/>
      <c r="I209" s="179"/>
      <c r="J209" s="179"/>
      <c r="K209" s="41"/>
      <c r="S209" s="44"/>
      <c r="T209" s="44"/>
      <c r="U209" s="44"/>
      <c r="X209" s="51"/>
      <c r="Y209" s="51"/>
    </row>
    <row r="210" spans="2:25" hidden="1">
      <c r="B210" s="41" t="s">
        <v>147</v>
      </c>
      <c r="C210" s="152" t="str">
        <f t="shared" si="22"/>
        <v>Apartment A4 SpHeat LPG Boiler (E)</v>
      </c>
      <c r="D210" s="152"/>
      <c r="E210" s="153" t="str">
        <f>Commodities!$AA$22</f>
        <v>RSD_APA4_SH</v>
      </c>
      <c r="F210" s="224">
        <v>31.536000000000001</v>
      </c>
      <c r="G210" s="164"/>
      <c r="H210" s="164"/>
      <c r="I210" s="179"/>
      <c r="J210" s="179"/>
      <c r="K210" s="41"/>
      <c r="S210" s="44"/>
      <c r="T210" s="44"/>
      <c r="U210" s="44"/>
      <c r="X210" s="51"/>
      <c r="Y210" s="51"/>
    </row>
    <row r="211" spans="2:25">
      <c r="B211" s="41"/>
      <c r="C211" s="41"/>
      <c r="D211" s="41"/>
      <c r="E211" s="41"/>
      <c r="F211" s="179"/>
      <c r="G211" s="164"/>
      <c r="H211" s="164"/>
      <c r="I211" s="179"/>
      <c r="J211" s="179"/>
      <c r="K211" s="41"/>
      <c r="S211" s="44"/>
      <c r="T211" s="44"/>
      <c r="U211" s="44"/>
      <c r="X211" s="51"/>
      <c r="Y211" s="51"/>
    </row>
    <row r="212" spans="2:25">
      <c r="B212" s="41"/>
      <c r="C212" s="41"/>
      <c r="D212" s="41"/>
      <c r="E212" s="41"/>
      <c r="F212" s="179"/>
      <c r="G212" s="164"/>
      <c r="H212" s="164"/>
      <c r="I212" s="179"/>
      <c r="J212" s="179"/>
      <c r="K212" s="41"/>
      <c r="S212" s="44"/>
      <c r="T212" s="44"/>
      <c r="U212" s="44"/>
      <c r="X212" s="51"/>
      <c r="Y212" s="51"/>
    </row>
    <row r="213" spans="2:25">
      <c r="G213" s="164"/>
      <c r="H213" s="164"/>
      <c r="I213" s="179"/>
      <c r="J213" s="179"/>
      <c r="K213" s="41"/>
      <c r="S213" s="44"/>
      <c r="T213" s="44"/>
      <c r="U213" s="44"/>
      <c r="X213" s="51"/>
      <c r="Y213" s="51"/>
    </row>
    <row r="214" spans="2:25" ht="13.8">
      <c r="E214" s="86" t="s">
        <v>353</v>
      </c>
      <c r="G214" s="164"/>
      <c r="H214" s="164"/>
      <c r="I214" s="86" t="s">
        <v>697</v>
      </c>
      <c r="J214" s="86"/>
      <c r="S214" s="44"/>
      <c r="T214" s="44"/>
      <c r="U214" s="44"/>
      <c r="X214" s="51"/>
      <c r="Y214" s="51"/>
    </row>
    <row r="215" spans="2:25" ht="13.8">
      <c r="B215" s="88" t="s">
        <v>1</v>
      </c>
      <c r="C215" s="88" t="s">
        <v>42</v>
      </c>
      <c r="D215" s="88" t="s">
        <v>7</v>
      </c>
      <c r="E215" s="88" t="s">
        <v>0</v>
      </c>
      <c r="F215" s="121" t="s">
        <v>999</v>
      </c>
      <c r="G215" s="164"/>
      <c r="H215" s="164"/>
      <c r="I215" s="89" t="s">
        <v>1</v>
      </c>
      <c r="J215" s="121" t="s">
        <v>999</v>
      </c>
      <c r="S215" s="44"/>
      <c r="T215" s="44"/>
      <c r="U215" s="44"/>
      <c r="X215" s="51"/>
      <c r="Y215" s="51"/>
    </row>
    <row r="216" spans="2:25" ht="14.4" thickBot="1">
      <c r="B216" s="92" t="s">
        <v>356</v>
      </c>
      <c r="C216" s="92" t="s">
        <v>26</v>
      </c>
      <c r="D216" s="124" t="s">
        <v>36</v>
      </c>
      <c r="E216" s="123"/>
      <c r="F216" s="92"/>
      <c r="G216" s="164"/>
      <c r="H216" s="164"/>
      <c r="I216" s="123" t="s">
        <v>356</v>
      </c>
      <c r="J216" s="92"/>
      <c r="S216" s="44"/>
      <c r="T216" s="44"/>
      <c r="U216" s="44"/>
      <c r="X216" s="51"/>
      <c r="Y216" s="51"/>
    </row>
    <row r="217" spans="2:25" ht="14.4" thickBot="1">
      <c r="B217" s="92" t="s">
        <v>269</v>
      </c>
      <c r="C217" s="92"/>
      <c r="D217" s="92"/>
      <c r="E217" s="123"/>
      <c r="F217" s="124"/>
      <c r="G217" s="179"/>
      <c r="H217" s="179"/>
      <c r="I217" s="123" t="s">
        <v>269</v>
      </c>
      <c r="J217" s="92"/>
      <c r="S217" s="44"/>
      <c r="T217" s="44"/>
      <c r="U217" s="44"/>
      <c r="X217" s="51"/>
      <c r="Y217" s="51"/>
    </row>
    <row r="218" spans="2:25">
      <c r="B218" s="51" t="str">
        <f t="shared" ref="B218:B233" si="23">R7</f>
        <v>RSD_DTA1_SH_BIC_E01</v>
      </c>
      <c r="C218" s="51" t="str">
        <f t="shared" ref="C218:C233" si="24">S7</f>
        <v>Detached A1 SpHeat Coal Stove (E)</v>
      </c>
      <c r="E218" s="138" t="str">
        <f>Commodities!$AA$15</f>
        <v>RSD_DTA1_SH</v>
      </c>
      <c r="F218" s="84">
        <f t="shared" ref="F218:F223" si="25">IFERROR(M7*F77/(F7*F147),0.25)</f>
        <v>0.25</v>
      </c>
      <c r="G218" s="164"/>
      <c r="H218" s="164"/>
      <c r="I218" s="138" t="str">
        <f t="shared" ref="I218:I249" si="26">B218</f>
        <v>RSD_DTA1_SH_BIC_E01</v>
      </c>
      <c r="J218" s="164">
        <f t="shared" ref="J218:J249" si="27">IF(F218*Stk_Mult&gt;1,1,F218*Stk_Mult)</f>
        <v>0.25</v>
      </c>
      <c r="S218" s="44"/>
      <c r="T218" s="44"/>
      <c r="U218" s="44"/>
      <c r="X218" s="51"/>
      <c r="Y218" s="51"/>
    </row>
    <row r="219" spans="2:25">
      <c r="B219" s="51" t="str">
        <f t="shared" si="23"/>
        <v>RSD_DTA1_SH_HFO_E01</v>
      </c>
      <c r="C219" s="51" t="str">
        <f t="shared" si="24"/>
        <v>Detached A1 SpHeat Fuel Oil boiler (E)</v>
      </c>
      <c r="E219" s="138" t="str">
        <f>Commodities!$AA$15</f>
        <v>RSD_DTA1_SH</v>
      </c>
      <c r="F219" s="84">
        <f t="shared" si="25"/>
        <v>0.2229363576177423</v>
      </c>
      <c r="G219" s="164"/>
      <c r="H219" s="164"/>
      <c r="I219" s="138" t="str">
        <f t="shared" si="26"/>
        <v>RSD_DTA1_SH_HFO_E01</v>
      </c>
      <c r="J219" s="164">
        <f t="shared" si="27"/>
        <v>0.2229363576177423</v>
      </c>
      <c r="S219" s="44"/>
      <c r="T219" s="44"/>
      <c r="U219" s="44"/>
      <c r="X219" s="51"/>
      <c r="Y219" s="51"/>
    </row>
    <row r="220" spans="2:25">
      <c r="B220" s="51" t="str">
        <f t="shared" si="23"/>
        <v>RSD_DTA1_SH_GAS_E01</v>
      </c>
      <c r="C220" s="51" t="str">
        <f t="shared" si="24"/>
        <v>Detached A1 SpHeat Gas Boiler (E)</v>
      </c>
      <c r="E220" s="138" t="str">
        <f>Commodities!$AA$15</f>
        <v>RSD_DTA1_SH</v>
      </c>
      <c r="F220" s="84">
        <f t="shared" si="25"/>
        <v>0.30400412402419397</v>
      </c>
      <c r="G220" s="164"/>
      <c r="H220" s="164"/>
      <c r="I220" s="138" t="str">
        <f t="shared" si="26"/>
        <v>RSD_DTA1_SH_GAS_E01</v>
      </c>
      <c r="J220" s="164">
        <f t="shared" si="27"/>
        <v>0.30400412402419397</v>
      </c>
      <c r="S220" s="44"/>
      <c r="T220" s="44"/>
      <c r="U220" s="44"/>
      <c r="X220" s="51"/>
      <c r="Y220" s="51"/>
    </row>
    <row r="221" spans="2:25">
      <c r="B221" s="51" t="str">
        <f t="shared" si="23"/>
        <v>RSD_DTA1_SH_LTH_E01</v>
      </c>
      <c r="C221" s="51" t="str">
        <f t="shared" si="24"/>
        <v>Detached A1 SpHeat Dist. Heat (E)</v>
      </c>
      <c r="D221" s="41"/>
      <c r="E221" s="138" t="str">
        <f>Commodities!$AA$15</f>
        <v>RSD_DTA1_SH</v>
      </c>
      <c r="F221" s="139">
        <f t="shared" si="25"/>
        <v>0.25</v>
      </c>
      <c r="G221" s="164"/>
      <c r="H221" s="164"/>
      <c r="I221" s="138" t="str">
        <f t="shared" si="26"/>
        <v>RSD_DTA1_SH_LTH_E01</v>
      </c>
      <c r="J221" s="164">
        <f t="shared" si="27"/>
        <v>0.25</v>
      </c>
      <c r="S221" s="44"/>
      <c r="T221" s="44"/>
      <c r="U221" s="44"/>
      <c r="X221" s="51"/>
      <c r="Y221" s="51"/>
    </row>
    <row r="222" spans="2:25">
      <c r="B222" s="51" t="str">
        <f t="shared" si="23"/>
        <v>RSD_DTA1_SH_LOG_E01</v>
      </c>
      <c r="C222" s="51" t="str">
        <f t="shared" si="24"/>
        <v>Detached A1 SpHeat Wood Stove-Boiler (E)</v>
      </c>
      <c r="E222" s="138" t="str">
        <f>Commodities!$AA$15</f>
        <v>RSD_DTA1_SH</v>
      </c>
      <c r="F222" s="84">
        <f t="shared" si="25"/>
        <v>0.20266941601612931</v>
      </c>
      <c r="G222" s="164"/>
      <c r="H222" s="164"/>
      <c r="I222" s="138" t="str">
        <f t="shared" si="26"/>
        <v>RSD_DTA1_SH_LOG_E01</v>
      </c>
      <c r="J222" s="164">
        <f t="shared" si="27"/>
        <v>0.20266941601612931</v>
      </c>
      <c r="S222" s="44"/>
      <c r="T222" s="44"/>
      <c r="U222" s="44"/>
      <c r="X222" s="51"/>
      <c r="Y222" s="51"/>
    </row>
    <row r="223" spans="2:25">
      <c r="B223" s="51" t="str">
        <f t="shared" si="23"/>
        <v>RSD_DTA1_SH_DSL_E01</v>
      </c>
      <c r="C223" s="51" t="str">
        <f t="shared" si="24"/>
        <v>Detached A1 SpHeat DieselOil Boiler (E)</v>
      </c>
      <c r="E223" s="138" t="str">
        <f>Commodities!$AA$15</f>
        <v>RSD_DTA1_SH</v>
      </c>
      <c r="F223" s="84">
        <f t="shared" si="25"/>
        <v>0.24320329921935518</v>
      </c>
      <c r="G223" s="164"/>
      <c r="H223" s="164"/>
      <c r="I223" s="138" t="str">
        <f t="shared" si="26"/>
        <v>RSD_DTA1_SH_DSL_E01</v>
      </c>
      <c r="J223" s="164">
        <f t="shared" si="27"/>
        <v>0.24320329921935518</v>
      </c>
      <c r="S223" s="44"/>
      <c r="T223" s="44"/>
      <c r="U223" s="44"/>
      <c r="X223" s="51"/>
      <c r="Y223" s="51"/>
    </row>
    <row r="224" spans="2:25">
      <c r="B224" s="51" t="str">
        <f t="shared" si="23"/>
        <v>RSD_DTA1_SH_ELC_E01</v>
      </c>
      <c r="C224" s="51" t="str">
        <f t="shared" si="24"/>
        <v>Detached A1 SpHeat Electric Heater (E)</v>
      </c>
      <c r="D224" s="41"/>
      <c r="E224" s="138" t="str">
        <f>Commodities!$AA$15</f>
        <v>RSD_DTA1_SH</v>
      </c>
      <c r="F224" s="139">
        <f>IFERROR(M13*F83/(F13*F153),0.35)</f>
        <v>0.30400412402419402</v>
      </c>
      <c r="G224" s="164"/>
      <c r="H224" s="164"/>
      <c r="I224" s="138" t="str">
        <f t="shared" si="26"/>
        <v>RSD_DTA1_SH_ELC_E01</v>
      </c>
      <c r="J224" s="164">
        <f t="shared" si="27"/>
        <v>0.30400412402419402</v>
      </c>
      <c r="S224" s="44"/>
      <c r="T224" s="44"/>
      <c r="U224" s="44"/>
      <c r="X224" s="51"/>
      <c r="Y224" s="51"/>
    </row>
    <row r="225" spans="2:25">
      <c r="B225" s="152" t="str">
        <f t="shared" si="23"/>
        <v>RSD_DTA1_SH_LPG_E01</v>
      </c>
      <c r="C225" s="152" t="str">
        <f t="shared" si="24"/>
        <v>Detached A1 SpHeat LPG Boiler (E)</v>
      </c>
      <c r="D225" s="152"/>
      <c r="E225" s="153" t="str">
        <f>Commodities!$AA$15</f>
        <v>RSD_DTA1_SH</v>
      </c>
      <c r="F225" s="166">
        <f>IFERROR(M14*F84/(F14*F154),0.25)</f>
        <v>0.25</v>
      </c>
      <c r="G225" s="179"/>
      <c r="H225" s="179"/>
      <c r="I225" s="153" t="str">
        <f t="shared" si="26"/>
        <v>RSD_DTA1_SH_LPG_E01</v>
      </c>
      <c r="J225" s="224">
        <f t="shared" si="27"/>
        <v>0.25</v>
      </c>
      <c r="S225" s="44"/>
      <c r="T225" s="44"/>
      <c r="U225" s="44"/>
      <c r="X225" s="51"/>
      <c r="Y225" s="51"/>
    </row>
    <row r="226" spans="2:25">
      <c r="B226" s="51" t="str">
        <f t="shared" si="23"/>
        <v>RSD_APA1_SH_BIC_E01</v>
      </c>
      <c r="C226" s="51" t="str">
        <f t="shared" si="24"/>
        <v>Apartment A1 SpHeat Coal Stove (E)</v>
      </c>
      <c r="D226" s="41"/>
      <c r="E226" s="138" t="str">
        <f>Commodities!$AA$16</f>
        <v>RSD_APA1_SH</v>
      </c>
      <c r="F226" s="139">
        <f t="shared" ref="F226:F231" si="28">IFERROR(M15*F85/(F15*F155),0.2)</f>
        <v>0.2</v>
      </c>
      <c r="G226" s="179"/>
      <c r="H226" s="179"/>
      <c r="I226" s="138" t="str">
        <f t="shared" si="26"/>
        <v>RSD_APA1_SH_BIC_E01</v>
      </c>
      <c r="J226" s="164">
        <f t="shared" si="27"/>
        <v>0.2</v>
      </c>
      <c r="S226" s="44"/>
      <c r="T226" s="44"/>
      <c r="U226" s="44"/>
      <c r="X226" s="51"/>
      <c r="Y226" s="51"/>
    </row>
    <row r="227" spans="2:25">
      <c r="B227" s="51" t="str">
        <f t="shared" si="23"/>
        <v>RSD_APA1_SH_HFO_E01</v>
      </c>
      <c r="C227" s="51" t="str">
        <f t="shared" si="24"/>
        <v>Apartment A1 SpHeat Fuel Oil boiler (E)</v>
      </c>
      <c r="D227" s="41"/>
      <c r="E227" s="138" t="str">
        <f>Commodities!$AA$16</f>
        <v>RSD_APA1_SH</v>
      </c>
      <c r="F227" s="139">
        <f t="shared" si="28"/>
        <v>0.2</v>
      </c>
      <c r="G227" s="179"/>
      <c r="H227" s="179"/>
      <c r="I227" s="138" t="str">
        <f t="shared" si="26"/>
        <v>RSD_APA1_SH_HFO_E01</v>
      </c>
      <c r="J227" s="164">
        <f t="shared" si="27"/>
        <v>0.2</v>
      </c>
      <c r="S227" s="44"/>
      <c r="T227" s="44"/>
      <c r="U227" s="44"/>
      <c r="X227" s="51"/>
      <c r="Y227" s="51"/>
    </row>
    <row r="228" spans="2:25">
      <c r="B228" s="51" t="str">
        <f t="shared" si="23"/>
        <v>RSD_APA1_SH_GAS_E01</v>
      </c>
      <c r="C228" s="51" t="str">
        <f t="shared" si="24"/>
        <v>Apartment A1 SpHeat Gas Boiler (E)</v>
      </c>
      <c r="D228" s="41"/>
      <c r="E228" s="138" t="str">
        <f>Commodities!$AA$16</f>
        <v>RSD_APA1_SH</v>
      </c>
      <c r="F228" s="139">
        <f t="shared" si="28"/>
        <v>0.53650730542753233</v>
      </c>
      <c r="G228" s="179"/>
      <c r="H228" s="179"/>
      <c r="I228" s="138" t="str">
        <f t="shared" si="26"/>
        <v>RSD_APA1_SH_GAS_E01</v>
      </c>
      <c r="J228" s="164">
        <f t="shared" si="27"/>
        <v>0.53650730542753233</v>
      </c>
      <c r="S228" s="44"/>
      <c r="T228" s="44"/>
      <c r="U228" s="44"/>
      <c r="X228" s="51"/>
      <c r="Y228" s="51"/>
    </row>
    <row r="229" spans="2:25">
      <c r="B229" s="51" t="str">
        <f t="shared" si="23"/>
        <v>RSD_APA1_SH_LTH_E01</v>
      </c>
      <c r="C229" s="51" t="str">
        <f t="shared" si="24"/>
        <v>Apartment A1 SpHeat Dist. Heat (E)</v>
      </c>
      <c r="D229" s="41"/>
      <c r="E229" s="138" t="str">
        <f>Commodities!$AA$16</f>
        <v>RSD_APA1_SH</v>
      </c>
      <c r="F229" s="139">
        <f t="shared" si="28"/>
        <v>0.60804161281786995</v>
      </c>
      <c r="G229" s="179"/>
      <c r="H229" s="179"/>
      <c r="I229" s="138" t="str">
        <f t="shared" si="26"/>
        <v>RSD_APA1_SH_LTH_E01</v>
      </c>
      <c r="J229" s="164">
        <f t="shared" si="27"/>
        <v>0.60804161281786995</v>
      </c>
      <c r="S229" s="44"/>
      <c r="T229" s="44"/>
      <c r="U229" s="44"/>
      <c r="X229" s="51"/>
      <c r="Y229" s="51"/>
    </row>
    <row r="230" spans="2:25">
      <c r="B230" s="51" t="str">
        <f t="shared" si="23"/>
        <v>RSD_APA1_SH_LOG_E01</v>
      </c>
      <c r="C230" s="51" t="str">
        <f t="shared" si="24"/>
        <v>Apartment A1 SpHeat  Wood Stove-Boiler €</v>
      </c>
      <c r="D230" s="41"/>
      <c r="E230" s="138" t="str">
        <f>Commodities!$AA$16</f>
        <v>RSD_APA1_SH</v>
      </c>
      <c r="F230" s="139">
        <f t="shared" si="28"/>
        <v>0.2</v>
      </c>
      <c r="G230" s="164"/>
      <c r="H230" s="164"/>
      <c r="I230" s="138" t="str">
        <f t="shared" si="26"/>
        <v>RSD_APA1_SH_LOG_E01</v>
      </c>
      <c r="J230" s="164">
        <f t="shared" si="27"/>
        <v>0.2</v>
      </c>
      <c r="S230" s="44"/>
      <c r="T230" s="44"/>
      <c r="U230" s="44"/>
      <c r="X230" s="51"/>
      <c r="Y230" s="51"/>
    </row>
    <row r="231" spans="2:25">
      <c r="B231" s="51" t="str">
        <f t="shared" si="23"/>
        <v>RSD_APA1_SH_DSL_E01</v>
      </c>
      <c r="C231" s="51" t="str">
        <f t="shared" si="24"/>
        <v>Apartment A1 SpHeat DieselOil Boiler €</v>
      </c>
      <c r="D231" s="41"/>
      <c r="E231" s="138" t="str">
        <f>Commodities!$AA$16</f>
        <v>RSD_APA1_SH</v>
      </c>
      <c r="F231" s="139">
        <f t="shared" si="28"/>
        <v>0.2</v>
      </c>
      <c r="G231" s="164"/>
      <c r="H231" s="164"/>
      <c r="I231" s="138" t="str">
        <f t="shared" si="26"/>
        <v>RSD_APA1_SH_DSL_E01</v>
      </c>
      <c r="J231" s="164">
        <f t="shared" si="27"/>
        <v>0.2</v>
      </c>
      <c r="S231" s="44"/>
      <c r="T231" s="44"/>
      <c r="U231" s="44"/>
      <c r="X231" s="51"/>
      <c r="Y231" s="51"/>
    </row>
    <row r="232" spans="2:25">
      <c r="B232" s="51" t="str">
        <f t="shared" si="23"/>
        <v>RSD_APA1_SH_ELC_E01</v>
      </c>
      <c r="C232" s="51" t="str">
        <f t="shared" si="24"/>
        <v>Apartment A1 SpHeat Electric Heater (E)</v>
      </c>
      <c r="D232" s="41"/>
      <c r="E232" s="138" t="str">
        <f>Commodities!$AA$16</f>
        <v>RSD_APA1_SH</v>
      </c>
      <c r="F232" s="139">
        <f>IFERROR(M21*F91/(F21*F161),0.35)</f>
        <v>0.35</v>
      </c>
      <c r="G232" s="164"/>
      <c r="H232" s="164"/>
      <c r="I232" s="138" t="str">
        <f t="shared" si="26"/>
        <v>RSD_APA1_SH_ELC_E01</v>
      </c>
      <c r="J232" s="164">
        <f t="shared" si="27"/>
        <v>0.35</v>
      </c>
      <c r="S232" s="44"/>
      <c r="T232" s="44"/>
      <c r="U232" s="44"/>
      <c r="X232" s="51"/>
      <c r="Y232" s="51"/>
    </row>
    <row r="233" spans="2:25">
      <c r="B233" s="152" t="str">
        <f t="shared" si="23"/>
        <v>RSD_APA1_SH_LPG_E01</v>
      </c>
      <c r="C233" s="152" t="str">
        <f t="shared" si="24"/>
        <v>Apartment A1 Standing SpHeat LPG Boiler (E)</v>
      </c>
      <c r="D233" s="152"/>
      <c r="E233" s="153" t="str">
        <f>Commodities!$AA$16</f>
        <v>RSD_APA1_SH</v>
      </c>
      <c r="F233" s="166">
        <f>IFERROR(M22*F92/(F22*F162),0.2)</f>
        <v>0.2</v>
      </c>
      <c r="G233" s="179"/>
      <c r="H233" s="179"/>
      <c r="I233" s="153" t="str">
        <f t="shared" si="26"/>
        <v>RSD_APA1_SH_LPG_E01</v>
      </c>
      <c r="J233" s="224">
        <f t="shared" si="27"/>
        <v>0.2</v>
      </c>
      <c r="S233" s="44"/>
      <c r="T233" s="44"/>
      <c r="U233" s="44"/>
      <c r="X233" s="51"/>
      <c r="Y233" s="51"/>
    </row>
    <row r="234" spans="2:25" hidden="1">
      <c r="B234" s="206" t="s">
        <v>147</v>
      </c>
      <c r="C234" s="51" t="str">
        <f t="shared" ref="C234:C265" si="29">S23</f>
        <v>Detached A2 SpHeat Coal Stove (E)</v>
      </c>
      <c r="D234" s="41"/>
      <c r="E234" s="138" t="str">
        <f>Commodities!$AA$17</f>
        <v>RSD_DTA2_SH</v>
      </c>
      <c r="F234" s="139">
        <f t="shared" ref="F234:F239" si="30">IFERROR(M23*F93/(F23*F163),0.2)</f>
        <v>0.2</v>
      </c>
      <c r="G234" s="164"/>
      <c r="H234" s="164"/>
      <c r="I234" s="138" t="str">
        <f t="shared" si="26"/>
        <v>*</v>
      </c>
      <c r="J234" s="164">
        <f t="shared" si="27"/>
        <v>0.2</v>
      </c>
      <c r="S234" s="44"/>
      <c r="T234" s="44"/>
      <c r="U234" s="44"/>
      <c r="X234" s="51"/>
      <c r="Y234" s="51"/>
    </row>
    <row r="235" spans="2:25" hidden="1">
      <c r="B235" s="41" t="s">
        <v>147</v>
      </c>
      <c r="C235" s="51" t="str">
        <f t="shared" si="29"/>
        <v>Detached A2 SpHeat BCO Stove (E)</v>
      </c>
      <c r="D235" s="41"/>
      <c r="E235" s="138" t="str">
        <f>Commodities!$AA$17</f>
        <v>RSD_DTA2_SH</v>
      </c>
      <c r="F235" s="139">
        <f t="shared" si="30"/>
        <v>0.2</v>
      </c>
      <c r="G235" s="164"/>
      <c r="H235" s="164"/>
      <c r="I235" s="138" t="str">
        <f t="shared" si="26"/>
        <v>*</v>
      </c>
      <c r="J235" s="164">
        <f t="shared" si="27"/>
        <v>0.2</v>
      </c>
      <c r="S235" s="44"/>
      <c r="T235" s="44"/>
      <c r="U235" s="44"/>
      <c r="X235" s="51"/>
      <c r="Y235" s="51"/>
    </row>
    <row r="236" spans="2:25" hidden="1">
      <c r="B236" s="41" t="s">
        <v>147</v>
      </c>
      <c r="C236" s="51" t="str">
        <f t="shared" si="29"/>
        <v>Detached A2 SpHeat Gas Boiler (E)</v>
      </c>
      <c r="D236" s="41"/>
      <c r="E236" s="138" t="str">
        <f>Commodities!$AA$17</f>
        <v>RSD_DTA2_SH</v>
      </c>
      <c r="F236" s="139">
        <f t="shared" si="30"/>
        <v>0.2</v>
      </c>
      <c r="G236" s="164"/>
      <c r="H236" s="164"/>
      <c r="I236" s="138" t="str">
        <f t="shared" si="26"/>
        <v>*</v>
      </c>
      <c r="J236" s="164">
        <f t="shared" si="27"/>
        <v>0.2</v>
      </c>
      <c r="S236" s="44"/>
      <c r="T236" s="44"/>
      <c r="U236" s="44"/>
      <c r="X236" s="51"/>
      <c r="Y236" s="51"/>
    </row>
    <row r="237" spans="2:25" hidden="1">
      <c r="B237" s="41" t="s">
        <v>147</v>
      </c>
      <c r="C237" s="51" t="str">
        <f t="shared" si="29"/>
        <v>Detached A2 SpHeat Dist. Heat (E)</v>
      </c>
      <c r="D237" s="41"/>
      <c r="E237" s="138" t="str">
        <f>Commodities!$AA$17</f>
        <v>RSD_DTA2_SH</v>
      </c>
      <c r="F237" s="139">
        <f t="shared" si="30"/>
        <v>0.2</v>
      </c>
      <c r="G237" s="164"/>
      <c r="H237" s="164"/>
      <c r="I237" s="138" t="str">
        <f t="shared" si="26"/>
        <v>*</v>
      </c>
      <c r="J237" s="164">
        <f t="shared" si="27"/>
        <v>0.2</v>
      </c>
      <c r="S237" s="44"/>
      <c r="T237" s="44"/>
      <c r="U237" s="44"/>
      <c r="X237" s="51"/>
      <c r="Y237" s="51"/>
    </row>
    <row r="238" spans="2:25" hidden="1">
      <c r="B238" s="41" t="s">
        <v>147</v>
      </c>
      <c r="C238" s="51" t="str">
        <f t="shared" si="29"/>
        <v>Detached A2 SpHeat  Wood Stove-Boiler €</v>
      </c>
      <c r="D238" s="41"/>
      <c r="E238" s="138" t="str">
        <f>Commodities!$AA$17</f>
        <v>RSD_DTA2_SH</v>
      </c>
      <c r="F238" s="139">
        <f t="shared" si="30"/>
        <v>0.2</v>
      </c>
      <c r="G238" s="164"/>
      <c r="H238" s="164"/>
      <c r="I238" s="138" t="str">
        <f t="shared" si="26"/>
        <v>*</v>
      </c>
      <c r="J238" s="164">
        <f t="shared" si="27"/>
        <v>0.2</v>
      </c>
      <c r="S238" s="44"/>
      <c r="T238" s="44"/>
      <c r="U238" s="44"/>
      <c r="X238" s="51"/>
      <c r="Y238" s="51"/>
    </row>
    <row r="239" spans="2:25" hidden="1">
      <c r="B239" s="41" t="s">
        <v>147</v>
      </c>
      <c r="C239" s="51" t="str">
        <f t="shared" si="29"/>
        <v>Detached A2 SpHeat DieselOil Boiler €</v>
      </c>
      <c r="D239" s="41"/>
      <c r="E239" s="138" t="str">
        <f>Commodities!$AA$17</f>
        <v>RSD_DTA2_SH</v>
      </c>
      <c r="F239" s="139">
        <f t="shared" si="30"/>
        <v>0.2</v>
      </c>
      <c r="G239" s="164"/>
      <c r="H239" s="164"/>
      <c r="I239" s="138" t="str">
        <f t="shared" si="26"/>
        <v>*</v>
      </c>
      <c r="J239" s="164">
        <f t="shared" si="27"/>
        <v>0.2</v>
      </c>
      <c r="S239" s="44"/>
      <c r="T239" s="44"/>
      <c r="U239" s="44"/>
      <c r="X239" s="51"/>
      <c r="Y239" s="51"/>
    </row>
    <row r="240" spans="2:25" hidden="1">
      <c r="B240" s="41" t="s">
        <v>147</v>
      </c>
      <c r="C240" s="51" t="str">
        <f t="shared" si="29"/>
        <v>Detached A2 SpHeat Electric Heater (E)</v>
      </c>
      <c r="D240" s="41"/>
      <c r="E240" s="138" t="str">
        <f>Commodities!$AA$17</f>
        <v>RSD_DTA2_SH</v>
      </c>
      <c r="F240" s="139">
        <f>IFERROR(M29*F99/(F29*F169),0.35)</f>
        <v>0.35</v>
      </c>
      <c r="G240" s="164"/>
      <c r="H240" s="164"/>
      <c r="I240" s="138" t="str">
        <f t="shared" si="26"/>
        <v>*</v>
      </c>
      <c r="J240" s="164">
        <f t="shared" si="27"/>
        <v>0.35</v>
      </c>
      <c r="S240" s="44"/>
      <c r="T240" s="44"/>
      <c r="U240" s="44"/>
      <c r="X240" s="51"/>
      <c r="Y240" s="51"/>
    </row>
    <row r="241" spans="2:23" s="51" customFormat="1" hidden="1">
      <c r="B241" s="41" t="s">
        <v>147</v>
      </c>
      <c r="C241" s="152" t="str">
        <f t="shared" si="29"/>
        <v>Detached A2 SpHeat LPG Boiler (E)</v>
      </c>
      <c r="D241" s="152"/>
      <c r="E241" s="153" t="str">
        <f>Commodities!$AA$17</f>
        <v>RSD_DTA2_SH</v>
      </c>
      <c r="F241" s="166">
        <f>IFERROR(M30*F100/(F30*F170),0.2)</f>
        <v>0.2</v>
      </c>
      <c r="G241" s="179"/>
      <c r="H241" s="179"/>
      <c r="I241" s="153" t="str">
        <f t="shared" si="26"/>
        <v>*</v>
      </c>
      <c r="J241" s="224">
        <f t="shared" si="27"/>
        <v>0.2</v>
      </c>
      <c r="S241" s="44"/>
      <c r="T241" s="44"/>
      <c r="U241" s="44"/>
      <c r="V241" s="44"/>
      <c r="W241" s="44"/>
    </row>
    <row r="242" spans="2:23" s="51" customFormat="1" hidden="1">
      <c r="B242" s="41" t="s">
        <v>147</v>
      </c>
      <c r="C242" s="51" t="str">
        <f t="shared" si="29"/>
        <v>Apartment A2 SpHeat Coal Stove (E)</v>
      </c>
      <c r="D242" s="41"/>
      <c r="E242" s="138" t="str">
        <f>Commodities!$AA$18</f>
        <v>RSD_APA2_SH</v>
      </c>
      <c r="F242" s="139">
        <f t="shared" ref="F242:F247" si="31">IFERROR(M31*F101/(F31*F171),0.2)</f>
        <v>0.2</v>
      </c>
      <c r="G242" s="179"/>
      <c r="H242" s="179"/>
      <c r="I242" s="138" t="str">
        <f t="shared" si="26"/>
        <v>*</v>
      </c>
      <c r="J242" s="179">
        <f t="shared" si="27"/>
        <v>0.2</v>
      </c>
      <c r="S242" s="44"/>
      <c r="T242" s="44"/>
      <c r="U242" s="44"/>
      <c r="V242" s="44"/>
      <c r="W242" s="44"/>
    </row>
    <row r="243" spans="2:23" s="51" customFormat="1" hidden="1">
      <c r="B243" s="41" t="s">
        <v>147</v>
      </c>
      <c r="C243" s="51" t="str">
        <f t="shared" si="29"/>
        <v>Apartment A2 SpHeat BCO Stove (E)</v>
      </c>
      <c r="D243" s="41"/>
      <c r="E243" s="138" t="str">
        <f>Commodities!$AA$18</f>
        <v>RSD_APA2_SH</v>
      </c>
      <c r="F243" s="139">
        <f t="shared" si="31"/>
        <v>0.2</v>
      </c>
      <c r="G243" s="179"/>
      <c r="H243" s="179"/>
      <c r="I243" s="138" t="str">
        <f t="shared" si="26"/>
        <v>*</v>
      </c>
      <c r="J243" s="179">
        <f t="shared" si="27"/>
        <v>0.2</v>
      </c>
      <c r="S243" s="44"/>
      <c r="T243" s="44"/>
      <c r="U243" s="44"/>
      <c r="V243" s="44"/>
      <c r="W243" s="44"/>
    </row>
    <row r="244" spans="2:23" s="51" customFormat="1" hidden="1">
      <c r="B244" s="41" t="s">
        <v>147</v>
      </c>
      <c r="C244" s="51" t="str">
        <f t="shared" si="29"/>
        <v>Apartment A2 SpHeat Gas Boiler (E)</v>
      </c>
      <c r="D244" s="41"/>
      <c r="E244" s="138" t="str">
        <f>Commodities!$AA$18</f>
        <v>RSD_APA2_SH</v>
      </c>
      <c r="F244" s="139">
        <f t="shared" si="31"/>
        <v>0.2</v>
      </c>
      <c r="G244" s="179"/>
      <c r="H244" s="179"/>
      <c r="I244" s="138" t="str">
        <f t="shared" si="26"/>
        <v>*</v>
      </c>
      <c r="J244" s="179">
        <f t="shared" si="27"/>
        <v>0.2</v>
      </c>
      <c r="S244" s="44"/>
      <c r="T244" s="44"/>
      <c r="U244" s="44"/>
      <c r="V244" s="44"/>
      <c r="W244" s="44"/>
    </row>
    <row r="245" spans="2:23" s="51" customFormat="1" hidden="1">
      <c r="B245" s="41" t="s">
        <v>147</v>
      </c>
      <c r="C245" s="51" t="str">
        <f t="shared" si="29"/>
        <v>Apartment A2 SpHeat Dist. Heat (E)</v>
      </c>
      <c r="D245" s="41"/>
      <c r="E245" s="138" t="str">
        <f>Commodities!$AA$18</f>
        <v>RSD_APA2_SH</v>
      </c>
      <c r="F245" s="139">
        <f t="shared" si="31"/>
        <v>0.2</v>
      </c>
      <c r="G245" s="179"/>
      <c r="H245" s="179"/>
      <c r="I245" s="138" t="str">
        <f t="shared" si="26"/>
        <v>*</v>
      </c>
      <c r="J245" s="179">
        <f t="shared" si="27"/>
        <v>0.2</v>
      </c>
      <c r="S245" s="44"/>
      <c r="T245" s="44"/>
      <c r="U245" s="44"/>
      <c r="V245" s="44"/>
      <c r="W245" s="44"/>
    </row>
    <row r="246" spans="2:23" s="51" customFormat="1" hidden="1">
      <c r="B246" s="41" t="s">
        <v>147</v>
      </c>
      <c r="C246" s="51" t="str">
        <f t="shared" si="29"/>
        <v>Apartment A2 SpHeat  Wood Stove-Boiler €</v>
      </c>
      <c r="D246" s="41"/>
      <c r="E246" s="138" t="str">
        <f>Commodities!$AA$18</f>
        <v>RSD_APA2_SH</v>
      </c>
      <c r="F246" s="139">
        <f t="shared" si="31"/>
        <v>0.2</v>
      </c>
      <c r="G246" s="179"/>
      <c r="H246" s="179"/>
      <c r="I246" s="138" t="str">
        <f t="shared" si="26"/>
        <v>*</v>
      </c>
      <c r="J246" s="164">
        <f t="shared" si="27"/>
        <v>0.2</v>
      </c>
      <c r="S246" s="44"/>
      <c r="T246" s="44"/>
      <c r="U246" s="44"/>
      <c r="V246" s="44"/>
      <c r="W246" s="44"/>
    </row>
    <row r="247" spans="2:23" s="51" customFormat="1" hidden="1">
      <c r="B247" s="41" t="s">
        <v>147</v>
      </c>
      <c r="C247" s="51" t="str">
        <f t="shared" si="29"/>
        <v>Apartment A2 SpHeat DieselOil Boiler €</v>
      </c>
      <c r="D247" s="41"/>
      <c r="E247" s="138" t="str">
        <f>Commodities!$AA$18</f>
        <v>RSD_APA2_SH</v>
      </c>
      <c r="F247" s="139">
        <f t="shared" si="31"/>
        <v>0.2</v>
      </c>
      <c r="G247" s="164"/>
      <c r="H247" s="164"/>
      <c r="I247" s="138" t="str">
        <f t="shared" si="26"/>
        <v>*</v>
      </c>
      <c r="J247" s="164">
        <f t="shared" si="27"/>
        <v>0.2</v>
      </c>
      <c r="S247" s="44"/>
      <c r="T247" s="44"/>
      <c r="U247" s="44"/>
      <c r="V247" s="44"/>
      <c r="W247" s="44"/>
    </row>
    <row r="248" spans="2:23" s="51" customFormat="1" hidden="1">
      <c r="B248" s="41" t="s">
        <v>147</v>
      </c>
      <c r="C248" s="51" t="str">
        <f t="shared" si="29"/>
        <v>Apartment A2 SpHeat Electric Heater (E)</v>
      </c>
      <c r="D248" s="41"/>
      <c r="E248" s="138" t="str">
        <f>Commodities!$AA$18</f>
        <v>RSD_APA2_SH</v>
      </c>
      <c r="F248" s="139">
        <f>IFERROR(M37*F107/(F37*F177),0.35)</f>
        <v>0.35</v>
      </c>
      <c r="G248" s="164"/>
      <c r="H248" s="164"/>
      <c r="I248" s="138" t="str">
        <f t="shared" si="26"/>
        <v>*</v>
      </c>
      <c r="J248" s="164">
        <f t="shared" si="27"/>
        <v>0.35</v>
      </c>
      <c r="S248" s="44"/>
      <c r="T248" s="44"/>
      <c r="U248" s="44"/>
      <c r="V248" s="44"/>
      <c r="W248" s="44"/>
    </row>
    <row r="249" spans="2:23" s="51" customFormat="1" hidden="1">
      <c r="B249" s="41" t="s">
        <v>147</v>
      </c>
      <c r="C249" s="152" t="str">
        <f t="shared" si="29"/>
        <v>Apartment A2 SpHeat LPG Boiler (E)</v>
      </c>
      <c r="D249" s="152"/>
      <c r="E249" s="153" t="str">
        <f>Commodities!$AA$18</f>
        <v>RSD_APA2_SH</v>
      </c>
      <c r="F249" s="166">
        <f t="shared" ref="F249:F255" si="32">IFERROR(M38*F108/(F38*F178),0.2)</f>
        <v>0.2</v>
      </c>
      <c r="G249" s="179"/>
      <c r="H249" s="179"/>
      <c r="I249" s="153" t="str">
        <f t="shared" si="26"/>
        <v>*</v>
      </c>
      <c r="J249" s="224">
        <f t="shared" si="27"/>
        <v>0.2</v>
      </c>
      <c r="S249" s="44"/>
      <c r="T249" s="44"/>
      <c r="U249" s="44"/>
      <c r="V249" s="44"/>
      <c r="W249" s="44"/>
    </row>
    <row r="250" spans="2:23" s="51" customFormat="1" hidden="1">
      <c r="B250" s="41" t="s">
        <v>147</v>
      </c>
      <c r="C250" s="51" t="str">
        <f t="shared" si="29"/>
        <v>Detached A3 SpHeat Coal Stove (E)</v>
      </c>
      <c r="D250" s="41"/>
      <c r="E250" s="138" t="str">
        <f>Commodities!$AA$19</f>
        <v>RSD_DTA3_SH</v>
      </c>
      <c r="F250" s="139">
        <f t="shared" si="32"/>
        <v>0.2</v>
      </c>
      <c r="I250" s="138" t="str">
        <f t="shared" ref="I250:I281" si="33">B250</f>
        <v>*</v>
      </c>
      <c r="J250" s="164">
        <f t="shared" ref="J250:J281" si="34">IF(F250*Stk_Mult&gt;1,1,F250*Stk_Mult)</f>
        <v>0.2</v>
      </c>
      <c r="S250" s="44"/>
      <c r="T250" s="44"/>
      <c r="U250" s="44"/>
      <c r="V250" s="44"/>
      <c r="W250" s="44"/>
    </row>
    <row r="251" spans="2:23" s="51" customFormat="1" hidden="1">
      <c r="B251" s="41" t="s">
        <v>147</v>
      </c>
      <c r="C251" s="51" t="str">
        <f t="shared" si="29"/>
        <v>Detached A3 SpHeat BCO Stove (E)</v>
      </c>
      <c r="D251" s="41"/>
      <c r="E251" s="138" t="str">
        <f>Commodities!$AA$19</f>
        <v>RSD_DTA3_SH</v>
      </c>
      <c r="F251" s="139">
        <f t="shared" si="32"/>
        <v>0.2</v>
      </c>
      <c r="I251" s="138" t="str">
        <f t="shared" si="33"/>
        <v>*</v>
      </c>
      <c r="J251" s="164">
        <f t="shared" si="34"/>
        <v>0.2</v>
      </c>
      <c r="S251" s="44"/>
      <c r="T251" s="44"/>
      <c r="U251" s="44"/>
      <c r="V251" s="44"/>
      <c r="W251" s="44"/>
    </row>
    <row r="252" spans="2:23" s="51" customFormat="1" hidden="1">
      <c r="B252" s="41" t="s">
        <v>147</v>
      </c>
      <c r="C252" s="51" t="str">
        <f t="shared" si="29"/>
        <v>Detached A3 SpHeat Gas Boiler (E)</v>
      </c>
      <c r="D252" s="41"/>
      <c r="E252" s="138" t="str">
        <f>Commodities!$AA$19</f>
        <v>RSD_DTA3_SH</v>
      </c>
      <c r="F252" s="139">
        <f t="shared" si="32"/>
        <v>0.2</v>
      </c>
      <c r="I252" s="138" t="str">
        <f t="shared" si="33"/>
        <v>*</v>
      </c>
      <c r="J252" s="164">
        <f t="shared" si="34"/>
        <v>0.2</v>
      </c>
      <c r="S252" s="44"/>
      <c r="T252" s="44"/>
      <c r="U252" s="44"/>
      <c r="V252" s="44"/>
      <c r="W252" s="44"/>
    </row>
    <row r="253" spans="2:23" s="51" customFormat="1" ht="13.8" hidden="1">
      <c r="B253" s="41" t="s">
        <v>147</v>
      </c>
      <c r="C253" s="51" t="str">
        <f t="shared" si="29"/>
        <v>Detached A3 SpHeat Dist. Heat (E)</v>
      </c>
      <c r="D253" s="41"/>
      <c r="E253" s="138" t="str">
        <f>Commodities!$AA$19</f>
        <v>RSD_DTA3_SH</v>
      </c>
      <c r="F253" s="139">
        <f t="shared" si="32"/>
        <v>0.2</v>
      </c>
      <c r="G253" s="31"/>
      <c r="H253" s="31"/>
      <c r="I253" s="138" t="str">
        <f t="shared" si="33"/>
        <v>*</v>
      </c>
      <c r="J253" s="164">
        <f t="shared" si="34"/>
        <v>0.2</v>
      </c>
      <c r="S253" s="44"/>
      <c r="T253" s="44"/>
      <c r="U253" s="44"/>
      <c r="V253" s="44"/>
      <c r="W253" s="44"/>
    </row>
    <row r="254" spans="2:23" s="51" customFormat="1" ht="13.8" hidden="1">
      <c r="B254" s="41" t="s">
        <v>147</v>
      </c>
      <c r="C254" s="51" t="str">
        <f t="shared" si="29"/>
        <v>Detached A3 SpHeat  Wood Stove-Boiler €</v>
      </c>
      <c r="D254" s="41"/>
      <c r="E254" s="138" t="str">
        <f>Commodities!$AA$19</f>
        <v>RSD_DTA3_SH</v>
      </c>
      <c r="F254" s="139">
        <f t="shared" si="32"/>
        <v>0.2</v>
      </c>
      <c r="G254" s="33"/>
      <c r="H254" s="33"/>
      <c r="I254" s="138" t="str">
        <f t="shared" si="33"/>
        <v>*</v>
      </c>
      <c r="J254" s="164">
        <f t="shared" si="34"/>
        <v>0.2</v>
      </c>
      <c r="S254" s="44"/>
      <c r="T254" s="44"/>
      <c r="U254" s="44"/>
      <c r="V254" s="44"/>
      <c r="W254" s="44"/>
    </row>
    <row r="255" spans="2:23" s="51" customFormat="1" ht="13.8" hidden="1">
      <c r="B255" s="41" t="s">
        <v>147</v>
      </c>
      <c r="C255" s="51" t="str">
        <f t="shared" si="29"/>
        <v>Detached A3 SpHeat DieselOil Boiler €</v>
      </c>
      <c r="D255" s="41"/>
      <c r="E255" s="138" t="str">
        <f>Commodities!$AA$19</f>
        <v>RSD_DTA3_SH</v>
      </c>
      <c r="F255" s="139">
        <f t="shared" si="32"/>
        <v>0.2</v>
      </c>
      <c r="G255" s="35"/>
      <c r="H255" s="35"/>
      <c r="I255" s="138" t="str">
        <f t="shared" si="33"/>
        <v>*</v>
      </c>
      <c r="J255" s="164">
        <f t="shared" si="34"/>
        <v>0.2</v>
      </c>
      <c r="S255" s="44"/>
      <c r="T255" s="44"/>
      <c r="U255" s="44"/>
      <c r="V255" s="44"/>
      <c r="W255" s="44"/>
    </row>
    <row r="256" spans="2:23" s="51" customFormat="1" hidden="1">
      <c r="B256" s="41" t="s">
        <v>147</v>
      </c>
      <c r="C256" s="51" t="str">
        <f t="shared" si="29"/>
        <v>Detached A3 SpHeat Electric Heater (E)</v>
      </c>
      <c r="D256" s="41"/>
      <c r="E256" s="138" t="str">
        <f>Commodities!$AA$19</f>
        <v>RSD_DTA3_SH</v>
      </c>
      <c r="F256" s="139">
        <f>IFERROR(M45*F115/(F45*F185),0.35)</f>
        <v>0.35</v>
      </c>
      <c r="G256" s="164"/>
      <c r="H256" s="164"/>
      <c r="I256" s="138" t="str">
        <f t="shared" si="33"/>
        <v>*</v>
      </c>
      <c r="J256" s="164">
        <f t="shared" si="34"/>
        <v>0.35</v>
      </c>
      <c r="S256" s="44"/>
      <c r="T256" s="44"/>
      <c r="U256" s="44"/>
      <c r="V256" s="44"/>
      <c r="W256" s="44"/>
    </row>
    <row r="257" spans="2:23" s="51" customFormat="1" hidden="1">
      <c r="B257" s="41" t="s">
        <v>147</v>
      </c>
      <c r="C257" s="152" t="str">
        <f t="shared" si="29"/>
        <v>Detached A3 SpHeat LPG Boiler (E)</v>
      </c>
      <c r="D257" s="152"/>
      <c r="E257" s="153" t="str">
        <f>Commodities!$AA$19</f>
        <v>RSD_DTA3_SH</v>
      </c>
      <c r="F257" s="166">
        <f>IFERROR(M46*F116/(F46*F186),0.2)</f>
        <v>0.2</v>
      </c>
      <c r="G257" s="164"/>
      <c r="H257" s="164"/>
      <c r="I257" s="153" t="str">
        <f t="shared" si="33"/>
        <v>*</v>
      </c>
      <c r="J257" s="224">
        <f t="shared" si="34"/>
        <v>0.2</v>
      </c>
      <c r="S257" s="44"/>
      <c r="T257" s="44"/>
      <c r="U257" s="44"/>
      <c r="V257" s="44"/>
      <c r="W257" s="44"/>
    </row>
    <row r="258" spans="2:23" s="51" customFormat="1" hidden="1">
      <c r="B258" s="41" t="s">
        <v>147</v>
      </c>
      <c r="C258" s="51" t="str">
        <f t="shared" si="29"/>
        <v>Apartment A3 SpHeat Coal Stove (E)</v>
      </c>
      <c r="D258" s="41"/>
      <c r="E258" s="138" t="str">
        <f>Commodities!$AA$20</f>
        <v>RSD_APA3_SH</v>
      </c>
      <c r="F258" s="139">
        <f t="shared" ref="F258:F263" si="35">IFERROR(M47*F117/(F47*F187),0.2)</f>
        <v>0.2</v>
      </c>
      <c r="G258" s="164"/>
      <c r="H258" s="164"/>
      <c r="I258" s="138" t="str">
        <f t="shared" si="33"/>
        <v>*</v>
      </c>
      <c r="J258" s="251">
        <f t="shared" si="34"/>
        <v>0.2</v>
      </c>
      <c r="S258" s="44"/>
      <c r="T258" s="44"/>
      <c r="U258" s="44"/>
      <c r="V258" s="44"/>
      <c r="W258" s="44"/>
    </row>
    <row r="259" spans="2:23" s="51" customFormat="1" hidden="1">
      <c r="B259" s="41" t="s">
        <v>147</v>
      </c>
      <c r="C259" s="51" t="str">
        <f t="shared" si="29"/>
        <v>Apartment A3 SpHeat BCO Stove (E)</v>
      </c>
      <c r="D259" s="41"/>
      <c r="E259" s="138" t="str">
        <f>Commodities!$AA$20</f>
        <v>RSD_APA3_SH</v>
      </c>
      <c r="F259" s="139">
        <f t="shared" si="35"/>
        <v>0.2</v>
      </c>
      <c r="G259" s="179"/>
      <c r="H259" s="179"/>
      <c r="I259" s="138" t="str">
        <f t="shared" si="33"/>
        <v>*</v>
      </c>
      <c r="J259" s="251">
        <f t="shared" si="34"/>
        <v>0.2</v>
      </c>
      <c r="S259" s="44"/>
      <c r="T259" s="44"/>
      <c r="U259" s="44"/>
      <c r="V259" s="44"/>
      <c r="W259" s="44"/>
    </row>
    <row r="260" spans="2:23" s="51" customFormat="1" hidden="1">
      <c r="B260" s="41" t="s">
        <v>147</v>
      </c>
      <c r="C260" s="51" t="str">
        <f t="shared" si="29"/>
        <v>Apartment A3 SpHeat Gas Boiler (E)</v>
      </c>
      <c r="D260" s="41"/>
      <c r="E260" s="138" t="str">
        <f>Commodities!$AA$20</f>
        <v>RSD_APA3_SH</v>
      </c>
      <c r="F260" s="139">
        <f t="shared" si="35"/>
        <v>0.2</v>
      </c>
      <c r="G260" s="164"/>
      <c r="H260" s="164"/>
      <c r="I260" s="138" t="str">
        <f t="shared" si="33"/>
        <v>*</v>
      </c>
      <c r="J260" s="251">
        <f t="shared" si="34"/>
        <v>0.2</v>
      </c>
      <c r="S260" s="44"/>
      <c r="T260" s="44"/>
      <c r="U260" s="44"/>
      <c r="V260" s="44"/>
      <c r="W260" s="44"/>
    </row>
    <row r="261" spans="2:23" s="51" customFormat="1" hidden="1">
      <c r="B261" s="41" t="s">
        <v>147</v>
      </c>
      <c r="C261" s="51" t="str">
        <f t="shared" si="29"/>
        <v>Apartment A3 SpHeat Dist. Heat (E)</v>
      </c>
      <c r="D261" s="41"/>
      <c r="E261" s="138" t="str">
        <f>Commodities!$AA$20</f>
        <v>RSD_APA3_SH</v>
      </c>
      <c r="F261" s="139">
        <f t="shared" si="35"/>
        <v>0.2</v>
      </c>
      <c r="G261" s="164"/>
      <c r="H261" s="164"/>
      <c r="I261" s="138" t="str">
        <f t="shared" si="33"/>
        <v>*</v>
      </c>
      <c r="J261" s="251">
        <f t="shared" si="34"/>
        <v>0.2</v>
      </c>
      <c r="S261" s="44"/>
      <c r="T261" s="44"/>
      <c r="U261" s="44"/>
      <c r="V261" s="44"/>
      <c r="W261" s="44"/>
    </row>
    <row r="262" spans="2:23" s="51" customFormat="1" hidden="1">
      <c r="B262" s="41" t="s">
        <v>147</v>
      </c>
      <c r="C262" s="51" t="str">
        <f t="shared" si="29"/>
        <v>Apartment A3 SpHeat  Wood Stove-Boiler €</v>
      </c>
      <c r="D262" s="41"/>
      <c r="E262" s="138" t="str">
        <f>Commodities!$AA$20</f>
        <v>RSD_APA3_SH</v>
      </c>
      <c r="F262" s="139">
        <f t="shared" si="35"/>
        <v>0.2</v>
      </c>
      <c r="G262" s="179"/>
      <c r="H262" s="179"/>
      <c r="I262" s="138" t="str">
        <f t="shared" si="33"/>
        <v>*</v>
      </c>
      <c r="J262" s="251">
        <f t="shared" si="34"/>
        <v>0.2</v>
      </c>
      <c r="S262" s="44"/>
      <c r="T262" s="44"/>
      <c r="U262" s="44"/>
      <c r="V262" s="44"/>
      <c r="W262" s="44"/>
    </row>
    <row r="263" spans="2:23" s="51" customFormat="1" hidden="1">
      <c r="B263" s="41" t="s">
        <v>147</v>
      </c>
      <c r="C263" s="51" t="str">
        <f t="shared" si="29"/>
        <v>Apartment A3 SpHeat DieselOil Boiler €</v>
      </c>
      <c r="D263" s="41"/>
      <c r="E263" s="138" t="str">
        <f>Commodities!$AA$20</f>
        <v>RSD_APA3_SH</v>
      </c>
      <c r="F263" s="139">
        <f t="shared" si="35"/>
        <v>0.2</v>
      </c>
      <c r="G263" s="179"/>
      <c r="H263" s="179"/>
      <c r="I263" s="138" t="str">
        <f t="shared" si="33"/>
        <v>*</v>
      </c>
      <c r="J263" s="252">
        <f t="shared" si="34"/>
        <v>0.2</v>
      </c>
      <c r="S263" s="44"/>
      <c r="T263" s="44"/>
      <c r="U263" s="44"/>
      <c r="V263" s="44"/>
      <c r="W263" s="44"/>
    </row>
    <row r="264" spans="2:23" s="51" customFormat="1" hidden="1">
      <c r="B264" s="41" t="s">
        <v>147</v>
      </c>
      <c r="C264" s="51" t="str">
        <f t="shared" si="29"/>
        <v>Apartment A3 SpHeat Electric Heater (E)</v>
      </c>
      <c r="D264" s="41"/>
      <c r="E264" s="138" t="str">
        <f>Commodities!$AA$20</f>
        <v>RSD_APA3_SH</v>
      </c>
      <c r="F264" s="139">
        <f>IFERROR(M53*F123/(F53*F193),0.35)</f>
        <v>0.35</v>
      </c>
      <c r="G264" s="164"/>
      <c r="H264" s="164"/>
      <c r="I264" s="138" t="str">
        <f t="shared" si="33"/>
        <v>*</v>
      </c>
      <c r="J264" s="252">
        <f t="shared" si="34"/>
        <v>0.35</v>
      </c>
      <c r="S264" s="44"/>
      <c r="T264" s="44"/>
      <c r="U264" s="44"/>
      <c r="V264" s="44"/>
      <c r="W264" s="44"/>
    </row>
    <row r="265" spans="2:23" s="51" customFormat="1" hidden="1">
      <c r="B265" s="41" t="s">
        <v>147</v>
      </c>
      <c r="C265" s="152" t="str">
        <f t="shared" si="29"/>
        <v>Apartment A3 SpHeat LPG Boiler (E)</v>
      </c>
      <c r="D265" s="152"/>
      <c r="E265" s="153" t="str">
        <f>Commodities!$AA$20</f>
        <v>RSD_APA3_SH</v>
      </c>
      <c r="F265" s="166">
        <f>IFERROR(M54*F124/(F54*F194),0.2)</f>
        <v>0.2</v>
      </c>
      <c r="G265" s="164"/>
      <c r="H265" s="164"/>
      <c r="I265" s="153" t="str">
        <f t="shared" si="33"/>
        <v>*</v>
      </c>
      <c r="J265" s="253">
        <f t="shared" si="34"/>
        <v>0.2</v>
      </c>
      <c r="S265" s="44"/>
      <c r="T265" s="44"/>
      <c r="U265" s="44"/>
      <c r="V265" s="44"/>
      <c r="W265" s="44"/>
    </row>
    <row r="266" spans="2:23" s="51" customFormat="1" hidden="1">
      <c r="B266" s="41" t="s">
        <v>147</v>
      </c>
      <c r="C266" s="51" t="str">
        <f t="shared" ref="C266:C281" si="36">S55</f>
        <v>Detached A4 SpHeat Coal Stove (E)</v>
      </c>
      <c r="D266" s="41"/>
      <c r="E266" s="138" t="str">
        <f>Commodities!$AA$21</f>
        <v>RSD_DTA4_SH</v>
      </c>
      <c r="F266" s="139">
        <f t="shared" ref="F266:F271" si="37">IFERROR(M55*F125/(F55*F195),0.15)</f>
        <v>0.15</v>
      </c>
      <c r="I266" s="138" t="str">
        <f t="shared" si="33"/>
        <v>*</v>
      </c>
      <c r="J266" s="164">
        <f t="shared" si="34"/>
        <v>0.15</v>
      </c>
      <c r="S266" s="44"/>
      <c r="T266" s="44"/>
      <c r="U266" s="44"/>
      <c r="V266" s="44"/>
      <c r="W266" s="44"/>
    </row>
    <row r="267" spans="2:23" s="51" customFormat="1" hidden="1">
      <c r="B267" s="41" t="s">
        <v>147</v>
      </c>
      <c r="C267" s="51" t="str">
        <f t="shared" si="36"/>
        <v>Detached A4 SpHeat BCO Stove (E)</v>
      </c>
      <c r="D267" s="41"/>
      <c r="E267" s="138" t="str">
        <f>Commodities!$AA$21</f>
        <v>RSD_DTA4_SH</v>
      </c>
      <c r="F267" s="139">
        <f t="shared" si="37"/>
        <v>0.15</v>
      </c>
      <c r="I267" s="138" t="str">
        <f t="shared" si="33"/>
        <v>*</v>
      </c>
      <c r="J267" s="164">
        <f t="shared" si="34"/>
        <v>0.15</v>
      </c>
      <c r="S267" s="44"/>
      <c r="T267" s="44"/>
      <c r="U267" s="44"/>
      <c r="V267" s="44"/>
      <c r="W267" s="44"/>
    </row>
    <row r="268" spans="2:23" s="51" customFormat="1" hidden="1">
      <c r="B268" s="41" t="s">
        <v>147</v>
      </c>
      <c r="C268" s="51" t="str">
        <f t="shared" si="36"/>
        <v>Detached A4 SpHeat Gas Boiler (E)</v>
      </c>
      <c r="D268" s="41"/>
      <c r="E268" s="138" t="str">
        <f>Commodities!$AA$21</f>
        <v>RSD_DTA4_SH</v>
      </c>
      <c r="F268" s="139">
        <f t="shared" si="37"/>
        <v>0.15</v>
      </c>
      <c r="I268" s="138" t="str">
        <f t="shared" si="33"/>
        <v>*</v>
      </c>
      <c r="J268" s="164">
        <f t="shared" si="34"/>
        <v>0.15</v>
      </c>
      <c r="S268" s="44"/>
      <c r="T268" s="44"/>
      <c r="U268" s="44"/>
      <c r="V268" s="44"/>
      <c r="W268" s="44"/>
    </row>
    <row r="269" spans="2:23" s="51" customFormat="1" ht="13.8" hidden="1">
      <c r="B269" s="41" t="s">
        <v>147</v>
      </c>
      <c r="C269" s="51" t="str">
        <f t="shared" si="36"/>
        <v>Detached A4 SpHeat Dist. Heat (E)</v>
      </c>
      <c r="D269" s="41"/>
      <c r="E269" s="138" t="str">
        <f>Commodities!$AA$21</f>
        <v>RSD_DTA4_SH</v>
      </c>
      <c r="F269" s="139">
        <f t="shared" si="37"/>
        <v>0.15</v>
      </c>
      <c r="G269" s="31"/>
      <c r="H269" s="31"/>
      <c r="I269" s="138" t="str">
        <f t="shared" si="33"/>
        <v>*</v>
      </c>
      <c r="J269" s="164">
        <f t="shared" si="34"/>
        <v>0.15</v>
      </c>
      <c r="S269" s="44"/>
      <c r="T269" s="44"/>
      <c r="U269" s="44"/>
      <c r="V269" s="44"/>
      <c r="W269" s="44"/>
    </row>
    <row r="270" spans="2:23" s="51" customFormat="1" ht="13.8" hidden="1">
      <c r="B270" s="41" t="s">
        <v>147</v>
      </c>
      <c r="C270" s="51" t="str">
        <f t="shared" si="36"/>
        <v>Detached A4 SpHeat  Wood Stove-Boiler €</v>
      </c>
      <c r="D270" s="41"/>
      <c r="E270" s="138" t="str">
        <f>Commodities!$AA$21</f>
        <v>RSD_DTA4_SH</v>
      </c>
      <c r="F270" s="139">
        <f t="shared" si="37"/>
        <v>0.15</v>
      </c>
      <c r="G270" s="33"/>
      <c r="H270" s="33"/>
      <c r="I270" s="138" t="str">
        <f t="shared" si="33"/>
        <v>*</v>
      </c>
      <c r="J270" s="164">
        <f t="shared" si="34"/>
        <v>0.15</v>
      </c>
      <c r="S270" s="44"/>
      <c r="T270" s="44"/>
      <c r="U270" s="44"/>
      <c r="V270" s="44"/>
      <c r="W270" s="44"/>
    </row>
    <row r="271" spans="2:23" s="51" customFormat="1" ht="13.8" hidden="1">
      <c r="B271" s="41" t="s">
        <v>147</v>
      </c>
      <c r="C271" s="51" t="str">
        <f t="shared" si="36"/>
        <v>Detached A4 SpHeat DieselOil Boiler €</v>
      </c>
      <c r="D271" s="41"/>
      <c r="E271" s="138" t="str">
        <f>Commodities!$AA$21</f>
        <v>RSD_DTA4_SH</v>
      </c>
      <c r="F271" s="139">
        <f t="shared" si="37"/>
        <v>0.15</v>
      </c>
      <c r="G271" s="35"/>
      <c r="H271" s="35"/>
      <c r="I271" s="138" t="str">
        <f t="shared" si="33"/>
        <v>*</v>
      </c>
      <c r="J271" s="164">
        <f t="shared" si="34"/>
        <v>0.15</v>
      </c>
      <c r="S271" s="44"/>
      <c r="T271" s="44"/>
      <c r="U271" s="44"/>
      <c r="V271" s="44"/>
      <c r="W271" s="44"/>
    </row>
    <row r="272" spans="2:23" s="51" customFormat="1" hidden="1">
      <c r="B272" s="41" t="s">
        <v>147</v>
      </c>
      <c r="C272" s="51" t="str">
        <f t="shared" si="36"/>
        <v>Detached A4 SpHeat Electric Heater (E)</v>
      </c>
      <c r="D272" s="41"/>
      <c r="E272" s="138" t="str">
        <f>Commodities!$AA$21</f>
        <v>RSD_DTA4_SH</v>
      </c>
      <c r="F272" s="139">
        <f>IFERROR(M61*F131/(F61*F201),0.35)</f>
        <v>0.35</v>
      </c>
      <c r="G272" s="164"/>
      <c r="H272" s="164"/>
      <c r="I272" s="138" t="str">
        <f t="shared" si="33"/>
        <v>*</v>
      </c>
      <c r="J272" s="164">
        <f t="shared" si="34"/>
        <v>0.35</v>
      </c>
      <c r="S272" s="44"/>
      <c r="T272" s="44"/>
      <c r="U272" s="44"/>
      <c r="V272" s="44"/>
      <c r="W272" s="44"/>
    </row>
    <row r="273" spans="2:25" hidden="1">
      <c r="B273" s="41" t="s">
        <v>147</v>
      </c>
      <c r="C273" s="152" t="str">
        <f t="shared" si="36"/>
        <v>Detached A4 SpHeat LPG Boiler (E)</v>
      </c>
      <c r="D273" s="152"/>
      <c r="E273" s="153" t="str">
        <f>Commodities!$AA$21</f>
        <v>RSD_DTA4_SH</v>
      </c>
      <c r="F273" s="166">
        <f t="shared" ref="F273:F279" si="38">IFERROR(M62*F132/(F62*F202),0.15)</f>
        <v>0.15</v>
      </c>
      <c r="G273" s="164"/>
      <c r="H273" s="164"/>
      <c r="I273" s="153" t="str">
        <f t="shared" si="33"/>
        <v>*</v>
      </c>
      <c r="J273" s="224">
        <f t="shared" si="34"/>
        <v>0.15</v>
      </c>
      <c r="S273" s="44"/>
      <c r="T273" s="44"/>
      <c r="U273" s="44"/>
      <c r="X273" s="51"/>
      <c r="Y273" s="51"/>
    </row>
    <row r="274" spans="2:25" hidden="1">
      <c r="B274" s="41" t="s">
        <v>147</v>
      </c>
      <c r="C274" s="51" t="str">
        <f t="shared" si="36"/>
        <v>Apartment A4 SpHeat Coal Stove (E)</v>
      </c>
      <c r="D274" s="41"/>
      <c r="E274" s="138" t="str">
        <f>Commodities!$AA$22</f>
        <v>RSD_APA4_SH</v>
      </c>
      <c r="F274" s="139">
        <f t="shared" si="38"/>
        <v>0.15</v>
      </c>
      <c r="G274" s="164"/>
      <c r="H274" s="164"/>
      <c r="I274" s="138" t="str">
        <f t="shared" si="33"/>
        <v>*</v>
      </c>
      <c r="J274" s="251">
        <f t="shared" si="34"/>
        <v>0.15</v>
      </c>
      <c r="S274" s="44"/>
      <c r="T274" s="44"/>
      <c r="U274" s="44"/>
      <c r="X274" s="51"/>
      <c r="Y274" s="51"/>
    </row>
    <row r="275" spans="2:25" hidden="1">
      <c r="B275" s="41" t="s">
        <v>147</v>
      </c>
      <c r="C275" s="51" t="str">
        <f t="shared" si="36"/>
        <v>Apartment A4 SpHeat BCO Stove (E)</v>
      </c>
      <c r="D275" s="41"/>
      <c r="E275" s="138" t="str">
        <f>Commodities!$AA$22</f>
        <v>RSD_APA4_SH</v>
      </c>
      <c r="F275" s="139">
        <f t="shared" si="38"/>
        <v>0.15</v>
      </c>
      <c r="G275" s="179"/>
      <c r="H275" s="179"/>
      <c r="I275" s="138" t="str">
        <f t="shared" si="33"/>
        <v>*</v>
      </c>
      <c r="J275" s="251">
        <f t="shared" si="34"/>
        <v>0.15</v>
      </c>
      <c r="S275" s="44"/>
      <c r="T275" s="44"/>
      <c r="U275" s="44"/>
      <c r="X275" s="51"/>
      <c r="Y275" s="51"/>
    </row>
    <row r="276" spans="2:25" hidden="1">
      <c r="B276" s="41" t="s">
        <v>147</v>
      </c>
      <c r="C276" s="51" t="str">
        <f t="shared" si="36"/>
        <v>Apartment A4 SpHeat Gas Boiler (E)</v>
      </c>
      <c r="D276" s="41"/>
      <c r="E276" s="138" t="str">
        <f>Commodities!$AA$22</f>
        <v>RSD_APA4_SH</v>
      </c>
      <c r="F276" s="139">
        <f t="shared" si="38"/>
        <v>0.15</v>
      </c>
      <c r="G276" s="164"/>
      <c r="H276" s="164"/>
      <c r="I276" s="138" t="str">
        <f t="shared" si="33"/>
        <v>*</v>
      </c>
      <c r="J276" s="251">
        <f t="shared" si="34"/>
        <v>0.15</v>
      </c>
      <c r="S276" s="44"/>
      <c r="T276" s="44"/>
      <c r="U276" s="44"/>
      <c r="X276" s="51"/>
      <c r="Y276" s="51"/>
    </row>
    <row r="277" spans="2:25" hidden="1">
      <c r="B277" s="41" t="s">
        <v>147</v>
      </c>
      <c r="C277" s="51" t="str">
        <f t="shared" si="36"/>
        <v>Apartment A4 SpHeat Dist. Heat (E)</v>
      </c>
      <c r="D277" s="41"/>
      <c r="E277" s="138" t="str">
        <f>Commodities!$AA$22</f>
        <v>RSD_APA4_SH</v>
      </c>
      <c r="F277" s="139">
        <f t="shared" si="38"/>
        <v>0.15</v>
      </c>
      <c r="G277" s="164"/>
      <c r="H277" s="164"/>
      <c r="I277" s="138" t="str">
        <f t="shared" si="33"/>
        <v>*</v>
      </c>
      <c r="J277" s="251">
        <f t="shared" si="34"/>
        <v>0.15</v>
      </c>
      <c r="S277" s="44"/>
      <c r="T277" s="44"/>
      <c r="U277" s="44"/>
      <c r="X277" s="51"/>
      <c r="Y277" s="51"/>
    </row>
    <row r="278" spans="2:25" hidden="1">
      <c r="B278" s="41" t="s">
        <v>147</v>
      </c>
      <c r="C278" s="51" t="str">
        <f t="shared" si="36"/>
        <v>Apartment A4 SpHeat  Wood Stove-Boiler €</v>
      </c>
      <c r="D278" s="41"/>
      <c r="E278" s="138" t="str">
        <f>Commodities!$AA$22</f>
        <v>RSD_APA4_SH</v>
      </c>
      <c r="F278" s="139">
        <f t="shared" si="38"/>
        <v>0.15</v>
      </c>
      <c r="G278" s="179"/>
      <c r="H278" s="179"/>
      <c r="I278" s="138" t="str">
        <f t="shared" si="33"/>
        <v>*</v>
      </c>
      <c r="J278" s="251">
        <f t="shared" si="34"/>
        <v>0.15</v>
      </c>
      <c r="S278" s="44"/>
      <c r="T278" s="44"/>
      <c r="U278" s="44"/>
      <c r="X278" s="51"/>
      <c r="Y278" s="51"/>
    </row>
    <row r="279" spans="2:25" hidden="1">
      <c r="B279" s="41" t="s">
        <v>147</v>
      </c>
      <c r="C279" s="51" t="str">
        <f t="shared" si="36"/>
        <v>Apartment A4 SpHeat DieselOil Boiler €</v>
      </c>
      <c r="D279" s="41"/>
      <c r="E279" s="138" t="str">
        <f>Commodities!$AA$22</f>
        <v>RSD_APA4_SH</v>
      </c>
      <c r="F279" s="139">
        <f t="shared" si="38"/>
        <v>0.15</v>
      </c>
      <c r="G279" s="179"/>
      <c r="H279" s="179"/>
      <c r="I279" s="138" t="str">
        <f t="shared" si="33"/>
        <v>*</v>
      </c>
      <c r="J279" s="252">
        <f t="shared" si="34"/>
        <v>0.15</v>
      </c>
      <c r="S279" s="44"/>
      <c r="T279" s="44"/>
      <c r="U279" s="44"/>
      <c r="X279" s="51"/>
      <c r="Y279" s="51"/>
    </row>
    <row r="280" spans="2:25" hidden="1">
      <c r="B280" s="41" t="s">
        <v>147</v>
      </c>
      <c r="C280" s="51" t="str">
        <f t="shared" si="36"/>
        <v>Apartment A4 SpHeat Electric Heater (E)</v>
      </c>
      <c r="D280" s="41"/>
      <c r="E280" s="138" t="str">
        <f>Commodities!$AA$22</f>
        <v>RSD_APA4_SH</v>
      </c>
      <c r="F280" s="139">
        <f>IFERROR(M69*F139/(F69*F209),0.35)</f>
        <v>0.35</v>
      </c>
      <c r="G280" s="164"/>
      <c r="H280" s="164"/>
      <c r="I280" s="138" t="str">
        <f t="shared" si="33"/>
        <v>*</v>
      </c>
      <c r="J280" s="252">
        <f t="shared" si="34"/>
        <v>0.35</v>
      </c>
      <c r="S280" s="44"/>
      <c r="T280" s="44"/>
      <c r="U280" s="44"/>
      <c r="X280" s="51"/>
      <c r="Y280" s="51"/>
    </row>
    <row r="281" spans="2:25" hidden="1">
      <c r="B281" s="41" t="s">
        <v>147</v>
      </c>
      <c r="C281" s="152" t="str">
        <f t="shared" si="36"/>
        <v>Apartment A4 SpHeat LPG Boiler (E)</v>
      </c>
      <c r="D281" s="152"/>
      <c r="E281" s="153" t="str">
        <f>Commodities!$AA$22</f>
        <v>RSD_APA4_SH</v>
      </c>
      <c r="F281" s="166">
        <f>IFERROR(M70*F140/(F70*F210),0.15)</f>
        <v>0.15</v>
      </c>
      <c r="G281" s="164"/>
      <c r="H281" s="164"/>
      <c r="I281" s="153" t="str">
        <f t="shared" si="33"/>
        <v>*</v>
      </c>
      <c r="J281" s="253">
        <f t="shared" si="34"/>
        <v>0.15</v>
      </c>
      <c r="S281" s="44"/>
      <c r="T281" s="44"/>
      <c r="U281" s="44"/>
      <c r="X281" s="51"/>
      <c r="Y281" s="51"/>
    </row>
    <row r="282" spans="2:25">
      <c r="G282" s="164"/>
      <c r="H282" s="164"/>
      <c r="S282" s="44"/>
      <c r="T282" s="44"/>
      <c r="U282" s="44"/>
      <c r="X282" s="51"/>
      <c r="Y282" s="51"/>
    </row>
    <row r="283" spans="2:25">
      <c r="G283" s="179"/>
      <c r="H283" s="179"/>
      <c r="S283" s="44"/>
      <c r="T283" s="44"/>
      <c r="U283" s="44"/>
      <c r="X283" s="51"/>
      <c r="Y283" s="51"/>
    </row>
    <row r="284" spans="2:25" ht="13.8">
      <c r="E284" s="86" t="s">
        <v>354</v>
      </c>
      <c r="G284" s="164"/>
      <c r="H284" s="164"/>
      <c r="S284" s="44"/>
      <c r="T284" s="44"/>
      <c r="U284" s="44"/>
      <c r="X284" s="51"/>
      <c r="Y284" s="51"/>
    </row>
    <row r="285" spans="2:25" ht="13.8">
      <c r="B285" s="88" t="s">
        <v>1</v>
      </c>
      <c r="C285" s="88" t="s">
        <v>42</v>
      </c>
      <c r="D285" s="88" t="s">
        <v>7</v>
      </c>
      <c r="E285" s="88" t="s">
        <v>0</v>
      </c>
      <c r="F285" s="121" t="s">
        <v>999</v>
      </c>
      <c r="G285" s="164"/>
      <c r="H285" s="164"/>
      <c r="I285" s="31"/>
      <c r="J285" s="31"/>
      <c r="S285" s="44"/>
      <c r="T285" s="44"/>
      <c r="U285" s="44"/>
      <c r="X285" s="51"/>
      <c r="Y285" s="51"/>
    </row>
    <row r="286" spans="2:25" ht="14.4" thickBot="1">
      <c r="B286" s="92" t="s">
        <v>356</v>
      </c>
      <c r="C286" s="92" t="s">
        <v>26</v>
      </c>
      <c r="D286" s="124" t="s">
        <v>36</v>
      </c>
      <c r="E286" s="123"/>
      <c r="F286" s="92"/>
      <c r="G286" s="179"/>
      <c r="H286" s="179"/>
      <c r="I286" s="33"/>
      <c r="J286" s="33"/>
      <c r="S286" s="44"/>
      <c r="T286" s="44"/>
      <c r="U286" s="44"/>
      <c r="X286" s="51"/>
      <c r="Y286" s="51"/>
    </row>
    <row r="287" spans="2:25" ht="14.4" thickBot="1">
      <c r="B287" s="92" t="s">
        <v>269</v>
      </c>
      <c r="C287" s="92"/>
      <c r="D287" s="92"/>
      <c r="E287" s="123"/>
      <c r="F287" s="124"/>
      <c r="G287" s="179"/>
      <c r="H287" s="179"/>
      <c r="I287" s="35"/>
      <c r="J287" s="35"/>
      <c r="S287" s="44"/>
      <c r="T287" s="44"/>
      <c r="U287" s="44"/>
      <c r="X287" s="51"/>
      <c r="Y287" s="51"/>
    </row>
    <row r="288" spans="2:25">
      <c r="B288" s="51" t="str">
        <f t="shared" ref="B288:B303" si="39">R7</f>
        <v>RSD_DTA1_SH_BIC_E01</v>
      </c>
      <c r="C288" s="51" t="str">
        <f t="shared" ref="C288:C303" si="40">S7</f>
        <v>Detached A1 SpHeat Coal Stove (E)</v>
      </c>
      <c r="E288" s="135" t="str">
        <f>Commodities!$AA$15</f>
        <v>RSD_DTA1_SH</v>
      </c>
      <c r="F288" s="164">
        <v>10</v>
      </c>
      <c r="G288" s="164"/>
      <c r="H288" s="164"/>
      <c r="I288" s="164"/>
      <c r="J288" s="164"/>
      <c r="S288" s="44"/>
      <c r="T288" s="44"/>
      <c r="U288" s="44"/>
      <c r="X288" s="51"/>
      <c r="Y288" s="51"/>
    </row>
    <row r="289" spans="2:25">
      <c r="B289" s="51" t="str">
        <f t="shared" si="39"/>
        <v>RSD_DTA1_SH_HFO_E01</v>
      </c>
      <c r="C289" s="51" t="str">
        <f t="shared" si="40"/>
        <v>Detached A1 SpHeat Fuel Oil boiler (E)</v>
      </c>
      <c r="E289" s="138" t="str">
        <f>Commodities!$AA$15</f>
        <v>RSD_DTA1_SH</v>
      </c>
      <c r="F289" s="164">
        <v>10</v>
      </c>
      <c r="G289" s="164"/>
      <c r="H289" s="164"/>
      <c r="I289" s="164"/>
      <c r="J289" s="164"/>
      <c r="S289" s="44"/>
      <c r="T289" s="44"/>
      <c r="U289" s="44"/>
      <c r="X289" s="51"/>
      <c r="Y289" s="51"/>
    </row>
    <row r="290" spans="2:25">
      <c r="B290" s="51" t="str">
        <f t="shared" si="39"/>
        <v>RSD_DTA1_SH_GAS_E01</v>
      </c>
      <c r="C290" s="51" t="str">
        <f t="shared" si="40"/>
        <v>Detached A1 SpHeat Gas Boiler (E)</v>
      </c>
      <c r="E290" s="138" t="str">
        <f>Commodities!$AA$15</f>
        <v>RSD_DTA1_SH</v>
      </c>
      <c r="F290" s="164">
        <v>20</v>
      </c>
      <c r="G290" s="164"/>
      <c r="H290" s="164"/>
      <c r="I290" s="164"/>
      <c r="J290" s="164"/>
      <c r="S290" s="44"/>
      <c r="T290" s="44"/>
      <c r="U290" s="44"/>
      <c r="X290" s="51"/>
      <c r="Y290" s="51"/>
    </row>
    <row r="291" spans="2:25">
      <c r="B291" s="51" t="str">
        <f t="shared" si="39"/>
        <v>RSD_DTA1_SH_LTH_E01</v>
      </c>
      <c r="C291" s="51" t="str">
        <f t="shared" si="40"/>
        <v>Detached A1 SpHeat Dist. Heat (E)</v>
      </c>
      <c r="D291" s="41"/>
      <c r="E291" s="138" t="str">
        <f>Commodities!$AA$15</f>
        <v>RSD_DTA1_SH</v>
      </c>
      <c r="F291" s="179">
        <v>20</v>
      </c>
      <c r="G291" s="179"/>
      <c r="H291" s="179"/>
      <c r="I291" s="179"/>
      <c r="J291" s="179"/>
      <c r="S291" s="44"/>
      <c r="T291" s="44"/>
      <c r="U291" s="44"/>
      <c r="X291" s="51"/>
      <c r="Y291" s="51"/>
    </row>
    <row r="292" spans="2:25">
      <c r="B292" s="51" t="str">
        <f t="shared" si="39"/>
        <v>RSD_DTA1_SH_LOG_E01</v>
      </c>
      <c r="C292" s="51" t="str">
        <f t="shared" si="40"/>
        <v>Detached A1 SpHeat Wood Stove-Boiler (E)</v>
      </c>
      <c r="E292" s="138" t="str">
        <f>Commodities!$AA$15</f>
        <v>RSD_DTA1_SH</v>
      </c>
      <c r="F292" s="164">
        <v>10</v>
      </c>
      <c r="G292" s="164"/>
      <c r="H292" s="164"/>
      <c r="I292" s="164"/>
      <c r="J292" s="164"/>
      <c r="S292" s="44"/>
      <c r="T292" s="44"/>
      <c r="U292" s="44"/>
      <c r="X292" s="51"/>
      <c r="Y292" s="51"/>
    </row>
    <row r="293" spans="2:25">
      <c r="B293" s="51" t="str">
        <f t="shared" si="39"/>
        <v>RSD_DTA1_SH_DSL_E01</v>
      </c>
      <c r="C293" s="51" t="str">
        <f t="shared" si="40"/>
        <v>Detached A1 SpHeat DieselOil Boiler (E)</v>
      </c>
      <c r="E293" s="138" t="str">
        <f>Commodities!$AA$15</f>
        <v>RSD_DTA1_SH</v>
      </c>
      <c r="F293" s="164">
        <v>15</v>
      </c>
      <c r="G293" s="164"/>
      <c r="H293" s="164"/>
      <c r="I293" s="164"/>
      <c r="J293" s="164"/>
      <c r="S293" s="44"/>
      <c r="T293" s="44"/>
      <c r="U293" s="44"/>
      <c r="X293" s="51"/>
      <c r="Y293" s="51"/>
    </row>
    <row r="294" spans="2:25">
      <c r="B294" s="51" t="str">
        <f t="shared" si="39"/>
        <v>RSD_DTA1_SH_ELC_E01</v>
      </c>
      <c r="C294" s="51" t="str">
        <f t="shared" si="40"/>
        <v>Detached A1 SpHeat Electric Heater (E)</v>
      </c>
      <c r="D294" s="41"/>
      <c r="E294" s="138" t="str">
        <f>Commodities!$AA$15</f>
        <v>RSD_DTA1_SH</v>
      </c>
      <c r="F294" s="179">
        <v>20</v>
      </c>
      <c r="G294" s="179"/>
      <c r="H294" s="179"/>
      <c r="I294" s="179"/>
      <c r="J294" s="179"/>
      <c r="S294" s="44"/>
      <c r="T294" s="44"/>
      <c r="U294" s="44"/>
      <c r="X294" s="51"/>
      <c r="Y294" s="51"/>
    </row>
    <row r="295" spans="2:25">
      <c r="B295" s="152" t="str">
        <f t="shared" si="39"/>
        <v>RSD_DTA1_SH_LPG_E01</v>
      </c>
      <c r="C295" s="152" t="str">
        <f t="shared" si="40"/>
        <v>Detached A1 SpHeat LPG Boiler (E)</v>
      </c>
      <c r="D295" s="152"/>
      <c r="E295" s="153" t="str">
        <f>Commodities!$AA$15</f>
        <v>RSD_DTA1_SH</v>
      </c>
      <c r="F295" s="224">
        <v>20</v>
      </c>
      <c r="G295" s="179"/>
      <c r="H295" s="179"/>
      <c r="I295" s="179"/>
      <c r="J295" s="179"/>
      <c r="S295" s="44"/>
      <c r="T295" s="44"/>
      <c r="U295" s="44"/>
      <c r="X295" s="51"/>
      <c r="Y295" s="51"/>
    </row>
    <row r="296" spans="2:25">
      <c r="B296" s="206" t="str">
        <f t="shared" si="39"/>
        <v>RSD_APA1_SH_BIC_E01</v>
      </c>
      <c r="C296" s="206" t="str">
        <f t="shared" si="40"/>
        <v>Apartment A1 SpHeat Coal Stove (E)</v>
      </c>
      <c r="D296" s="206"/>
      <c r="E296" s="157" t="str">
        <f>Commodities!$AA$16</f>
        <v>RSD_APA1_SH</v>
      </c>
      <c r="F296" s="164">
        <v>10</v>
      </c>
      <c r="G296" s="164"/>
      <c r="H296" s="164"/>
      <c r="I296" s="164"/>
      <c r="J296" s="164"/>
      <c r="S296" s="44"/>
      <c r="T296" s="44"/>
      <c r="U296" s="44"/>
      <c r="X296" s="51"/>
      <c r="Y296" s="51"/>
    </row>
    <row r="297" spans="2:25">
      <c r="B297" s="41" t="str">
        <f t="shared" si="39"/>
        <v>RSD_APA1_SH_HFO_E01</v>
      </c>
      <c r="C297" s="41" t="str">
        <f t="shared" si="40"/>
        <v>Apartment A1 SpHeat Fuel Oil boiler (E)</v>
      </c>
      <c r="D297" s="41"/>
      <c r="E297" s="138" t="str">
        <f>Commodities!$AA$16</f>
        <v>RSD_APA1_SH</v>
      </c>
      <c r="F297" s="164">
        <v>10</v>
      </c>
      <c r="G297" s="164"/>
      <c r="H297" s="164"/>
      <c r="I297" s="164"/>
      <c r="J297" s="164"/>
      <c r="S297" s="44"/>
      <c r="T297" s="44"/>
      <c r="U297" s="44"/>
      <c r="X297" s="51"/>
      <c r="Y297" s="51"/>
    </row>
    <row r="298" spans="2:25">
      <c r="B298" s="41" t="str">
        <f t="shared" si="39"/>
        <v>RSD_APA1_SH_GAS_E01</v>
      </c>
      <c r="C298" s="41" t="str">
        <f t="shared" si="40"/>
        <v>Apartment A1 SpHeat Gas Boiler (E)</v>
      </c>
      <c r="D298" s="41"/>
      <c r="E298" s="138" t="str">
        <f>Commodities!$AA$16</f>
        <v>RSD_APA1_SH</v>
      </c>
      <c r="F298" s="164">
        <v>20</v>
      </c>
      <c r="G298" s="164"/>
      <c r="H298" s="164"/>
      <c r="I298" s="164"/>
      <c r="J298" s="164"/>
      <c r="S298" s="44"/>
      <c r="T298" s="44"/>
      <c r="U298" s="44"/>
      <c r="X298" s="51"/>
      <c r="Y298" s="51"/>
    </row>
    <row r="299" spans="2:25">
      <c r="B299" s="41" t="str">
        <f t="shared" si="39"/>
        <v>RSD_APA1_SH_LTH_E01</v>
      </c>
      <c r="C299" s="41" t="str">
        <f t="shared" si="40"/>
        <v>Apartment A1 SpHeat Dist. Heat (E)</v>
      </c>
      <c r="D299" s="41"/>
      <c r="E299" s="138" t="str">
        <f>Commodities!$AA$16</f>
        <v>RSD_APA1_SH</v>
      </c>
      <c r="F299" s="179">
        <v>20</v>
      </c>
      <c r="G299" s="179"/>
      <c r="H299" s="179"/>
      <c r="I299" s="179"/>
      <c r="J299" s="179"/>
      <c r="S299" s="44"/>
      <c r="T299" s="44"/>
      <c r="U299" s="44"/>
      <c r="X299" s="51"/>
      <c r="Y299" s="51"/>
    </row>
    <row r="300" spans="2:25">
      <c r="B300" s="41" t="str">
        <f t="shared" si="39"/>
        <v>RSD_APA1_SH_LOG_E01</v>
      </c>
      <c r="C300" s="41" t="str">
        <f t="shared" si="40"/>
        <v>Apartment A1 SpHeat  Wood Stove-Boiler €</v>
      </c>
      <c r="D300" s="41"/>
      <c r="E300" s="138" t="str">
        <f>Commodities!$AA$16</f>
        <v>RSD_APA1_SH</v>
      </c>
      <c r="F300" s="164">
        <v>10</v>
      </c>
      <c r="G300" s="164"/>
      <c r="H300" s="164"/>
      <c r="I300" s="164"/>
      <c r="J300" s="164"/>
      <c r="S300" s="44"/>
      <c r="T300" s="44"/>
      <c r="U300" s="44"/>
      <c r="X300" s="51"/>
      <c r="Y300" s="51"/>
    </row>
    <row r="301" spans="2:25">
      <c r="B301" s="41" t="str">
        <f t="shared" si="39"/>
        <v>RSD_APA1_SH_DSL_E01</v>
      </c>
      <c r="C301" s="41" t="str">
        <f t="shared" si="40"/>
        <v>Apartment A1 SpHeat DieselOil Boiler €</v>
      </c>
      <c r="D301" s="41"/>
      <c r="E301" s="138" t="str">
        <f>Commodities!$AA$16</f>
        <v>RSD_APA1_SH</v>
      </c>
      <c r="F301" s="164">
        <v>15</v>
      </c>
      <c r="G301" s="164"/>
      <c r="H301" s="164"/>
      <c r="I301" s="164"/>
      <c r="J301" s="164"/>
      <c r="S301" s="44"/>
      <c r="T301" s="44"/>
      <c r="U301" s="44"/>
      <c r="X301" s="51"/>
      <c r="Y301" s="51"/>
    </row>
    <row r="302" spans="2:25">
      <c r="B302" s="41" t="str">
        <f t="shared" si="39"/>
        <v>RSD_APA1_SH_ELC_E01</v>
      </c>
      <c r="C302" s="41" t="str">
        <f t="shared" si="40"/>
        <v>Apartment A1 SpHeat Electric Heater (E)</v>
      </c>
      <c r="D302" s="41"/>
      <c r="E302" s="138" t="str">
        <f>Commodities!$AA$16</f>
        <v>RSD_APA1_SH</v>
      </c>
      <c r="F302" s="179">
        <v>20</v>
      </c>
      <c r="G302" s="179"/>
      <c r="H302" s="179"/>
      <c r="I302" s="179"/>
      <c r="J302" s="179"/>
      <c r="S302" s="44"/>
      <c r="T302" s="44"/>
      <c r="U302" s="44"/>
      <c r="X302" s="51"/>
      <c r="Y302" s="51"/>
    </row>
    <row r="303" spans="2:25">
      <c r="B303" s="152" t="str">
        <f t="shared" si="39"/>
        <v>RSD_APA1_SH_LPG_E01</v>
      </c>
      <c r="C303" s="152" t="str">
        <f t="shared" si="40"/>
        <v>Apartment A1 Standing SpHeat LPG Boiler (E)</v>
      </c>
      <c r="D303" s="152"/>
      <c r="E303" s="153" t="str">
        <f>Commodities!$AA$16</f>
        <v>RSD_APA1_SH</v>
      </c>
      <c r="F303" s="224">
        <v>20</v>
      </c>
      <c r="G303" s="179"/>
      <c r="H303" s="179"/>
      <c r="I303" s="179"/>
      <c r="J303" s="179"/>
      <c r="S303" s="44"/>
      <c r="T303" s="44"/>
      <c r="U303" s="44"/>
      <c r="X303" s="51"/>
      <c r="Y303" s="51"/>
    </row>
    <row r="304" spans="2:25" hidden="1">
      <c r="B304" s="206" t="s">
        <v>147</v>
      </c>
      <c r="C304" s="41" t="str">
        <f t="shared" ref="C304:C335" si="41">S23</f>
        <v>Detached A2 SpHeat Coal Stove (E)</v>
      </c>
      <c r="D304" s="41"/>
      <c r="E304" s="138" t="str">
        <f>Commodities!$AA$17</f>
        <v>RSD_DTA2_SH</v>
      </c>
      <c r="F304" s="164">
        <v>10</v>
      </c>
      <c r="G304" s="164"/>
      <c r="H304" s="164"/>
      <c r="I304" s="164"/>
      <c r="J304" s="164"/>
      <c r="S304" s="44"/>
      <c r="T304" s="44"/>
      <c r="U304" s="44"/>
      <c r="X304" s="51"/>
      <c r="Y304" s="51"/>
    </row>
    <row r="305" spans="1:25" hidden="1">
      <c r="B305" s="41" t="s">
        <v>147</v>
      </c>
      <c r="C305" s="41" t="str">
        <f t="shared" si="41"/>
        <v>Detached A2 SpHeat BCO Stove (E)</v>
      </c>
      <c r="D305" s="41"/>
      <c r="E305" s="138" t="str">
        <f>Commodities!$AA$17</f>
        <v>RSD_DTA2_SH</v>
      </c>
      <c r="F305" s="164">
        <v>10</v>
      </c>
      <c r="G305" s="164"/>
      <c r="H305" s="164"/>
      <c r="I305" s="164"/>
      <c r="J305" s="164"/>
      <c r="S305" s="44"/>
      <c r="T305" s="44"/>
      <c r="U305" s="44"/>
      <c r="X305" s="51"/>
      <c r="Y305" s="51"/>
    </row>
    <row r="306" spans="1:25" hidden="1">
      <c r="B306" s="41" t="s">
        <v>147</v>
      </c>
      <c r="C306" s="41" t="str">
        <f t="shared" si="41"/>
        <v>Detached A2 SpHeat Gas Boiler (E)</v>
      </c>
      <c r="D306" s="41"/>
      <c r="E306" s="138" t="str">
        <f>Commodities!$AA$17</f>
        <v>RSD_DTA2_SH</v>
      </c>
      <c r="F306" s="164">
        <v>20</v>
      </c>
      <c r="G306" s="164"/>
      <c r="H306" s="164"/>
      <c r="I306" s="164"/>
      <c r="J306" s="164"/>
    </row>
    <row r="307" spans="1:25" hidden="1">
      <c r="B307" s="41" t="s">
        <v>147</v>
      </c>
      <c r="C307" s="41" t="str">
        <f t="shared" si="41"/>
        <v>Detached A2 SpHeat Dist. Heat (E)</v>
      </c>
      <c r="D307" s="41"/>
      <c r="E307" s="138" t="str">
        <f>Commodities!$AA$17</f>
        <v>RSD_DTA2_SH</v>
      </c>
      <c r="F307" s="179">
        <v>20</v>
      </c>
      <c r="G307" s="179"/>
      <c r="H307" s="179"/>
      <c r="I307" s="179"/>
      <c r="J307" s="179"/>
    </row>
    <row r="308" spans="1:25" hidden="1">
      <c r="B308" s="41" t="s">
        <v>147</v>
      </c>
      <c r="C308" s="41" t="str">
        <f t="shared" si="41"/>
        <v>Detached A2 SpHeat  Wood Stove-Boiler €</v>
      </c>
      <c r="D308" s="41"/>
      <c r="E308" s="138" t="str">
        <f>Commodities!$AA$17</f>
        <v>RSD_DTA2_SH</v>
      </c>
      <c r="F308" s="164">
        <v>10</v>
      </c>
      <c r="G308" s="164"/>
      <c r="H308" s="164"/>
      <c r="I308" s="164"/>
      <c r="J308" s="164"/>
    </row>
    <row r="309" spans="1:25" hidden="1">
      <c r="B309" s="41" t="s">
        <v>147</v>
      </c>
      <c r="C309" s="41" t="str">
        <f>S28</f>
        <v>Detached A2 SpHeat DieselOil Boiler €</v>
      </c>
      <c r="D309" s="41"/>
      <c r="E309" s="138" t="str">
        <f>Commodities!$AA$17</f>
        <v>RSD_DTA2_SH</v>
      </c>
      <c r="F309" s="164">
        <v>15</v>
      </c>
      <c r="G309" s="164"/>
      <c r="H309" s="164"/>
      <c r="I309" s="164"/>
      <c r="J309" s="164"/>
    </row>
    <row r="310" spans="1:25" hidden="1">
      <c r="B310" s="41" t="s">
        <v>147</v>
      </c>
      <c r="C310" s="41" t="str">
        <f t="shared" si="41"/>
        <v>Detached A2 SpHeat Electric Heater (E)</v>
      </c>
      <c r="D310" s="41"/>
      <c r="E310" s="138" t="str">
        <f>Commodities!$AA$17</f>
        <v>RSD_DTA2_SH</v>
      </c>
      <c r="F310" s="179">
        <v>20</v>
      </c>
      <c r="G310" s="179"/>
      <c r="H310" s="179"/>
      <c r="I310" s="179"/>
      <c r="J310" s="179"/>
    </row>
    <row r="311" spans="1:25" hidden="1">
      <c r="B311" s="41" t="s">
        <v>147</v>
      </c>
      <c r="C311" s="152" t="str">
        <f t="shared" si="41"/>
        <v>Detached A2 SpHeat LPG Boiler (E)</v>
      </c>
      <c r="D311" s="152"/>
      <c r="E311" s="153" t="str">
        <f>Commodities!$AA$17</f>
        <v>RSD_DTA2_SH</v>
      </c>
      <c r="F311" s="224">
        <v>20</v>
      </c>
      <c r="G311" s="179"/>
      <c r="H311" s="179"/>
      <c r="I311" s="179"/>
      <c r="J311" s="179"/>
    </row>
    <row r="312" spans="1:25" hidden="1">
      <c r="B312" s="41" t="s">
        <v>147</v>
      </c>
      <c r="C312" s="41" t="str">
        <f t="shared" si="41"/>
        <v>Apartment A2 SpHeat Coal Stove (E)</v>
      </c>
      <c r="D312" s="41"/>
      <c r="E312" s="138" t="str">
        <f>Commodities!$AA$18</f>
        <v>RSD_APA2_SH</v>
      </c>
      <c r="F312" s="164">
        <v>10</v>
      </c>
      <c r="G312" s="164"/>
      <c r="H312" s="164"/>
      <c r="I312" s="164"/>
      <c r="J312" s="164"/>
    </row>
    <row r="313" spans="1:25" hidden="1">
      <c r="B313" s="41" t="s">
        <v>147</v>
      </c>
      <c r="C313" s="41" t="str">
        <f t="shared" si="41"/>
        <v>Apartment A2 SpHeat BCO Stove (E)</v>
      </c>
      <c r="D313" s="41"/>
      <c r="E313" s="138" t="str">
        <f>Commodities!$AA$18</f>
        <v>RSD_APA2_SH</v>
      </c>
      <c r="F313" s="164">
        <v>10</v>
      </c>
      <c r="G313" s="164"/>
      <c r="H313" s="164"/>
      <c r="I313" s="164"/>
      <c r="J313" s="164"/>
    </row>
    <row r="314" spans="1:25" hidden="1">
      <c r="B314" s="41" t="s">
        <v>147</v>
      </c>
      <c r="C314" s="41" t="str">
        <f>S33</f>
        <v>Apartment A2 SpHeat Gas Boiler (E)</v>
      </c>
      <c r="D314" s="41"/>
      <c r="E314" s="138" t="str">
        <f>Commodities!$AA$18</f>
        <v>RSD_APA2_SH</v>
      </c>
      <c r="F314" s="164">
        <v>20</v>
      </c>
      <c r="G314" s="164"/>
      <c r="H314" s="164"/>
      <c r="I314" s="164"/>
      <c r="J314" s="164"/>
    </row>
    <row r="315" spans="1:25" hidden="1">
      <c r="B315" s="41" t="s">
        <v>147</v>
      </c>
      <c r="C315" s="41" t="str">
        <f t="shared" si="41"/>
        <v>Apartment A2 SpHeat Dist. Heat (E)</v>
      </c>
      <c r="D315" s="41"/>
      <c r="E315" s="138" t="str">
        <f>Commodities!$AA$18</f>
        <v>RSD_APA2_SH</v>
      </c>
      <c r="F315" s="179">
        <v>20</v>
      </c>
      <c r="G315" s="179"/>
      <c r="H315" s="179"/>
      <c r="I315" s="179"/>
      <c r="J315" s="179"/>
    </row>
    <row r="316" spans="1:25" hidden="1">
      <c r="B316" s="41" t="s">
        <v>147</v>
      </c>
      <c r="C316" s="41" t="str">
        <f t="shared" si="41"/>
        <v>Apartment A2 SpHeat  Wood Stove-Boiler €</v>
      </c>
      <c r="D316" s="41"/>
      <c r="E316" s="138" t="str">
        <f>Commodities!$AA$18</f>
        <v>RSD_APA2_SH</v>
      </c>
      <c r="F316" s="164">
        <v>10</v>
      </c>
      <c r="G316" s="164"/>
      <c r="H316" s="164"/>
      <c r="I316" s="164"/>
      <c r="J316" s="164"/>
    </row>
    <row r="317" spans="1:25" hidden="1">
      <c r="B317" s="41" t="s">
        <v>147</v>
      </c>
      <c r="C317" s="41" t="str">
        <f t="shared" si="41"/>
        <v>Apartment A2 SpHeat DieselOil Boiler €</v>
      </c>
      <c r="D317" s="41"/>
      <c r="E317" s="138" t="str">
        <f>Commodities!$AA$18</f>
        <v>RSD_APA2_SH</v>
      </c>
      <c r="F317" s="164">
        <v>15</v>
      </c>
      <c r="G317" s="164"/>
      <c r="H317" s="164"/>
      <c r="I317" s="164"/>
      <c r="J317" s="164"/>
    </row>
    <row r="318" spans="1:25" hidden="1">
      <c r="B318" s="41" t="s">
        <v>147</v>
      </c>
      <c r="C318" s="41" t="str">
        <f>S37</f>
        <v>Apartment A2 SpHeat Electric Heater (E)</v>
      </c>
      <c r="D318" s="41"/>
      <c r="E318" s="138" t="str">
        <f>Commodities!$AA$18</f>
        <v>RSD_APA2_SH</v>
      </c>
      <c r="F318" s="179">
        <v>20</v>
      </c>
      <c r="G318" s="179"/>
      <c r="H318" s="179"/>
      <c r="I318" s="179"/>
      <c r="J318" s="179"/>
    </row>
    <row r="319" spans="1:25" hidden="1">
      <c r="B319" s="41" t="s">
        <v>147</v>
      </c>
      <c r="C319" s="152" t="str">
        <f t="shared" si="41"/>
        <v>Apartment A2 SpHeat LPG Boiler (E)</v>
      </c>
      <c r="D319" s="152"/>
      <c r="E319" s="153" t="str">
        <f>Commodities!$AA$18</f>
        <v>RSD_APA2_SH</v>
      </c>
      <c r="F319" s="224">
        <v>20</v>
      </c>
      <c r="G319" s="179"/>
      <c r="H319" s="179"/>
      <c r="I319" s="179"/>
      <c r="J319" s="179"/>
    </row>
    <row r="320" spans="1:25" hidden="1">
      <c r="A320" s="41"/>
      <c r="B320" s="41" t="s">
        <v>147</v>
      </c>
      <c r="C320" s="41" t="str">
        <f t="shared" si="41"/>
        <v>Detached A3 SpHeat Coal Stove (E)</v>
      </c>
      <c r="D320" s="41"/>
      <c r="E320" s="138" t="str">
        <f>Commodities!$AA$19</f>
        <v>RSD_DTA3_SH</v>
      </c>
      <c r="F320" s="164">
        <v>10</v>
      </c>
      <c r="G320" s="179"/>
      <c r="H320" s="179"/>
      <c r="I320" s="164"/>
      <c r="J320" s="164"/>
    </row>
    <row r="321" spans="1:10" hidden="1">
      <c r="A321" s="41"/>
      <c r="B321" s="41" t="s">
        <v>147</v>
      </c>
      <c r="C321" s="41" t="str">
        <f t="shared" si="41"/>
        <v>Detached A3 SpHeat BCO Stove (E)</v>
      </c>
      <c r="D321" s="41"/>
      <c r="E321" s="138" t="str">
        <f>Commodities!$AA$19</f>
        <v>RSD_DTA3_SH</v>
      </c>
      <c r="F321" s="164">
        <v>10</v>
      </c>
      <c r="G321" s="179"/>
      <c r="H321" s="179"/>
      <c r="I321" s="164"/>
      <c r="J321" s="164"/>
    </row>
    <row r="322" spans="1:10" hidden="1">
      <c r="A322" s="41"/>
      <c r="B322" s="41" t="s">
        <v>147</v>
      </c>
      <c r="C322" s="41" t="str">
        <f t="shared" si="41"/>
        <v>Detached A3 SpHeat Gas Boiler (E)</v>
      </c>
      <c r="D322" s="41"/>
      <c r="E322" s="138" t="str">
        <f>Commodities!$AA$19</f>
        <v>RSD_DTA3_SH</v>
      </c>
      <c r="F322" s="164">
        <v>20</v>
      </c>
      <c r="G322" s="179"/>
      <c r="H322" s="179"/>
      <c r="I322" s="164"/>
      <c r="J322" s="164"/>
    </row>
    <row r="323" spans="1:10" hidden="1">
      <c r="A323" s="41"/>
      <c r="B323" s="41" t="s">
        <v>147</v>
      </c>
      <c r="C323" s="41" t="str">
        <f>S42</f>
        <v>Detached A3 SpHeat Dist. Heat (E)</v>
      </c>
      <c r="D323" s="41"/>
      <c r="E323" s="138" t="str">
        <f>Commodities!$AA$19</f>
        <v>RSD_DTA3_SH</v>
      </c>
      <c r="F323" s="179">
        <v>20</v>
      </c>
      <c r="G323" s="41"/>
      <c r="H323" s="41"/>
      <c r="I323" s="179"/>
      <c r="J323" s="179"/>
    </row>
    <row r="324" spans="1:10" hidden="1">
      <c r="B324" s="41" t="s">
        <v>147</v>
      </c>
      <c r="C324" s="41" t="str">
        <f t="shared" si="41"/>
        <v>Detached A3 SpHeat  Wood Stove-Boiler €</v>
      </c>
      <c r="D324" s="41"/>
      <c r="E324" s="138" t="str">
        <f>Commodities!$AA$19</f>
        <v>RSD_DTA3_SH</v>
      </c>
      <c r="F324" s="164">
        <v>10</v>
      </c>
      <c r="I324" s="164"/>
      <c r="J324" s="164"/>
    </row>
    <row r="325" spans="1:10" hidden="1">
      <c r="B325" s="41" t="s">
        <v>147</v>
      </c>
      <c r="C325" s="41" t="str">
        <f t="shared" si="41"/>
        <v>Detached A3 SpHeat DieselOil Boiler €</v>
      </c>
      <c r="D325" s="41"/>
      <c r="E325" s="138" t="str">
        <f>Commodities!$AA$19</f>
        <v>RSD_DTA3_SH</v>
      </c>
      <c r="F325" s="164">
        <v>15</v>
      </c>
      <c r="I325" s="164"/>
      <c r="J325" s="164"/>
    </row>
    <row r="326" spans="1:10" hidden="1">
      <c r="B326" s="41" t="s">
        <v>147</v>
      </c>
      <c r="C326" s="41" t="str">
        <f>S45</f>
        <v>Detached A3 SpHeat Electric Heater (E)</v>
      </c>
      <c r="D326" s="41"/>
      <c r="E326" s="138" t="str">
        <f>Commodities!$AA$19</f>
        <v>RSD_DTA3_SH</v>
      </c>
      <c r="F326" s="179">
        <v>20</v>
      </c>
      <c r="I326" s="179"/>
      <c r="J326" s="179"/>
    </row>
    <row r="327" spans="1:10" hidden="1">
      <c r="B327" s="41" t="s">
        <v>147</v>
      </c>
      <c r="C327" s="152" t="str">
        <f t="shared" si="41"/>
        <v>Detached A3 SpHeat LPG Boiler (E)</v>
      </c>
      <c r="D327" s="152"/>
      <c r="E327" s="153" t="str">
        <f>Commodities!$AA$19</f>
        <v>RSD_DTA3_SH</v>
      </c>
      <c r="F327" s="224">
        <v>20</v>
      </c>
      <c r="I327" s="179"/>
      <c r="J327" s="179"/>
    </row>
    <row r="328" spans="1:10" hidden="1">
      <c r="B328" s="41" t="s">
        <v>147</v>
      </c>
      <c r="C328" s="41" t="str">
        <f t="shared" si="41"/>
        <v>Apartment A3 SpHeat Coal Stove (E)</v>
      </c>
      <c r="D328" s="41"/>
      <c r="E328" s="138" t="str">
        <f>Commodities!$AA$20</f>
        <v>RSD_APA3_SH</v>
      </c>
      <c r="F328" s="164">
        <v>10</v>
      </c>
      <c r="I328" s="164"/>
      <c r="J328" s="164"/>
    </row>
    <row r="329" spans="1:10" hidden="1">
      <c r="B329" s="41" t="s">
        <v>147</v>
      </c>
      <c r="C329" s="41" t="str">
        <f t="shared" si="41"/>
        <v>Apartment A3 SpHeat BCO Stove (E)</v>
      </c>
      <c r="D329" s="41"/>
      <c r="E329" s="138" t="str">
        <f>Commodities!$AA$20</f>
        <v>RSD_APA3_SH</v>
      </c>
      <c r="F329" s="164">
        <v>10</v>
      </c>
      <c r="I329" s="164"/>
      <c r="J329" s="164"/>
    </row>
    <row r="330" spans="1:10" hidden="1">
      <c r="B330" s="41" t="s">
        <v>147</v>
      </c>
      <c r="C330" s="41" t="str">
        <f t="shared" si="41"/>
        <v>Apartment A3 SpHeat Gas Boiler (E)</v>
      </c>
      <c r="D330" s="41"/>
      <c r="E330" s="138" t="str">
        <f>Commodities!$AA$20</f>
        <v>RSD_APA3_SH</v>
      </c>
      <c r="F330" s="164">
        <v>20</v>
      </c>
      <c r="I330" s="164"/>
      <c r="J330" s="164"/>
    </row>
    <row r="331" spans="1:10" hidden="1">
      <c r="B331" s="41" t="s">
        <v>147</v>
      </c>
      <c r="C331" s="41" t="str">
        <f t="shared" si="41"/>
        <v>Apartment A3 SpHeat Dist. Heat (E)</v>
      </c>
      <c r="D331" s="41"/>
      <c r="E331" s="138" t="str">
        <f>Commodities!$AA$20</f>
        <v>RSD_APA3_SH</v>
      </c>
      <c r="F331" s="179">
        <v>20</v>
      </c>
      <c r="I331" s="179"/>
      <c r="J331" s="179"/>
    </row>
    <row r="332" spans="1:10" hidden="1">
      <c r="B332" s="41" t="s">
        <v>147</v>
      </c>
      <c r="C332" s="41" t="str">
        <f t="shared" si="41"/>
        <v>Apartment A3 SpHeat  Wood Stove-Boiler €</v>
      </c>
      <c r="D332" s="41"/>
      <c r="E332" s="138" t="str">
        <f>Commodities!$AA$20</f>
        <v>RSD_APA3_SH</v>
      </c>
      <c r="F332" s="164">
        <v>10</v>
      </c>
      <c r="I332" s="164"/>
      <c r="J332" s="164"/>
    </row>
    <row r="333" spans="1:10" hidden="1">
      <c r="B333" s="41" t="s">
        <v>147</v>
      </c>
      <c r="C333" s="41" t="str">
        <f t="shared" si="41"/>
        <v>Apartment A3 SpHeat DieselOil Boiler €</v>
      </c>
      <c r="D333" s="41"/>
      <c r="E333" s="138" t="str">
        <f>Commodities!$AA$20</f>
        <v>RSD_APA3_SH</v>
      </c>
      <c r="F333" s="164">
        <v>15</v>
      </c>
      <c r="I333" s="164"/>
      <c r="J333" s="164"/>
    </row>
    <row r="334" spans="1:10" hidden="1">
      <c r="B334" s="41" t="s">
        <v>147</v>
      </c>
      <c r="C334" s="41" t="str">
        <f t="shared" si="41"/>
        <v>Apartment A3 SpHeat Electric Heater (E)</v>
      </c>
      <c r="D334" s="41"/>
      <c r="E334" s="138" t="str">
        <f>Commodities!$AA$20</f>
        <v>RSD_APA3_SH</v>
      </c>
      <c r="F334" s="179">
        <v>20</v>
      </c>
      <c r="I334" s="179"/>
      <c r="J334" s="179"/>
    </row>
    <row r="335" spans="1:10" hidden="1">
      <c r="B335" s="41" t="s">
        <v>147</v>
      </c>
      <c r="C335" s="152" t="str">
        <f t="shared" si="41"/>
        <v>Apartment A3 SpHeat LPG Boiler (E)</v>
      </c>
      <c r="D335" s="152"/>
      <c r="E335" s="153" t="str">
        <f>Commodities!$AA$20</f>
        <v>RSD_APA3_SH</v>
      </c>
      <c r="F335" s="224">
        <v>20</v>
      </c>
      <c r="I335" s="179"/>
      <c r="J335" s="179"/>
    </row>
    <row r="336" spans="1:10" hidden="1">
      <c r="A336" s="41"/>
      <c r="B336" s="41" t="s">
        <v>147</v>
      </c>
      <c r="C336" s="41" t="str">
        <f t="shared" ref="C336:C338" si="42">S55</f>
        <v>Detached A4 SpHeat Coal Stove (E)</v>
      </c>
      <c r="D336" s="41"/>
      <c r="E336" s="138" t="str">
        <f>Commodities!$AA$21</f>
        <v>RSD_DTA4_SH</v>
      </c>
      <c r="F336" s="164">
        <v>10</v>
      </c>
      <c r="G336" s="179"/>
      <c r="H336" s="179"/>
      <c r="I336" s="164"/>
      <c r="J336" s="164"/>
    </row>
    <row r="337" spans="1:10" hidden="1">
      <c r="A337" s="41"/>
      <c r="B337" s="41" t="s">
        <v>147</v>
      </c>
      <c r="C337" s="41" t="str">
        <f t="shared" si="42"/>
        <v>Detached A4 SpHeat BCO Stove (E)</v>
      </c>
      <c r="D337" s="41"/>
      <c r="E337" s="138" t="str">
        <f>Commodities!$AA$21</f>
        <v>RSD_DTA4_SH</v>
      </c>
      <c r="F337" s="164">
        <v>10</v>
      </c>
      <c r="G337" s="179"/>
      <c r="H337" s="179"/>
      <c r="I337" s="164"/>
      <c r="J337" s="164"/>
    </row>
    <row r="338" spans="1:10" hidden="1">
      <c r="A338" s="41"/>
      <c r="B338" s="41" t="s">
        <v>147</v>
      </c>
      <c r="C338" s="41" t="str">
        <f t="shared" si="42"/>
        <v>Detached A4 SpHeat Gas Boiler (E)</v>
      </c>
      <c r="D338" s="41"/>
      <c r="E338" s="138" t="str">
        <f>Commodities!$AA$21</f>
        <v>RSD_DTA4_SH</v>
      </c>
      <c r="F338" s="164">
        <v>20</v>
      </c>
      <c r="G338" s="179"/>
      <c r="H338" s="179"/>
      <c r="I338" s="164"/>
      <c r="J338" s="164"/>
    </row>
    <row r="339" spans="1:10" hidden="1">
      <c r="A339" s="41"/>
      <c r="B339" s="41" t="s">
        <v>147</v>
      </c>
      <c r="C339" s="41" t="str">
        <f>S58</f>
        <v>Detached A4 SpHeat Dist. Heat (E)</v>
      </c>
      <c r="D339" s="41"/>
      <c r="E339" s="138" t="str">
        <f>Commodities!$AA$21</f>
        <v>RSD_DTA4_SH</v>
      </c>
      <c r="F339" s="179">
        <v>20</v>
      </c>
      <c r="G339" s="41"/>
      <c r="H339" s="41"/>
      <c r="I339" s="179"/>
      <c r="J339" s="179"/>
    </row>
    <row r="340" spans="1:10" hidden="1">
      <c r="B340" s="41" t="s">
        <v>147</v>
      </c>
      <c r="C340" s="41" t="str">
        <f t="shared" ref="C340:C341" si="43">S59</f>
        <v>Detached A4 SpHeat  Wood Stove-Boiler €</v>
      </c>
      <c r="D340" s="41"/>
      <c r="E340" s="138" t="str">
        <f>Commodities!$AA$21</f>
        <v>RSD_DTA4_SH</v>
      </c>
      <c r="F340" s="164">
        <v>10</v>
      </c>
      <c r="I340" s="164"/>
      <c r="J340" s="164"/>
    </row>
    <row r="341" spans="1:10" hidden="1">
      <c r="B341" s="41" t="s">
        <v>147</v>
      </c>
      <c r="C341" s="41" t="str">
        <f t="shared" si="43"/>
        <v>Detached A4 SpHeat DieselOil Boiler €</v>
      </c>
      <c r="D341" s="41"/>
      <c r="E341" s="138" t="str">
        <f>Commodities!$AA$21</f>
        <v>RSD_DTA4_SH</v>
      </c>
      <c r="F341" s="164">
        <v>15</v>
      </c>
      <c r="I341" s="164"/>
      <c r="J341" s="164"/>
    </row>
    <row r="342" spans="1:10" hidden="1">
      <c r="B342" s="41" t="s">
        <v>147</v>
      </c>
      <c r="C342" s="41" t="str">
        <f>S61</f>
        <v>Detached A4 SpHeat Electric Heater (E)</v>
      </c>
      <c r="D342" s="41"/>
      <c r="E342" s="138" t="str">
        <f>Commodities!$AA$21</f>
        <v>RSD_DTA4_SH</v>
      </c>
      <c r="F342" s="179">
        <v>20</v>
      </c>
      <c r="I342" s="179"/>
      <c r="J342" s="179"/>
    </row>
    <row r="343" spans="1:10" hidden="1">
      <c r="B343" s="41" t="s">
        <v>147</v>
      </c>
      <c r="C343" s="152" t="str">
        <f t="shared" ref="C343:C351" si="44">S62</f>
        <v>Detached A4 SpHeat LPG Boiler (E)</v>
      </c>
      <c r="D343" s="152"/>
      <c r="E343" s="153" t="str">
        <f>Commodities!$AA$21</f>
        <v>RSD_DTA4_SH</v>
      </c>
      <c r="F343" s="224">
        <v>20</v>
      </c>
      <c r="I343" s="179"/>
      <c r="J343" s="179"/>
    </row>
    <row r="344" spans="1:10" hidden="1">
      <c r="B344" s="41" t="s">
        <v>147</v>
      </c>
      <c r="C344" s="41" t="str">
        <f t="shared" si="44"/>
        <v>Apartment A4 SpHeat Coal Stove (E)</v>
      </c>
      <c r="D344" s="41"/>
      <c r="E344" s="138" t="str">
        <f>Commodities!$AA$22</f>
        <v>RSD_APA4_SH</v>
      </c>
      <c r="F344" s="164">
        <v>10</v>
      </c>
      <c r="I344" s="164"/>
      <c r="J344" s="164"/>
    </row>
    <row r="345" spans="1:10" hidden="1">
      <c r="B345" s="41" t="s">
        <v>147</v>
      </c>
      <c r="C345" s="41" t="str">
        <f t="shared" si="44"/>
        <v>Apartment A4 SpHeat BCO Stove (E)</v>
      </c>
      <c r="D345" s="41"/>
      <c r="E345" s="138" t="str">
        <f>Commodities!$AA$22</f>
        <v>RSD_APA4_SH</v>
      </c>
      <c r="F345" s="164">
        <v>10</v>
      </c>
      <c r="I345" s="164"/>
      <c r="J345" s="164"/>
    </row>
    <row r="346" spans="1:10" hidden="1">
      <c r="B346" s="41" t="s">
        <v>147</v>
      </c>
      <c r="C346" s="41" t="str">
        <f t="shared" si="44"/>
        <v>Apartment A4 SpHeat Gas Boiler (E)</v>
      </c>
      <c r="D346" s="41"/>
      <c r="E346" s="138" t="str">
        <f>Commodities!$AA$22</f>
        <v>RSD_APA4_SH</v>
      </c>
      <c r="F346" s="164">
        <v>20</v>
      </c>
      <c r="I346" s="164"/>
      <c r="J346" s="164"/>
    </row>
    <row r="347" spans="1:10" hidden="1">
      <c r="B347" s="41" t="s">
        <v>147</v>
      </c>
      <c r="C347" s="41" t="str">
        <f t="shared" si="44"/>
        <v>Apartment A4 SpHeat Dist. Heat (E)</v>
      </c>
      <c r="D347" s="41"/>
      <c r="E347" s="138" t="str">
        <f>Commodities!$AA$22</f>
        <v>RSD_APA4_SH</v>
      </c>
      <c r="F347" s="179">
        <v>20</v>
      </c>
      <c r="I347" s="179"/>
      <c r="J347" s="179"/>
    </row>
    <row r="348" spans="1:10" hidden="1">
      <c r="B348" s="41" t="s">
        <v>147</v>
      </c>
      <c r="C348" s="41" t="str">
        <f t="shared" si="44"/>
        <v>Apartment A4 SpHeat  Wood Stove-Boiler €</v>
      </c>
      <c r="D348" s="41"/>
      <c r="E348" s="138" t="str">
        <f>Commodities!$AA$22</f>
        <v>RSD_APA4_SH</v>
      </c>
      <c r="F348" s="164">
        <v>10</v>
      </c>
      <c r="I348" s="164"/>
      <c r="J348" s="164"/>
    </row>
    <row r="349" spans="1:10" hidden="1">
      <c r="B349" s="41" t="s">
        <v>147</v>
      </c>
      <c r="C349" s="41" t="str">
        <f t="shared" si="44"/>
        <v>Apartment A4 SpHeat DieselOil Boiler €</v>
      </c>
      <c r="D349" s="41"/>
      <c r="E349" s="138" t="str">
        <f>Commodities!$AA$22</f>
        <v>RSD_APA4_SH</v>
      </c>
      <c r="F349" s="164">
        <v>15</v>
      </c>
      <c r="I349" s="164"/>
      <c r="J349" s="164"/>
    </row>
    <row r="350" spans="1:10" hidden="1">
      <c r="B350" s="41" t="s">
        <v>147</v>
      </c>
      <c r="C350" s="41" t="str">
        <f t="shared" si="44"/>
        <v>Apartment A4 SpHeat Electric Heater (E)</v>
      </c>
      <c r="D350" s="41"/>
      <c r="E350" s="138" t="str">
        <f>Commodities!$AA$22</f>
        <v>RSD_APA4_SH</v>
      </c>
      <c r="F350" s="179">
        <v>20</v>
      </c>
      <c r="I350" s="179"/>
      <c r="J350" s="179"/>
    </row>
    <row r="351" spans="1:10" hidden="1">
      <c r="B351" s="41" t="s">
        <v>147</v>
      </c>
      <c r="C351" s="152" t="str">
        <f t="shared" si="44"/>
        <v>Apartment A4 SpHeat LPG Boiler (E)</v>
      </c>
      <c r="D351" s="152"/>
      <c r="E351" s="153" t="str">
        <f>Commodities!$AA$22</f>
        <v>RSD_APA4_SH</v>
      </c>
      <c r="F351" s="224">
        <v>20</v>
      </c>
      <c r="I351" s="179"/>
      <c r="J351" s="179"/>
    </row>
  </sheetData>
  <conditionalFormatting sqref="J218:J265 G186:H194 G211:H249">
    <cfRule type="cellIs" dxfId="20" priority="37" stopIfTrue="1" operator="greaterThan">
      <formula>1</formula>
    </cfRule>
    <cfRule type="cellIs" dxfId="19" priority="38" stopIfTrue="1" operator="greaterThan">
      <formula>1</formula>
    </cfRule>
  </conditionalFormatting>
  <conditionalFormatting sqref="N7:N54">
    <cfRule type="cellIs" dxfId="18" priority="35" stopIfTrue="1" operator="notEqual">
      <formula>0</formula>
    </cfRule>
    <cfRule type="cellIs" priority="36" stopIfTrue="1" operator="notEqual">
      <formula>0</formula>
    </cfRule>
  </conditionalFormatting>
  <conditionalFormatting sqref="J218:J265">
    <cfRule type="cellIs" dxfId="17" priority="33" stopIfTrue="1" operator="greaterThan">
      <formula>1</formula>
    </cfRule>
  </conditionalFormatting>
  <conditionalFormatting sqref="G202:H210">
    <cfRule type="cellIs" dxfId="16" priority="31" stopIfTrue="1" operator="greaterThan">
      <formula>1</formula>
    </cfRule>
    <cfRule type="cellIs" dxfId="15" priority="32" stopIfTrue="1" operator="greaterThan">
      <formula>1</formula>
    </cfRule>
  </conditionalFormatting>
  <conditionalFormatting sqref="J266:J281">
    <cfRule type="cellIs" dxfId="14" priority="29" stopIfTrue="1" operator="greaterThan">
      <formula>1</formula>
    </cfRule>
    <cfRule type="cellIs" dxfId="13" priority="30" stopIfTrue="1" operator="greaterThan">
      <formula>1</formula>
    </cfRule>
  </conditionalFormatting>
  <conditionalFormatting sqref="J266:J281">
    <cfRule type="cellIs" dxfId="12" priority="27" stopIfTrue="1" operator="greaterThan">
      <formula>1</formula>
    </cfRule>
  </conditionalFormatting>
  <conditionalFormatting sqref="N55:N70">
    <cfRule type="cellIs" dxfId="11" priority="25" stopIfTrue="1" operator="notEqual">
      <formula>0</formula>
    </cfRule>
    <cfRule type="cellIs" priority="26" stopIfTrue="1" operator="notEqual">
      <formula>0</formula>
    </cfRule>
  </conditionalFormatting>
  <conditionalFormatting sqref="J218:J281">
    <cfRule type="cellIs" dxfId="10" priority="21" operator="greaterThan">
      <formula>1</formula>
    </cfRule>
    <cfRule type="cellIs" dxfId="9" priority="23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Y268"/>
  <sheetViews>
    <sheetView zoomScale="70" zoomScaleNormal="70" workbookViewId="0">
      <selection sqref="A1:XFD1048576"/>
    </sheetView>
  </sheetViews>
  <sheetFormatPr defaultRowHeight="13.2"/>
  <cols>
    <col min="1" max="1" width="4.33203125" style="41" customWidth="1"/>
    <col min="2" max="2" width="35.6640625" style="51" customWidth="1"/>
    <col min="3" max="3" width="46.109375" style="51" customWidth="1"/>
    <col min="4" max="4" width="18.109375" style="51" customWidth="1"/>
    <col min="5" max="5" width="25.5546875" style="51" customWidth="1"/>
    <col min="6" max="6" width="10" style="51" bestFit="1" customWidth="1"/>
    <col min="7" max="7" width="5.6640625" style="51" customWidth="1"/>
    <col min="8" max="8" width="28.5546875" style="51" bestFit="1" customWidth="1"/>
    <col min="9" max="14" width="11.109375" style="51" customWidth="1"/>
    <col min="15" max="15" width="26.33203125" style="51" customWidth="1"/>
    <col min="16" max="16" width="32.88671875" style="51" customWidth="1"/>
    <col min="17" max="17" width="46.88671875" style="51" customWidth="1"/>
    <col min="18" max="18" width="12.109375" style="51" bestFit="1" customWidth="1"/>
    <col min="19" max="19" width="25.5546875" style="51" bestFit="1" customWidth="1"/>
    <col min="20" max="21" width="15" style="44" customWidth="1"/>
    <col min="22" max="22" width="14.6640625" style="44" bestFit="1" customWidth="1"/>
    <col min="23" max="23" width="16.88671875" style="44" customWidth="1"/>
    <col min="24" max="24" width="27.6640625" style="44" bestFit="1" customWidth="1"/>
    <col min="25" max="25" width="17.88671875" style="44" bestFit="1" customWidth="1"/>
    <col min="26" max="26" width="8.88671875" style="51"/>
    <col min="27" max="27" width="32.33203125" style="51" customWidth="1"/>
    <col min="28" max="16384" width="8.88671875" style="51"/>
  </cols>
  <sheetData>
    <row r="1" spans="1:25" ht="17.399999999999999">
      <c r="A1" s="216" t="s">
        <v>366</v>
      </c>
      <c r="B1" s="36"/>
      <c r="C1" s="36"/>
      <c r="D1" s="36"/>
      <c r="E1" s="36"/>
      <c r="F1" s="36"/>
      <c r="M1" s="173" t="s">
        <v>994</v>
      </c>
      <c r="P1" s="5"/>
      <c r="Q1" s="5"/>
      <c r="R1" s="85"/>
      <c r="S1" s="85"/>
      <c r="T1" s="85"/>
      <c r="U1" s="85"/>
      <c r="V1" s="85"/>
      <c r="W1" s="5"/>
      <c r="X1" s="5"/>
      <c r="Y1" s="51"/>
    </row>
    <row r="2" spans="1:25" ht="12.75" customHeight="1">
      <c r="A2" s="6"/>
      <c r="F2" s="32">
        <v>3</v>
      </c>
      <c r="O2" s="5" t="s">
        <v>145</v>
      </c>
      <c r="P2" s="5"/>
      <c r="Q2" s="5"/>
      <c r="R2" s="85"/>
      <c r="S2" s="85"/>
      <c r="T2" s="85"/>
      <c r="U2" s="85"/>
      <c r="V2" s="85"/>
      <c r="W2" s="5"/>
      <c r="X2" s="5"/>
      <c r="Y2" s="51"/>
    </row>
    <row r="3" spans="1:25" ht="13.8">
      <c r="E3" s="86" t="s">
        <v>350</v>
      </c>
      <c r="H3" s="119" t="s">
        <v>360</v>
      </c>
      <c r="I3" s="119"/>
      <c r="J3" s="119"/>
      <c r="K3" s="119"/>
      <c r="L3" s="119"/>
      <c r="O3" s="87" t="s">
        <v>39</v>
      </c>
      <c r="P3" s="87" t="s">
        <v>317</v>
      </c>
      <c r="Q3" s="87"/>
      <c r="R3" s="120"/>
      <c r="S3" s="120"/>
      <c r="T3" s="120"/>
      <c r="U3" s="120"/>
      <c r="V3" s="120"/>
      <c r="W3" s="5"/>
      <c r="X3" s="5"/>
      <c r="Y3" s="51"/>
    </row>
    <row r="4" spans="1:25" ht="27.75" customHeight="1">
      <c r="B4" s="88" t="s">
        <v>1</v>
      </c>
      <c r="C4" s="88" t="s">
        <v>42</v>
      </c>
      <c r="D4" s="88" t="s">
        <v>7</v>
      </c>
      <c r="E4" s="89" t="s">
        <v>8</v>
      </c>
      <c r="F4" s="121" t="s">
        <v>999</v>
      </c>
      <c r="H4" s="169" t="s">
        <v>357</v>
      </c>
      <c r="I4" s="211" t="s">
        <v>359</v>
      </c>
      <c r="J4" s="31" t="s">
        <v>361</v>
      </c>
      <c r="K4" s="31" t="s">
        <v>362</v>
      </c>
      <c r="L4" s="122" t="s">
        <v>358</v>
      </c>
      <c r="O4" s="106" t="s">
        <v>19</v>
      </c>
      <c r="P4" s="87"/>
      <c r="Q4" s="87"/>
      <c r="R4" s="120"/>
      <c r="S4" s="120"/>
      <c r="T4" s="120"/>
      <c r="U4" s="120"/>
      <c r="V4" s="120"/>
      <c r="W4" s="5"/>
      <c r="X4" s="5"/>
      <c r="Y4" s="51"/>
    </row>
    <row r="5" spans="1:25" ht="14.4" thickBot="1">
      <c r="B5" s="133" t="s">
        <v>356</v>
      </c>
      <c r="C5" s="133" t="s">
        <v>26</v>
      </c>
      <c r="D5" s="212" t="s">
        <v>36</v>
      </c>
      <c r="E5" s="213" t="s">
        <v>37</v>
      </c>
      <c r="F5" s="92"/>
      <c r="H5" s="89"/>
      <c r="I5" s="121" t="s">
        <v>999</v>
      </c>
      <c r="J5" s="121" t="s">
        <v>999</v>
      </c>
      <c r="K5" s="121" t="s">
        <v>999</v>
      </c>
      <c r="L5" s="125"/>
      <c r="O5" s="91" t="s">
        <v>13</v>
      </c>
      <c r="P5" s="91" t="s">
        <v>1</v>
      </c>
      <c r="Q5" s="91" t="s">
        <v>2</v>
      </c>
      <c r="R5" s="126" t="s">
        <v>20</v>
      </c>
      <c r="S5" s="126" t="s">
        <v>21</v>
      </c>
      <c r="T5" s="126" t="s">
        <v>22</v>
      </c>
      <c r="U5" s="126" t="s">
        <v>23</v>
      </c>
      <c r="V5" s="126" t="s">
        <v>24</v>
      </c>
      <c r="W5" s="5"/>
      <c r="X5" s="5"/>
      <c r="Y5" s="51"/>
    </row>
    <row r="6" spans="1:25" s="134" customFormat="1" ht="19.5" customHeight="1" thickBot="1">
      <c r="A6" s="217"/>
      <c r="B6" s="127" t="s">
        <v>269</v>
      </c>
      <c r="C6" s="127"/>
      <c r="D6" s="127"/>
      <c r="E6" s="128"/>
      <c r="F6" s="170" t="str">
        <f>General!$B$5</f>
        <v>GW</v>
      </c>
      <c r="H6" s="171" t="s">
        <v>378</v>
      </c>
      <c r="I6" s="171" t="str">
        <f>General!$B$2</f>
        <v>PJ</v>
      </c>
      <c r="J6" s="171" t="str">
        <f>General!$B$2</f>
        <v>PJ</v>
      </c>
      <c r="K6" s="171" t="str">
        <f>General!$B$2</f>
        <v>PJ</v>
      </c>
      <c r="L6" s="171"/>
      <c r="O6" s="214" t="s">
        <v>44</v>
      </c>
      <c r="P6" s="214" t="s">
        <v>25</v>
      </c>
      <c r="Q6" s="214" t="s">
        <v>26</v>
      </c>
      <c r="R6" s="215" t="s">
        <v>27</v>
      </c>
      <c r="S6" s="215" t="s">
        <v>28</v>
      </c>
      <c r="T6" s="215" t="s">
        <v>48</v>
      </c>
      <c r="U6" s="215" t="s">
        <v>47</v>
      </c>
      <c r="V6" s="215" t="s">
        <v>29</v>
      </c>
      <c r="W6" s="172"/>
      <c r="X6" s="5"/>
    </row>
    <row r="7" spans="1:25" ht="15" customHeight="1">
      <c r="B7" s="41" t="str">
        <f>P7</f>
        <v>RSD_DTA1_WH_BIC_E01</v>
      </c>
      <c r="C7" s="41" t="str">
        <f>Q7</f>
        <v>Detached A1 WatHeat Coal  (E)|</v>
      </c>
      <c r="D7" s="41" t="str">
        <f>Commodities!$D$31</f>
        <v>RSDCOABIC</v>
      </c>
      <c r="E7" s="138" t="str">
        <f>Commodities!$AA$23</f>
        <v>RSD_DTA1_WH</v>
      </c>
      <c r="F7" s="179">
        <f>($H7*VLOOKUP(LEFT($B7,8),RSD_Stock!$H$21:$L$28,F$2,FALSE)*VLOOKUP($B7,RSD_Demands!C161:E208,F$2,FALSE)/1000)*(Stk_Mult)</f>
        <v>0</v>
      </c>
      <c r="H7" s="218">
        <f>RSD_Tech_SpHeat!J7*1.25</f>
        <v>12.5</v>
      </c>
      <c r="I7" s="219">
        <f>F7*F114*F167</f>
        <v>0</v>
      </c>
      <c r="J7" s="219">
        <f>F7*F114*F167/F60</f>
        <v>0</v>
      </c>
      <c r="K7" s="219">
        <f>VLOOKUP(LEFT($B7,11),RSD_En_Balance!$C$109:$R$190,MATCH($D7,RSD_En_Balance!$D$109:$R$109,0)+1,FALSE)</f>
        <v>0</v>
      </c>
      <c r="L7" s="219">
        <f>SUM(J7:J7)-SUM(K7:K7)</f>
        <v>0</v>
      </c>
      <c r="M7" s="220">
        <f>SUM(I7:I12)/RSD_Stock!$E$21*1000</f>
        <v>34.947691056309807</v>
      </c>
      <c r="O7" s="8" t="s">
        <v>270</v>
      </c>
      <c r="P7" s="8" t="str">
        <f>Commodities!$AA$23&amp;"_"&amp;RIGHT(Commodities!$D$31,3)&amp;"_"&amp;$P$3&amp;"01"</f>
        <v>RSD_DTA1_WH_BIC_E01</v>
      </c>
      <c r="Q7" s="8" t="str">
        <f>"Detached A1 WatHeat Coal  (E)|"&amp;X7</f>
        <v>Detached A1 WatHeat Coal  (E)|</v>
      </c>
      <c r="R7" s="11" t="str">
        <f>General!$B$2</f>
        <v>PJ</v>
      </c>
      <c r="S7" s="11" t="str">
        <f>General!$B$5</f>
        <v>GW</v>
      </c>
      <c r="T7" s="11" t="s">
        <v>125</v>
      </c>
      <c r="U7" s="11"/>
      <c r="V7" s="11"/>
      <c r="W7" s="8"/>
      <c r="X7" s="5"/>
      <c r="Y7" s="51"/>
    </row>
    <row r="8" spans="1:25" ht="15" customHeight="1">
      <c r="B8" s="41" t="str">
        <f t="shared" ref="B8:B13" si="0">P8</f>
        <v>RSD_DTA1_WH_GAS_E01</v>
      </c>
      <c r="C8" s="41" t="str">
        <f t="shared" ref="C8:C13" si="1">Q8</f>
        <v>Detached A1 WatHeat Gas  (E)|</v>
      </c>
      <c r="D8" s="41" t="str">
        <f>Commodities!$D$37</f>
        <v>RSDGASNAT</v>
      </c>
      <c r="E8" s="138" t="str">
        <f>Commodities!$AA$23</f>
        <v>RSD_DTA1_WH</v>
      </c>
      <c r="F8" s="179">
        <f>($H8*VLOOKUP(LEFT($B8,8),RSD_Stock!$H$21:$L$28,F$2,FALSE)*VLOOKUP($B8,RSD_Demands!C162:E209,F$2,FALSE)/1000)*(Stk_Mult)</f>
        <v>0.73484542379698259</v>
      </c>
      <c r="H8" s="218">
        <f>RSD_Tech_SpHeat!J9*1.25</f>
        <v>12.5</v>
      </c>
      <c r="I8" s="219">
        <f t="shared" ref="I8:I54" si="2">F8*F115*F168</f>
        <v>2.0544920676</v>
      </c>
      <c r="J8" s="219">
        <f t="shared" ref="J8:J54" si="3">F8*F115*F168/F61</f>
        <v>2.9349886680000004</v>
      </c>
      <c r="K8" s="219">
        <f>VLOOKUP(LEFT($B8,11),RSD_En_Balance!$C$109:$R$190,MATCH($D8,RSD_En_Balance!$D$109:$R$109,0)+1,FALSE)</f>
        <v>2.9349886680000004</v>
      </c>
      <c r="L8" s="219">
        <f t="shared" ref="L8:L54" si="4">SUM(J8:J8)-SUM(K8:K8)</f>
        <v>0</v>
      </c>
      <c r="M8" s="220"/>
      <c r="O8" s="8"/>
      <c r="P8" s="8" t="str">
        <f>Commodities!$AA$23&amp;"_"&amp;LEFT(RIGHT(Commodities!$D$37,6),3)&amp;"_"&amp;$P$3&amp;"01"</f>
        <v>RSD_DTA1_WH_GAS_E01</v>
      </c>
      <c r="Q8" s="8" t="str">
        <f>"Detached A1 WatHeat Gas  (E)|"&amp;X8</f>
        <v>Detached A1 WatHeat Gas  (E)|</v>
      </c>
      <c r="R8" s="11" t="str">
        <f>General!$B$2</f>
        <v>PJ</v>
      </c>
      <c r="S8" s="11" t="str">
        <f>General!$B$5</f>
        <v>GW</v>
      </c>
      <c r="T8" s="11" t="s">
        <v>125</v>
      </c>
      <c r="U8" s="11"/>
      <c r="V8" s="11"/>
      <c r="W8" s="8"/>
      <c r="X8" s="5"/>
      <c r="Y8" s="51"/>
    </row>
    <row r="9" spans="1:25" ht="13.8">
      <c r="B9" s="41" t="str">
        <f t="shared" si="0"/>
        <v>RSD_DTA1_WH_LTH_E01</v>
      </c>
      <c r="C9" s="41" t="str">
        <f t="shared" si="1"/>
        <v>Detached A1 WatHeat Dist. Heat (E)|</v>
      </c>
      <c r="D9" s="41" t="str">
        <f>Commodities!$D$54</f>
        <v>RSDLTHA1</v>
      </c>
      <c r="E9" s="138" t="str">
        <f>Commodities!$AA$23</f>
        <v>RSD_DTA1_WH</v>
      </c>
      <c r="F9" s="179">
        <f>($H9*VLOOKUP(LEFT($B9,8),RSD_Stock!$H$21:$L$28,F$2,FALSE)*VLOOKUP($B9,RSD_Demands!C163:E210,F$2,FALSE)/1000)*(Stk_Mult)</f>
        <v>0</v>
      </c>
      <c r="H9" s="218">
        <f>RSD_Tech_SpHeat!J10*1.25</f>
        <v>12.5</v>
      </c>
      <c r="I9" s="219">
        <f t="shared" si="2"/>
        <v>0</v>
      </c>
      <c r="J9" s="219">
        <f t="shared" si="3"/>
        <v>0</v>
      </c>
      <c r="K9" s="219">
        <f>VLOOKUP(LEFT($B9,11),RSD_En_Balance!$C$109:$R$190,MATCH("RSDLTH",RSD_En_Balance!$D$109:$R$109,0)+1,FALSE)</f>
        <v>0</v>
      </c>
      <c r="L9" s="219">
        <f t="shared" si="4"/>
        <v>0</v>
      </c>
      <c r="M9" s="220"/>
      <c r="O9" s="8"/>
      <c r="P9" s="8" t="str">
        <f>Commodities!$AA$23&amp;"_"&amp;RIGHT(Commodities!$D$50,3)&amp;"_"&amp;$P$3&amp;"01"</f>
        <v>RSD_DTA1_WH_LTH_E01</v>
      </c>
      <c r="Q9" s="8" t="str">
        <f>"Detached A1 WatHeat Dist. Heat (E)|"&amp;X9</f>
        <v>Detached A1 WatHeat Dist. Heat (E)|</v>
      </c>
      <c r="R9" s="11" t="str">
        <f>General!$B$2</f>
        <v>PJ</v>
      </c>
      <c r="S9" s="11" t="str">
        <f>General!$B$5</f>
        <v>GW</v>
      </c>
      <c r="T9" s="11" t="s">
        <v>125</v>
      </c>
      <c r="U9" s="11"/>
      <c r="V9" s="11"/>
      <c r="W9" s="8"/>
      <c r="X9" s="5"/>
      <c r="Y9" s="51"/>
    </row>
    <row r="10" spans="1:25" ht="15.75" customHeight="1">
      <c r="B10" s="41" t="str">
        <f t="shared" si="0"/>
        <v>RSD_DTA1_WH_LPG_E01</v>
      </c>
      <c r="C10" s="41" t="str">
        <f t="shared" si="1"/>
        <v>Detached A1 WatHeat LPG  (E)|</v>
      </c>
      <c r="D10" s="41" t="str">
        <f>Commodities!$D$35</f>
        <v>RSDOILLPG</v>
      </c>
      <c r="E10" s="138" t="str">
        <f>Commodities!$AA$23</f>
        <v>RSD_DTA1_WH</v>
      </c>
      <c r="F10" s="179">
        <f>($H10*VLOOKUP(LEFT($B10,8),RSD_Stock!$H$21:$L$28,F$2,FALSE)*VLOOKUP($B10,RSD_Demands!C164:E211,F$2,FALSE)/1000)*(Stk_Mult)</f>
        <v>7.1819370762030168</v>
      </c>
      <c r="H10" s="218">
        <f>RSD_Tech_SpHeat!J14*1.25</f>
        <v>12.5</v>
      </c>
      <c r="I10" s="219">
        <f t="shared" si="2"/>
        <v>20.079369449999998</v>
      </c>
      <c r="J10" s="219">
        <f t="shared" si="3"/>
        <v>28.684813500000001</v>
      </c>
      <c r="K10" s="219">
        <f>VLOOKUP(LEFT($B10,11),RSD_En_Balance!$C$109:$R$190,MATCH($D10,RSD_En_Balance!$D$109:$R$109,0)+1,FALSE)</f>
        <v>28.684813500000001</v>
      </c>
      <c r="L10" s="219">
        <f t="shared" si="4"/>
        <v>0</v>
      </c>
      <c r="M10" s="220"/>
      <c r="O10" s="8"/>
      <c r="P10" s="8" t="str">
        <f>Commodities!$AA$23&amp;"_"&amp;RIGHT(Commodities!$D$35,3)&amp;"_"&amp;$P$3&amp;"01"</f>
        <v>RSD_DTA1_WH_LPG_E01</v>
      </c>
      <c r="Q10" s="8" t="str">
        <f>"Detached A1 WatHeat LPG  (E)|"&amp;X10</f>
        <v>Detached A1 WatHeat LPG  (E)|</v>
      </c>
      <c r="R10" s="11" t="str">
        <f>General!$B$2</f>
        <v>PJ</v>
      </c>
      <c r="S10" s="11" t="str">
        <f>General!$B$5</f>
        <v>GW</v>
      </c>
      <c r="T10" s="11" t="s">
        <v>125</v>
      </c>
      <c r="U10" s="11"/>
      <c r="V10" s="11"/>
      <c r="W10" s="8"/>
      <c r="X10" s="5"/>
      <c r="Y10" s="51"/>
    </row>
    <row r="11" spans="1:25" ht="13.8">
      <c r="B11" s="41" t="str">
        <f t="shared" si="0"/>
        <v>RSD_DTA1_WH_LOG_E01</v>
      </c>
      <c r="C11" s="41" t="str">
        <f t="shared" si="1"/>
        <v>Detached A1 WatHeat Wood  (E)|</v>
      </c>
      <c r="D11" s="41" t="str">
        <f>Commodities!$D$38</f>
        <v>RSDBIOLOG</v>
      </c>
      <c r="E11" s="138" t="str">
        <f>Commodities!$AA$23</f>
        <v>RSD_DTA1_WH</v>
      </c>
      <c r="F11" s="179">
        <f>($H11*VLOOKUP(LEFT($B11,8),RSD_Stock!$H$21:$L$28,F$2,FALSE)*VLOOKUP($B11,RSD_Demands!C165:E212,F$2,FALSE)/1000)*(Stk_Mult)</f>
        <v>0</v>
      </c>
      <c r="H11" s="218">
        <f>RSD_Tech_SpHeat!J12*1.25</f>
        <v>12.5</v>
      </c>
      <c r="I11" s="219">
        <f t="shared" si="2"/>
        <v>0</v>
      </c>
      <c r="J11" s="219">
        <f t="shared" si="3"/>
        <v>0</v>
      </c>
      <c r="K11" s="219">
        <f>VLOOKUP(LEFT($B11,11),RSD_En_Balance!$C$109:$R$190,MATCH($D11,RSD_En_Balance!$D$109:$R$109,0)+1,FALSE)</f>
        <v>0</v>
      </c>
      <c r="L11" s="219">
        <f t="shared" si="4"/>
        <v>0</v>
      </c>
      <c r="M11" s="220"/>
      <c r="O11" s="8"/>
      <c r="P11" s="8" t="str">
        <f>Commodities!$AA$23&amp;"_"&amp;RIGHT(Commodities!$D$38,3)&amp;"_"&amp;$P$3&amp;"01"</f>
        <v>RSD_DTA1_WH_LOG_E01</v>
      </c>
      <c r="Q11" s="8" t="str">
        <f>"Detached A1 WatHeat Wood  (E)|"&amp;X11</f>
        <v>Detached A1 WatHeat Wood  (E)|</v>
      </c>
      <c r="R11" s="11" t="str">
        <f>General!$B$2</f>
        <v>PJ</v>
      </c>
      <c r="S11" s="11" t="str">
        <f>General!$B$5</f>
        <v>GW</v>
      </c>
      <c r="T11" s="11" t="s">
        <v>125</v>
      </c>
      <c r="U11" s="11"/>
      <c r="V11" s="11"/>
      <c r="W11" s="8"/>
      <c r="X11" s="5"/>
      <c r="Y11" s="51"/>
    </row>
    <row r="12" spans="1:25" ht="13.8">
      <c r="B12" s="152" t="str">
        <f t="shared" si="0"/>
        <v>RSD_DTA1_WH_ELC_E01</v>
      </c>
      <c r="C12" s="152" t="str">
        <f t="shared" si="1"/>
        <v>Detached A1 WatHeat Electric  (E)|</v>
      </c>
      <c r="D12" s="152" t="str">
        <f>Commodities!$D$48</f>
        <v>RSDELC</v>
      </c>
      <c r="E12" s="153" t="str">
        <f>Commodities!$AA$23</f>
        <v>RSD_DTA1_WH</v>
      </c>
      <c r="F12" s="165">
        <f>($H12*VLOOKUP(LEFT($B12,8),RSD_Stock!$H$21:$L$28,F$2,FALSE)*VLOOKUP($B12,RSD_Demands!C166:E213,F$2,FALSE)/1000)*(Stk_Mult)</f>
        <v>0</v>
      </c>
      <c r="G12" s="41"/>
      <c r="H12" s="221">
        <v>2</v>
      </c>
      <c r="I12" s="222">
        <f t="shared" si="2"/>
        <v>0</v>
      </c>
      <c r="J12" s="222">
        <f t="shared" si="3"/>
        <v>0</v>
      </c>
      <c r="K12" s="222">
        <f>VLOOKUP(LEFT($B12,11),RSD_En_Balance!$C$109:$R$190,MATCH($D12,RSD_En_Balance!$D$109:$R$109,0)+1,FALSE)</f>
        <v>0</v>
      </c>
      <c r="L12" s="222">
        <f t="shared" si="4"/>
        <v>0</v>
      </c>
      <c r="M12" s="220"/>
      <c r="O12" s="100"/>
      <c r="P12" s="100" t="str">
        <f>Commodities!$AA$23&amp;"_"&amp;RIGHT(Commodities!$D$48,3)&amp;"_"&amp;$P$3&amp;"01"</f>
        <v>RSD_DTA1_WH_ELC_E01</v>
      </c>
      <c r="Q12" s="100" t="str">
        <f>"Detached A1 WatHeat Electric  (E)|"&amp;X12</f>
        <v>Detached A1 WatHeat Electric  (E)|</v>
      </c>
      <c r="R12" s="101" t="str">
        <f>General!$B$2</f>
        <v>PJ</v>
      </c>
      <c r="S12" s="101" t="str">
        <f>General!$B$5</f>
        <v>GW</v>
      </c>
      <c r="T12" s="101" t="s">
        <v>125</v>
      </c>
      <c r="U12" s="101"/>
      <c r="V12" s="101"/>
      <c r="W12" s="8"/>
      <c r="X12" s="8"/>
      <c r="Y12" s="51"/>
    </row>
    <row r="13" spans="1:25" ht="13.8">
      <c r="B13" s="41" t="str">
        <f t="shared" si="0"/>
        <v>RSD_APA1_WH_BIC_E01</v>
      </c>
      <c r="C13" s="41" t="str">
        <f t="shared" si="1"/>
        <v>Apartment A1 WatHeat Coal  (E)|</v>
      </c>
      <c r="D13" s="41" t="str">
        <f>Commodities!$D$31</f>
        <v>RSDCOABIC</v>
      </c>
      <c r="E13" s="138" t="str">
        <f>Commodities!$AA$24</f>
        <v>RSD_APA1_WH</v>
      </c>
      <c r="F13" s="179">
        <f>($H13*VLOOKUP(LEFT($B13,8),RSD_Stock!$H$22:$L$28,F$2,FALSE)*VLOOKUP($B13,RSD_Demands!C167:E214,F$2,FALSE)/1000)*(Stk_Mult)</f>
        <v>0</v>
      </c>
      <c r="G13" s="41"/>
      <c r="H13" s="218">
        <f>RSD_Tech_SpHeat!J15*1.25</f>
        <v>4.25</v>
      </c>
      <c r="I13" s="219">
        <f t="shared" si="2"/>
        <v>0</v>
      </c>
      <c r="J13" s="219">
        <f t="shared" si="3"/>
        <v>0</v>
      </c>
      <c r="K13" s="219">
        <f>VLOOKUP(LEFT($B13,11),RSD_En_Balance!$C$109:$R$190,MATCH($D13,RSD_En_Balance!$D$109:$R$109,0)+1,FALSE)</f>
        <v>0</v>
      </c>
      <c r="L13" s="219">
        <f t="shared" si="4"/>
        <v>0</v>
      </c>
      <c r="M13" s="220">
        <f>SUM(I13:I18)/RSD_Stock!$E$22*1000</f>
        <v>47.40271346026401</v>
      </c>
      <c r="O13" s="8"/>
      <c r="P13" s="8" t="str">
        <f>Commodities!$AA$24&amp;"_"&amp;RIGHT(Commodities!$D$31,3)&amp;"_"&amp;$P$3&amp;"01"</f>
        <v>RSD_APA1_WH_BIC_E01</v>
      </c>
      <c r="Q13" s="8" t="str">
        <f>"Apartment A1 WatHeat Coal  (E)|"&amp;X13</f>
        <v>Apartment A1 WatHeat Coal  (E)|</v>
      </c>
      <c r="R13" s="11" t="str">
        <f>General!$B$2</f>
        <v>PJ</v>
      </c>
      <c r="S13" s="11" t="str">
        <f>General!$B$5</f>
        <v>GW</v>
      </c>
      <c r="T13" s="11" t="s">
        <v>125</v>
      </c>
      <c r="U13" s="11"/>
      <c r="V13" s="11"/>
      <c r="W13" s="8"/>
      <c r="X13" s="8"/>
      <c r="Y13" s="51"/>
    </row>
    <row r="14" spans="1:25" ht="13.8">
      <c r="B14" s="41" t="str">
        <f t="shared" ref="B14:B18" si="5">P14</f>
        <v>RSD_APA1_WH_GAS_E01</v>
      </c>
      <c r="C14" s="41" t="str">
        <f t="shared" ref="C14:C33" si="6">Q14</f>
        <v>Apartment A1 WatHeat Gas  (E)|</v>
      </c>
      <c r="D14" s="41" t="str">
        <f>Commodities!$D$37</f>
        <v>RSDGASNAT</v>
      </c>
      <c r="E14" s="138" t="str">
        <f>Commodities!$AA$24</f>
        <v>RSD_APA1_WH</v>
      </c>
      <c r="F14" s="179">
        <f>($H14*VLOOKUP(LEFT($B14,8),RSD_Stock!$H$22:$L$28,F$2,FALSE)*VLOOKUP($B14,RSD_Demands!C168:E215,F$2,FALSE)/1000)*(Stk_Mult)</f>
        <v>2.6288918004390522</v>
      </c>
      <c r="G14" s="41"/>
      <c r="H14" s="218">
        <f>RSD_Tech_SpHeat!J17*1.25</f>
        <v>4.25</v>
      </c>
      <c r="I14" s="219">
        <f t="shared" si="2"/>
        <v>28.968338153159998</v>
      </c>
      <c r="J14" s="219">
        <f t="shared" si="3"/>
        <v>41.383340218800001</v>
      </c>
      <c r="K14" s="219">
        <f>VLOOKUP(LEFT($B14,11),RSD_En_Balance!$C$109:$R$190,MATCH($D14,RSD_En_Balance!$D$109:$R$109,0)+1,FALSE)</f>
        <v>41.383340218800001</v>
      </c>
      <c r="L14" s="219">
        <f t="shared" si="4"/>
        <v>0</v>
      </c>
      <c r="M14" s="220"/>
      <c r="O14" s="8"/>
      <c r="P14" s="8" t="str">
        <f>Commodities!$AA$24&amp;"_"&amp;LEFT(RIGHT(Commodities!$D$37,6),3)&amp;"_"&amp;$P$3&amp;"01"</f>
        <v>RSD_APA1_WH_GAS_E01</v>
      </c>
      <c r="Q14" s="8" t="str">
        <f>"Apartment A1 WatHeat Gas  (E)|"&amp;X14</f>
        <v>Apartment A1 WatHeat Gas  (E)|</v>
      </c>
      <c r="R14" s="11" t="str">
        <f>General!$B$2</f>
        <v>PJ</v>
      </c>
      <c r="S14" s="11" t="str">
        <f>General!$B$5</f>
        <v>GW</v>
      </c>
      <c r="T14" s="11" t="s">
        <v>125</v>
      </c>
      <c r="U14" s="11"/>
      <c r="V14" s="11"/>
      <c r="W14" s="8"/>
      <c r="X14" s="8"/>
      <c r="Y14" s="51"/>
    </row>
    <row r="15" spans="1:25" ht="13.8">
      <c r="B15" s="41" t="str">
        <f t="shared" si="5"/>
        <v>RSD_APA1_WH_LTH_E01</v>
      </c>
      <c r="C15" s="41" t="str">
        <f t="shared" si="6"/>
        <v>Apartment A1 WatHeat Dist. Heat (E)|</v>
      </c>
      <c r="D15" s="41" t="str">
        <f>Commodities!$D$54</f>
        <v>RSDLTHA1</v>
      </c>
      <c r="E15" s="138" t="str">
        <f>Commodities!$AA$24</f>
        <v>RSD_APA1_WH</v>
      </c>
      <c r="F15" s="179">
        <f>($H15*VLOOKUP(LEFT($B15,8),RSD_Stock!$H$22:$L$28,F$2,FALSE)*VLOOKUP($B15,RSD_Demands!C169:E216,F$2,FALSE)/1000)*(Stk_Mult)</f>
        <v>0.11719214956094831</v>
      </c>
      <c r="G15" s="41"/>
      <c r="H15" s="218">
        <f>RSD_Tech_SpHeat!J18*1.25</f>
        <v>4.25</v>
      </c>
      <c r="I15" s="219">
        <f t="shared" si="2"/>
        <v>1.6603278749999999</v>
      </c>
      <c r="J15" s="219">
        <f t="shared" si="3"/>
        <v>1.8448087499999999</v>
      </c>
      <c r="K15" s="219">
        <f>VLOOKUP(LEFT($B15,11),RSD_En_Balance!$C$109:$R$190,MATCH("RSDLTH",RSD_En_Balance!$D$109:$R$109,0)+1,FALSE)</f>
        <v>1.8448087499999999</v>
      </c>
      <c r="L15" s="219">
        <f t="shared" si="4"/>
        <v>0</v>
      </c>
      <c r="M15" s="220"/>
      <c r="O15" s="8"/>
      <c r="P15" s="8" t="str">
        <f>Commodities!$AA$24&amp;"_"&amp;RIGHT(Commodities!$D$50,3)&amp;"_"&amp;$P$3&amp;"01"</f>
        <v>RSD_APA1_WH_LTH_E01</v>
      </c>
      <c r="Q15" s="8" t="str">
        <f>"Apartment A1 WatHeat Dist. Heat (E)|"&amp;X15</f>
        <v>Apartment A1 WatHeat Dist. Heat (E)|</v>
      </c>
      <c r="R15" s="11" t="str">
        <f>General!$B$2</f>
        <v>PJ</v>
      </c>
      <c r="S15" s="11" t="str">
        <f>General!$B$5</f>
        <v>GW</v>
      </c>
      <c r="T15" s="11" t="s">
        <v>125</v>
      </c>
      <c r="U15" s="11"/>
      <c r="V15" s="11"/>
      <c r="W15" s="8"/>
      <c r="X15" s="8"/>
      <c r="Y15" s="51"/>
    </row>
    <row r="16" spans="1:25" ht="13.8">
      <c r="B16" s="41" t="str">
        <f t="shared" si="5"/>
        <v>RSD_APA1_WH_LPG_E01</v>
      </c>
      <c r="C16" s="41" t="str">
        <f t="shared" si="6"/>
        <v>Apartment A1 WatHeat LPG  (E)|</v>
      </c>
      <c r="D16" s="41" t="str">
        <f>Commodities!$D$35</f>
        <v>RSDOILLPG</v>
      </c>
      <c r="E16" s="138" t="str">
        <f>Commodities!$AA$24</f>
        <v>RSD_APA1_WH</v>
      </c>
      <c r="F16" s="179">
        <f>($H16*VLOOKUP(LEFT($B16,8),RSD_Stock!$H$22:$L$28,F$2,FALSE)*VLOOKUP($B16,RSD_Demands!C170:E217,F$2,FALSE)/1000)*(Stk_Mult)</f>
        <v>0</v>
      </c>
      <c r="G16" s="41"/>
      <c r="H16" s="218">
        <f>RSD_Tech_SpHeat!J22*1.25</f>
        <v>4.25</v>
      </c>
      <c r="I16" s="219">
        <f t="shared" si="2"/>
        <v>0</v>
      </c>
      <c r="J16" s="219">
        <f t="shared" si="3"/>
        <v>0</v>
      </c>
      <c r="K16" s="219">
        <f>VLOOKUP(LEFT($B16,11),RSD_En_Balance!$C$109:$R$190,MATCH($D16,RSD_En_Balance!$D$109:$R$109,0)+1,FALSE)</f>
        <v>0</v>
      </c>
      <c r="L16" s="219">
        <f t="shared" si="4"/>
        <v>0</v>
      </c>
      <c r="M16" s="220"/>
      <c r="O16" s="8"/>
      <c r="P16" s="8" t="str">
        <f>Commodities!$AA$24&amp;"_"&amp;RIGHT(Commodities!$D$35,3)&amp;"_"&amp;$P$3&amp;"01"</f>
        <v>RSD_APA1_WH_LPG_E01</v>
      </c>
      <c r="Q16" s="8" t="str">
        <f>"Apartment A1 WatHeat LPG  (E)|"&amp;X16</f>
        <v>Apartment A1 WatHeat LPG  (E)|</v>
      </c>
      <c r="R16" s="11" t="str">
        <f>General!$B$2</f>
        <v>PJ</v>
      </c>
      <c r="S16" s="11" t="str">
        <f>General!$B$5</f>
        <v>GW</v>
      </c>
      <c r="T16" s="11" t="s">
        <v>125</v>
      </c>
      <c r="U16" s="11"/>
      <c r="V16" s="11"/>
      <c r="W16" s="8"/>
      <c r="X16" s="8"/>
      <c r="Y16" s="51"/>
    </row>
    <row r="17" spans="2:25" ht="13.8">
      <c r="B17" s="41" t="str">
        <f t="shared" si="5"/>
        <v>RSD_APA1_WH_LOG_E01</v>
      </c>
      <c r="C17" s="41" t="str">
        <f t="shared" si="6"/>
        <v>Apartment A1 WatHeat Wood  (E)|</v>
      </c>
      <c r="D17" s="41" t="str">
        <f>Commodities!$D$38</f>
        <v>RSDBIOLOG</v>
      </c>
      <c r="E17" s="138" t="str">
        <f>Commodities!$AA$24</f>
        <v>RSD_APA1_WH</v>
      </c>
      <c r="F17" s="179">
        <f>($H17*VLOOKUP(LEFT($B17,8),RSD_Stock!$H$22:$L$28,F$2,FALSE)*VLOOKUP($B17,RSD_Demands!C171:E218,F$2,FALSE)/1000)*(Stk_Mult)</f>
        <v>0</v>
      </c>
      <c r="G17" s="41"/>
      <c r="H17" s="218">
        <f>RSD_Tech_SpHeat!J20*1.25</f>
        <v>4.25</v>
      </c>
      <c r="I17" s="219">
        <f t="shared" si="2"/>
        <v>0</v>
      </c>
      <c r="J17" s="219">
        <f t="shared" si="3"/>
        <v>0</v>
      </c>
      <c r="K17" s="219">
        <f>VLOOKUP(LEFT($B17,11),RSD_En_Balance!$C$109:$R$190,MATCH($D17,RSD_En_Balance!$D$109:$R$109,0)+1,FALSE)</f>
        <v>0</v>
      </c>
      <c r="L17" s="219">
        <f t="shared" si="4"/>
        <v>0</v>
      </c>
      <c r="M17" s="220"/>
      <c r="O17" s="8"/>
      <c r="P17" s="8" t="str">
        <f>Commodities!$AA$24&amp;"_"&amp;RIGHT(Commodities!$D$38,3)&amp;"_"&amp;$P$3&amp;"01"</f>
        <v>RSD_APA1_WH_LOG_E01</v>
      </c>
      <c r="Q17" s="8" t="str">
        <f>"Apartment A1 WatHeat Wood  (E)|"&amp;X17</f>
        <v>Apartment A1 WatHeat Wood  (E)|</v>
      </c>
      <c r="R17" s="11" t="str">
        <f>General!$B$2</f>
        <v>PJ</v>
      </c>
      <c r="S17" s="11" t="str">
        <f>General!$B$5</f>
        <v>GW</v>
      </c>
      <c r="T17" s="11" t="s">
        <v>125</v>
      </c>
      <c r="U17" s="11"/>
      <c r="V17" s="11"/>
      <c r="W17" s="8"/>
      <c r="X17" s="8"/>
      <c r="Y17" s="51"/>
    </row>
    <row r="18" spans="2:25" ht="13.8">
      <c r="B18" s="152" t="str">
        <f t="shared" si="5"/>
        <v>RSD_APA1_WH_ELC_E01</v>
      </c>
      <c r="C18" s="152" t="str">
        <f t="shared" si="6"/>
        <v>Apartment A1 WatHeat Electric  (E)|</v>
      </c>
      <c r="D18" s="152" t="str">
        <f>Commodities!$D$48</f>
        <v>RSDELC</v>
      </c>
      <c r="E18" s="153" t="str">
        <f>Commodities!$AA$24</f>
        <v>RSD_APA1_WH</v>
      </c>
      <c r="F18" s="165">
        <f>($H18*VLOOKUP(LEFT($B18,8),RSD_Stock!$H$22:$L$28,F$2,FALSE)*VLOOKUP($B18,RSD_Demands!C172:E219,F$2,FALSE)/1000)*(Stk_Mult)</f>
        <v>0</v>
      </c>
      <c r="G18" s="41"/>
      <c r="H18" s="221">
        <v>1</v>
      </c>
      <c r="I18" s="222">
        <f t="shared" si="2"/>
        <v>0</v>
      </c>
      <c r="J18" s="222">
        <f t="shared" si="3"/>
        <v>0</v>
      </c>
      <c r="K18" s="222">
        <f>VLOOKUP(LEFT($B18,11),RSD_En_Balance!$C$109:$R$190,MATCH($D18,RSD_En_Balance!$D$109:$R$109,0)+1,FALSE)</f>
        <v>0</v>
      </c>
      <c r="L18" s="222">
        <f t="shared" si="4"/>
        <v>0</v>
      </c>
      <c r="M18" s="220"/>
      <c r="O18" s="100"/>
      <c r="P18" s="100" t="str">
        <f>Commodities!$AA$24&amp;"_"&amp;RIGHT(Commodities!$D$48,3)&amp;"_"&amp;$P$3&amp;"01"</f>
        <v>RSD_APA1_WH_ELC_E01</v>
      </c>
      <c r="Q18" s="100" t="str">
        <f>"Apartment A1 WatHeat Electric  (E)|"&amp;X18</f>
        <v>Apartment A1 WatHeat Electric  (E)|</v>
      </c>
      <c r="R18" s="101" t="str">
        <f>General!$B$2</f>
        <v>PJ</v>
      </c>
      <c r="S18" s="101" t="str">
        <f>General!$B$5</f>
        <v>GW</v>
      </c>
      <c r="T18" s="101" t="s">
        <v>125</v>
      </c>
      <c r="U18" s="101"/>
      <c r="V18" s="101"/>
      <c r="W18" s="8"/>
      <c r="X18" s="8"/>
      <c r="Y18" s="51"/>
    </row>
    <row r="19" spans="2:25" ht="13.8" hidden="1">
      <c r="B19" s="41" t="s">
        <v>147</v>
      </c>
      <c r="C19" s="41" t="str">
        <f t="shared" si="6"/>
        <v>Detached A2 WatHeat Coal  (E)|</v>
      </c>
      <c r="D19" s="41" t="str">
        <f>Commodities!$D$31</f>
        <v>RSDCOABIC</v>
      </c>
      <c r="E19" s="138" t="str">
        <f>Commodities!$AA$25</f>
        <v>RSD_DTA2_WH</v>
      </c>
      <c r="F19" s="179" t="e">
        <f>($H19*VLOOKUP(LEFT($B19,8),RSD_Stock!$H$22:$L$28,F$2,FALSE)*VLOOKUP($B19,RSD_Demands!C173:E220,F$2,FALSE)/1000)*(Stk_Mult)</f>
        <v>#DIV/0!</v>
      </c>
      <c r="G19" s="41"/>
      <c r="H19" s="218">
        <f>H7</f>
        <v>12.5</v>
      </c>
      <c r="I19" s="219" t="e">
        <f t="shared" si="2"/>
        <v>#DIV/0!</v>
      </c>
      <c r="J19" s="219" t="e">
        <f t="shared" si="3"/>
        <v>#DIV/0!</v>
      </c>
      <c r="K19" s="219">
        <f>VLOOKUP(LEFT($B19,11),RSD_En_Balance!$C$109:$R$190,MATCH($D19,RSD_En_Balance!$D$109:$R$109,0)+1,FALSE)</f>
        <v>0</v>
      </c>
      <c r="L19" s="219" t="e">
        <f t="shared" si="4"/>
        <v>#DIV/0!</v>
      </c>
      <c r="M19" s="220" t="e">
        <f>SUM(I19:I24)/RSD_Stock!$E$23*1000</f>
        <v>#DIV/0!</v>
      </c>
      <c r="O19" s="8" t="s">
        <v>147</v>
      </c>
      <c r="P19" s="8" t="str">
        <f>Commodities!$AA$25&amp;"_"&amp;RIGHT(Commodities!$D$31,3)&amp;"_"&amp;$P$3&amp;"01"</f>
        <v>RSD_DTA2_WH_BIC_E01</v>
      </c>
      <c r="Q19" s="8" t="str">
        <f>"Detached A2 WatHeat Coal  (E)|"&amp;X19</f>
        <v>Detached A2 WatHeat Coal  (E)|</v>
      </c>
      <c r="R19" s="11" t="str">
        <f>General!$B$2</f>
        <v>PJ</v>
      </c>
      <c r="S19" s="11" t="str">
        <f>General!$B$5</f>
        <v>GW</v>
      </c>
      <c r="T19" s="11" t="s">
        <v>125</v>
      </c>
      <c r="U19" s="11"/>
      <c r="V19" s="11"/>
      <c r="W19" s="8"/>
      <c r="X19" s="8"/>
      <c r="Y19" s="51"/>
    </row>
    <row r="20" spans="2:25" ht="13.8" hidden="1">
      <c r="B20" s="41" t="s">
        <v>147</v>
      </c>
      <c r="C20" s="41" t="str">
        <f t="shared" si="6"/>
        <v>Detached A2 WatHeat Gas  (E)|</v>
      </c>
      <c r="D20" s="41" t="str">
        <f>Commodities!$D$37</f>
        <v>RSDGASNAT</v>
      </c>
      <c r="E20" s="138" t="str">
        <f>Commodities!$AA$25</f>
        <v>RSD_DTA2_WH</v>
      </c>
      <c r="F20" s="179" t="e">
        <f>($H20*VLOOKUP(LEFT($B20,8),RSD_Stock!$H$22:$L$28,F$2,FALSE)*VLOOKUP($B20,RSD_Demands!C174:E221,F$2,FALSE)/1000)*(Stk_Mult)</f>
        <v>#DIV/0!</v>
      </c>
      <c r="G20" s="41"/>
      <c r="H20" s="218">
        <f t="shared" ref="H20:H54" si="7">H8</f>
        <v>12.5</v>
      </c>
      <c r="I20" s="219" t="e">
        <f t="shared" si="2"/>
        <v>#DIV/0!</v>
      </c>
      <c r="J20" s="219" t="e">
        <f t="shared" si="3"/>
        <v>#DIV/0!</v>
      </c>
      <c r="K20" s="219">
        <f>VLOOKUP(LEFT($B20,11),RSD_En_Balance!$C$109:$R$190,MATCH($D20,RSD_En_Balance!$D$109:$R$109,0)+1,FALSE)</f>
        <v>6.8483068920000001</v>
      </c>
      <c r="L20" s="219" t="e">
        <f t="shared" si="4"/>
        <v>#DIV/0!</v>
      </c>
      <c r="M20" s="220"/>
      <c r="O20" s="8" t="s">
        <v>147</v>
      </c>
      <c r="P20" s="8" t="str">
        <f>Commodities!$AA$25&amp;"_"&amp;LEFT(RIGHT(Commodities!$D$37,6),3)&amp;"_"&amp;$P$3&amp;"01"</f>
        <v>RSD_DTA2_WH_GAS_E01</v>
      </c>
      <c r="Q20" s="8" t="str">
        <f>"Detached A2 WatHeat Gas  (E)|"&amp;X20</f>
        <v>Detached A2 WatHeat Gas  (E)|</v>
      </c>
      <c r="R20" s="11" t="str">
        <f>General!$B$2</f>
        <v>PJ</v>
      </c>
      <c r="S20" s="11" t="str">
        <f>General!$B$5</f>
        <v>GW</v>
      </c>
      <c r="T20" s="11" t="s">
        <v>125</v>
      </c>
      <c r="U20" s="11"/>
      <c r="V20" s="11"/>
      <c r="W20" s="8"/>
      <c r="X20" s="8"/>
      <c r="Y20" s="51"/>
    </row>
    <row r="21" spans="2:25" ht="13.8" hidden="1">
      <c r="B21" s="41" t="s">
        <v>147</v>
      </c>
      <c r="C21" s="41" t="str">
        <f t="shared" si="6"/>
        <v>Detached A2 WatHeat Dist. Heat (E)|</v>
      </c>
      <c r="D21" s="41" t="str">
        <f>Commodities!$D$55</f>
        <v>RSDLTHA2</v>
      </c>
      <c r="E21" s="138" t="str">
        <f>Commodities!$AA$25</f>
        <v>RSD_DTA2_WH</v>
      </c>
      <c r="F21" s="179" t="e">
        <f>($H21*VLOOKUP(LEFT($B21,8),RSD_Stock!$H$22:$L$28,F$2,FALSE)*VLOOKUP($B21,RSD_Demands!C175:E222,F$2,FALSE)/1000)*(Stk_Mult)</f>
        <v>#DIV/0!</v>
      </c>
      <c r="G21" s="41"/>
      <c r="H21" s="218">
        <f t="shared" si="7"/>
        <v>12.5</v>
      </c>
      <c r="I21" s="219" t="e">
        <f t="shared" si="2"/>
        <v>#DIV/0!</v>
      </c>
      <c r="J21" s="219" t="e">
        <f t="shared" si="3"/>
        <v>#DIV/0!</v>
      </c>
      <c r="K21" s="219">
        <f>VLOOKUP(LEFT($B21,11),RSD_En_Balance!$C$109:$R$190,MATCH("RSDLTH",RSD_En_Balance!$D$109:$R$109,0)+1,FALSE)</f>
        <v>0</v>
      </c>
      <c r="L21" s="219" t="e">
        <f t="shared" si="4"/>
        <v>#DIV/0!</v>
      </c>
      <c r="M21" s="220"/>
      <c r="O21" s="8" t="s">
        <v>147</v>
      </c>
      <c r="P21" s="8" t="str">
        <f>Commodities!$AA$25&amp;"_"&amp;RIGHT(Commodities!$D$50,3)&amp;"_"&amp;$P$3&amp;"01"</f>
        <v>RSD_DTA2_WH_LTH_E01</v>
      </c>
      <c r="Q21" s="8" t="str">
        <f>"Detached A2 WatHeat Dist. Heat (E)|"&amp;X21</f>
        <v>Detached A2 WatHeat Dist. Heat (E)|</v>
      </c>
      <c r="R21" s="11" t="str">
        <f>General!$B$2</f>
        <v>PJ</v>
      </c>
      <c r="S21" s="11" t="str">
        <f>General!$B$5</f>
        <v>GW</v>
      </c>
      <c r="T21" s="11" t="s">
        <v>125</v>
      </c>
      <c r="U21" s="11"/>
      <c r="V21" s="11"/>
      <c r="W21" s="8"/>
      <c r="X21" s="8"/>
      <c r="Y21" s="51"/>
    </row>
    <row r="22" spans="2:25" ht="13.8" hidden="1">
      <c r="B22" s="41" t="s">
        <v>147</v>
      </c>
      <c r="C22" s="41" t="str">
        <f t="shared" si="6"/>
        <v>Detached A2 WatHeat LPG  (E)|</v>
      </c>
      <c r="D22" s="41" t="str">
        <f>Commodities!$D$35</f>
        <v>RSDOILLPG</v>
      </c>
      <c r="E22" s="138" t="str">
        <f>Commodities!$AA$25</f>
        <v>RSD_DTA2_WH</v>
      </c>
      <c r="F22" s="179" t="e">
        <f>($H22*VLOOKUP(LEFT($B22,8),RSD_Stock!$H$22:$L$28,F$2,FALSE)*VLOOKUP($B22,RSD_Demands!C176:E223,F$2,FALSE)/1000)*(Stk_Mult)</f>
        <v>#DIV/0!</v>
      </c>
      <c r="G22" s="41"/>
      <c r="H22" s="218">
        <f t="shared" si="7"/>
        <v>12.5</v>
      </c>
      <c r="I22" s="219" t="e">
        <f t="shared" si="2"/>
        <v>#DIV/0!</v>
      </c>
      <c r="J22" s="219" t="e">
        <f t="shared" si="3"/>
        <v>#DIV/0!</v>
      </c>
      <c r="K22" s="219">
        <f>VLOOKUP(LEFT($B22,11),RSD_En_Balance!$C$109:$R$190,MATCH($D22,RSD_En_Balance!$D$109:$R$109,0)+1,FALSE)</f>
        <v>0</v>
      </c>
      <c r="L22" s="219" t="e">
        <f t="shared" si="4"/>
        <v>#DIV/0!</v>
      </c>
      <c r="M22" s="220"/>
      <c r="O22" s="8" t="s">
        <v>147</v>
      </c>
      <c r="P22" s="8" t="str">
        <f>Commodities!$AA$25&amp;"_"&amp;RIGHT(Commodities!$D$35,3)&amp;"_"&amp;$P$3&amp;"01"</f>
        <v>RSD_DTA2_WH_LPG_E01</v>
      </c>
      <c r="Q22" s="8" t="str">
        <f>"Detached A2 WatHeat LPG  (E)|"&amp;X22</f>
        <v>Detached A2 WatHeat LPG  (E)|</v>
      </c>
      <c r="R22" s="11" t="str">
        <f>General!$B$2</f>
        <v>PJ</v>
      </c>
      <c r="S22" s="11" t="str">
        <f>General!$B$5</f>
        <v>GW</v>
      </c>
      <c r="T22" s="11" t="s">
        <v>125</v>
      </c>
      <c r="U22" s="11"/>
      <c r="V22" s="11"/>
      <c r="W22" s="8"/>
      <c r="X22" s="8"/>
      <c r="Y22" s="51"/>
    </row>
    <row r="23" spans="2:25" ht="13.8" hidden="1">
      <c r="B23" s="41" t="s">
        <v>147</v>
      </c>
      <c r="C23" s="41" t="str">
        <f t="shared" si="6"/>
        <v>Detached A2 WatHeat Wood  (E)|</v>
      </c>
      <c r="D23" s="41" t="str">
        <f>Commodities!$D$38</f>
        <v>RSDBIOLOG</v>
      </c>
      <c r="E23" s="138" t="str">
        <f>Commodities!$AA$25</f>
        <v>RSD_DTA2_WH</v>
      </c>
      <c r="F23" s="179" t="e">
        <f>($H23*VLOOKUP(LEFT($B23,8),RSD_Stock!$H$22:$L$28,F$2,FALSE)*VLOOKUP($B23,RSD_Demands!C177:E224,F$2,FALSE)/1000)*(Stk_Mult)</f>
        <v>#DIV/0!</v>
      </c>
      <c r="G23" s="41"/>
      <c r="H23" s="218">
        <f t="shared" si="7"/>
        <v>12.5</v>
      </c>
      <c r="I23" s="219" t="e">
        <f t="shared" si="2"/>
        <v>#DIV/0!</v>
      </c>
      <c r="J23" s="219" t="e">
        <f t="shared" si="3"/>
        <v>#DIV/0!</v>
      </c>
      <c r="K23" s="219">
        <f>VLOOKUP(LEFT($B23,11),RSD_En_Balance!$C$109:$R$190,MATCH($D23,RSD_En_Balance!$D$109:$R$109,0)+1,FALSE)</f>
        <v>0.21980700000000003</v>
      </c>
      <c r="L23" s="219" t="e">
        <f t="shared" si="4"/>
        <v>#DIV/0!</v>
      </c>
      <c r="M23" s="220"/>
      <c r="O23" s="8" t="s">
        <v>147</v>
      </c>
      <c r="P23" s="8" t="str">
        <f>Commodities!$AA$25&amp;"_"&amp;RIGHT(Commodities!$D$38,3)&amp;"_"&amp;$P$3&amp;"01"</f>
        <v>RSD_DTA2_WH_LOG_E01</v>
      </c>
      <c r="Q23" s="8" t="str">
        <f>"Detached A2 WatHeat Wood  (E)|"&amp;X23</f>
        <v>Detached A2 WatHeat Wood  (E)|</v>
      </c>
      <c r="R23" s="11" t="str">
        <f>General!$B$2</f>
        <v>PJ</v>
      </c>
      <c r="S23" s="11" t="str">
        <f>General!$B$5</f>
        <v>GW</v>
      </c>
      <c r="T23" s="11" t="s">
        <v>125</v>
      </c>
      <c r="U23" s="11"/>
      <c r="V23" s="11"/>
      <c r="W23" s="8"/>
      <c r="X23" s="8"/>
      <c r="Y23" s="51"/>
    </row>
    <row r="24" spans="2:25" ht="13.8" hidden="1">
      <c r="B24" s="41" t="s">
        <v>147</v>
      </c>
      <c r="C24" s="152" t="str">
        <f t="shared" si="6"/>
        <v>Detached A2 WatHeat Electric  (E)|</v>
      </c>
      <c r="D24" s="152" t="str">
        <f>Commodities!$D$48</f>
        <v>RSDELC</v>
      </c>
      <c r="E24" s="153" t="str">
        <f>Commodities!$AA$25</f>
        <v>RSD_DTA2_WH</v>
      </c>
      <c r="F24" s="165" t="e">
        <f>($H24*VLOOKUP(LEFT($B24,8),RSD_Stock!$H$22:$L$28,F$2,FALSE)*VLOOKUP($B24,RSD_Demands!C178:E225,F$2,FALSE)/1000)*(Stk_Mult)</f>
        <v>#DIV/0!</v>
      </c>
      <c r="G24" s="41"/>
      <c r="H24" s="221">
        <f t="shared" si="7"/>
        <v>2</v>
      </c>
      <c r="I24" s="222" t="e">
        <f t="shared" si="2"/>
        <v>#DIV/0!</v>
      </c>
      <c r="J24" s="222" t="e">
        <f t="shared" si="3"/>
        <v>#DIV/0!</v>
      </c>
      <c r="K24" s="222">
        <f>VLOOKUP(LEFT($B24,11),RSD_En_Balance!$C$109:$R$190,MATCH($D24,RSD_En_Balance!$D$109:$R$109,0)+1,FALSE)</f>
        <v>9.8234888399999984E-2</v>
      </c>
      <c r="L24" s="222" t="e">
        <f t="shared" si="4"/>
        <v>#DIV/0!</v>
      </c>
      <c r="M24" s="220"/>
      <c r="O24" s="8" t="s">
        <v>147</v>
      </c>
      <c r="P24" s="100" t="str">
        <f>Commodities!$AA$25&amp;"_"&amp;RIGHT(Commodities!$D$48,3)&amp;"_"&amp;$P$3&amp;"01"</f>
        <v>RSD_DTA2_WH_ELC_E01</v>
      </c>
      <c r="Q24" s="100" t="str">
        <f>"Detached A2 WatHeat Electric  (E)|"&amp;X24</f>
        <v>Detached A2 WatHeat Electric  (E)|</v>
      </c>
      <c r="R24" s="101" t="str">
        <f>General!$B$2</f>
        <v>PJ</v>
      </c>
      <c r="S24" s="101" t="str">
        <f>General!$B$5</f>
        <v>GW</v>
      </c>
      <c r="T24" s="101" t="s">
        <v>125</v>
      </c>
      <c r="U24" s="101"/>
      <c r="V24" s="101"/>
      <c r="W24" s="8"/>
      <c r="X24" s="8"/>
      <c r="Y24" s="51"/>
    </row>
    <row r="25" spans="2:25" ht="13.8" hidden="1">
      <c r="B25" s="41" t="s">
        <v>147</v>
      </c>
      <c r="C25" s="41" t="str">
        <f t="shared" si="6"/>
        <v>Apartment A2 WatHeat Coal  (E)|</v>
      </c>
      <c r="D25" s="41" t="str">
        <f>Commodities!$D$31</f>
        <v>RSDCOABIC</v>
      </c>
      <c r="E25" s="138" t="str">
        <f>Commodities!$AA$26</f>
        <v>RSD_APA2_WH</v>
      </c>
      <c r="F25" s="179" t="e">
        <f>($H25*VLOOKUP(LEFT($B25,8),RSD_Stock!$H$22:$L$28,F$2,FALSE)*VLOOKUP($B25,RSD_Demands!C179:E226,F$2,FALSE)/1000)*(Stk_Mult)</f>
        <v>#DIV/0!</v>
      </c>
      <c r="G25" s="41"/>
      <c r="H25" s="218">
        <f t="shared" si="7"/>
        <v>4.25</v>
      </c>
      <c r="I25" s="219" t="e">
        <f t="shared" si="2"/>
        <v>#DIV/0!</v>
      </c>
      <c r="J25" s="219" t="e">
        <f t="shared" si="3"/>
        <v>#DIV/0!</v>
      </c>
      <c r="K25" s="219">
        <f>VLOOKUP(LEFT($B25,11),RSD_En_Balance!$C$109:$R$190,MATCH($D25,RSD_En_Balance!$D$109:$R$109,0)+1,FALSE)</f>
        <v>0</v>
      </c>
      <c r="L25" s="219" t="e">
        <f t="shared" si="4"/>
        <v>#DIV/0!</v>
      </c>
      <c r="M25" s="220" t="e">
        <f>SUM(I25:I30)/RSD_Stock!$E$24*1000</f>
        <v>#DIV/0!</v>
      </c>
      <c r="O25" s="8" t="s">
        <v>147</v>
      </c>
      <c r="P25" s="8" t="str">
        <f>Commodities!$AA$26&amp;"_"&amp;RIGHT(Commodities!$D$31,3)&amp;"_"&amp;$P$3&amp;"01"</f>
        <v>RSD_APA2_WH_BIC_E01</v>
      </c>
      <c r="Q25" s="8" t="str">
        <f>"Apartment A2 WatHeat Coal  (E)|"&amp;X25</f>
        <v>Apartment A2 WatHeat Coal  (E)|</v>
      </c>
      <c r="R25" s="11" t="str">
        <f>General!$B$2</f>
        <v>PJ</v>
      </c>
      <c r="S25" s="11" t="str">
        <f>General!$B$5</f>
        <v>GW</v>
      </c>
      <c r="T25" s="11" t="s">
        <v>125</v>
      </c>
      <c r="U25" s="11"/>
      <c r="V25" s="11"/>
      <c r="W25" s="8"/>
      <c r="X25" s="8"/>
      <c r="Y25" s="51"/>
    </row>
    <row r="26" spans="2:25" ht="13.8" hidden="1">
      <c r="B26" s="41" t="s">
        <v>147</v>
      </c>
      <c r="C26" s="41" t="str">
        <f t="shared" si="6"/>
        <v>Apartment A2 WatHeat Gas  (E)|</v>
      </c>
      <c r="D26" s="41" t="str">
        <f>Commodities!$D$37</f>
        <v>RSDGASNAT</v>
      </c>
      <c r="E26" s="138" t="str">
        <f>Commodities!$AA$26</f>
        <v>RSD_APA2_WH</v>
      </c>
      <c r="F26" s="179" t="e">
        <f>($H26*VLOOKUP(LEFT($B26,8),RSD_Stock!$H$22:$L$28,F$2,FALSE)*VLOOKUP($B26,RSD_Demands!C180:E227,F$2,FALSE)/1000)*(Stk_Mult)</f>
        <v>#DIV/0!</v>
      </c>
      <c r="G26" s="41"/>
      <c r="H26" s="218">
        <f t="shared" si="7"/>
        <v>4.25</v>
      </c>
      <c r="I26" s="219" t="e">
        <f t="shared" si="2"/>
        <v>#DIV/0!</v>
      </c>
      <c r="J26" s="219" t="e">
        <f t="shared" si="3"/>
        <v>#DIV/0!</v>
      </c>
      <c r="K26" s="219">
        <f>VLOOKUP(LEFT($B26,11),RSD_En_Balance!$C$109:$R$190,MATCH($D26,RSD_En_Balance!$D$109:$R$109,0)+1,FALSE)</f>
        <v>6.8483068920000001</v>
      </c>
      <c r="L26" s="219" t="e">
        <f t="shared" si="4"/>
        <v>#DIV/0!</v>
      </c>
      <c r="M26" s="220"/>
      <c r="O26" s="8" t="s">
        <v>147</v>
      </c>
      <c r="P26" s="8" t="str">
        <f>Commodities!$AA$26&amp;"_"&amp;LEFT(RIGHT(Commodities!$D$37,6),3)&amp;"_"&amp;$P$3&amp;"01"</f>
        <v>RSD_APA2_WH_GAS_E01</v>
      </c>
      <c r="Q26" s="8" t="str">
        <f>"Apartment A2 WatHeat Gas  (E)|"&amp;X26</f>
        <v>Apartment A2 WatHeat Gas  (E)|</v>
      </c>
      <c r="R26" s="11" t="str">
        <f>General!$B$2</f>
        <v>PJ</v>
      </c>
      <c r="S26" s="11" t="str">
        <f>General!$B$5</f>
        <v>GW</v>
      </c>
      <c r="T26" s="11" t="s">
        <v>125</v>
      </c>
      <c r="U26" s="11"/>
      <c r="V26" s="11"/>
      <c r="W26" s="8"/>
      <c r="X26" s="8"/>
      <c r="Y26" s="51"/>
    </row>
    <row r="27" spans="2:25" ht="13.8" hidden="1">
      <c r="B27" s="41" t="s">
        <v>147</v>
      </c>
      <c r="C27" s="41" t="str">
        <f t="shared" si="6"/>
        <v>Apartment A2 WatHeat Dist. Heat (E)|</v>
      </c>
      <c r="D27" s="41" t="str">
        <f>Commodities!$D$55</f>
        <v>RSDLTHA2</v>
      </c>
      <c r="E27" s="138" t="str">
        <f>Commodities!$AA$26</f>
        <v>RSD_APA2_WH</v>
      </c>
      <c r="F27" s="179" t="e">
        <f>($H27*VLOOKUP(LEFT($B27,8),RSD_Stock!$H$22:$L$28,F$2,FALSE)*VLOOKUP($B27,RSD_Demands!C181:E228,F$2,FALSE)/1000)*(Stk_Mult)</f>
        <v>#DIV/0!</v>
      </c>
      <c r="G27" s="41"/>
      <c r="H27" s="218">
        <f t="shared" si="7"/>
        <v>4.25</v>
      </c>
      <c r="I27" s="219" t="e">
        <f t="shared" si="2"/>
        <v>#DIV/0!</v>
      </c>
      <c r="J27" s="219" t="e">
        <f t="shared" si="3"/>
        <v>#DIV/0!</v>
      </c>
      <c r="K27" s="219">
        <f>VLOOKUP(LEFT($B27,11),RSD_En_Balance!$C$109:$R$190,MATCH("RSDLTH",RSD_En_Balance!$D$109:$R$109,0)+1,FALSE)</f>
        <v>0</v>
      </c>
      <c r="L27" s="219" t="e">
        <f t="shared" si="4"/>
        <v>#DIV/0!</v>
      </c>
      <c r="M27" s="220"/>
      <c r="O27" s="8" t="s">
        <v>147</v>
      </c>
      <c r="P27" s="8" t="str">
        <f>Commodities!$AA$26&amp;"_"&amp;RIGHT(Commodities!$D$50,3)&amp;"_"&amp;$P$3&amp;"01"</f>
        <v>RSD_APA2_WH_LTH_E01</v>
      </c>
      <c r="Q27" s="8" t="str">
        <f>"Apartment A2 WatHeat Dist. Heat (E)|"&amp;X27</f>
        <v>Apartment A2 WatHeat Dist. Heat (E)|</v>
      </c>
      <c r="R27" s="11" t="str">
        <f>General!$B$2</f>
        <v>PJ</v>
      </c>
      <c r="S27" s="11" t="str">
        <f>General!$B$5</f>
        <v>GW</v>
      </c>
      <c r="T27" s="11" t="s">
        <v>125</v>
      </c>
      <c r="U27" s="11"/>
      <c r="V27" s="11"/>
      <c r="W27" s="8"/>
      <c r="X27" s="8"/>
      <c r="Y27" s="51"/>
    </row>
    <row r="28" spans="2:25" ht="13.8" hidden="1">
      <c r="B28" s="41" t="s">
        <v>147</v>
      </c>
      <c r="C28" s="41" t="str">
        <f t="shared" si="6"/>
        <v>Apartment A2 WatHeat LPG  (E)|</v>
      </c>
      <c r="D28" s="41" t="str">
        <f>Commodities!$D$35</f>
        <v>RSDOILLPG</v>
      </c>
      <c r="E28" s="138" t="str">
        <f>Commodities!$AA$26</f>
        <v>RSD_APA2_WH</v>
      </c>
      <c r="F28" s="179" t="e">
        <f>($H28*VLOOKUP(LEFT($B28,8),RSD_Stock!$H$22:$L$28,F$2,FALSE)*VLOOKUP($B28,RSD_Demands!C182:E229,F$2,FALSE)/1000)*(Stk_Mult)</f>
        <v>#DIV/0!</v>
      </c>
      <c r="G28" s="41"/>
      <c r="H28" s="218">
        <f t="shared" si="7"/>
        <v>4.25</v>
      </c>
      <c r="I28" s="219" t="e">
        <f t="shared" si="2"/>
        <v>#DIV/0!</v>
      </c>
      <c r="J28" s="219" t="e">
        <f t="shared" si="3"/>
        <v>#DIV/0!</v>
      </c>
      <c r="K28" s="219">
        <f>VLOOKUP(LEFT($B28,11),RSD_En_Balance!$C$109:$R$190,MATCH($D28,RSD_En_Balance!$D$109:$R$109,0)+1,FALSE)</f>
        <v>0</v>
      </c>
      <c r="L28" s="219" t="e">
        <f t="shared" si="4"/>
        <v>#DIV/0!</v>
      </c>
      <c r="M28" s="220"/>
      <c r="O28" s="8" t="s">
        <v>147</v>
      </c>
      <c r="P28" s="8" t="str">
        <f>Commodities!$AA$26&amp;"_"&amp;RIGHT(Commodities!$D$35,3)&amp;"_"&amp;$P$3&amp;"01"</f>
        <v>RSD_APA2_WH_LPG_E01</v>
      </c>
      <c r="Q28" s="8" t="str">
        <f>"Apartment A2 WatHeat LPG  (E)|"&amp;X28</f>
        <v>Apartment A2 WatHeat LPG  (E)|</v>
      </c>
      <c r="R28" s="11" t="str">
        <f>General!$B$2</f>
        <v>PJ</v>
      </c>
      <c r="S28" s="11" t="str">
        <f>General!$B$5</f>
        <v>GW</v>
      </c>
      <c r="T28" s="11" t="s">
        <v>125</v>
      </c>
      <c r="U28" s="11"/>
      <c r="V28" s="11"/>
      <c r="W28" s="8"/>
      <c r="X28" s="8"/>
      <c r="Y28" s="51"/>
    </row>
    <row r="29" spans="2:25" ht="13.8" hidden="1">
      <c r="B29" s="41" t="s">
        <v>147</v>
      </c>
      <c r="C29" s="41" t="str">
        <f t="shared" si="6"/>
        <v>Apartment A2 WatHeat Wood  (E)|</v>
      </c>
      <c r="D29" s="41" t="str">
        <f>Commodities!$D$38</f>
        <v>RSDBIOLOG</v>
      </c>
      <c r="E29" s="138" t="str">
        <f>Commodities!$AA$26</f>
        <v>RSD_APA2_WH</v>
      </c>
      <c r="F29" s="179" t="e">
        <f>($H29*VLOOKUP(LEFT($B29,8),RSD_Stock!$H$22:$L$28,F$2,FALSE)*VLOOKUP($B29,RSD_Demands!C183:E230,F$2,FALSE)/1000)*(Stk_Mult)</f>
        <v>#DIV/0!</v>
      </c>
      <c r="G29" s="41"/>
      <c r="H29" s="218">
        <f t="shared" si="7"/>
        <v>4.25</v>
      </c>
      <c r="I29" s="219" t="e">
        <f t="shared" si="2"/>
        <v>#DIV/0!</v>
      </c>
      <c r="J29" s="219" t="e">
        <f t="shared" si="3"/>
        <v>#DIV/0!</v>
      </c>
      <c r="K29" s="219">
        <f>VLOOKUP(LEFT($B29,11),RSD_En_Balance!$C$109:$R$190,MATCH($D29,RSD_En_Balance!$D$109:$R$109,0)+1,FALSE)</f>
        <v>0.21980700000000003</v>
      </c>
      <c r="L29" s="219" t="e">
        <f t="shared" si="4"/>
        <v>#DIV/0!</v>
      </c>
      <c r="M29" s="220"/>
      <c r="O29" s="8" t="s">
        <v>147</v>
      </c>
      <c r="P29" s="8" t="str">
        <f>Commodities!$AA$26&amp;"_"&amp;RIGHT(Commodities!$D$38,3)&amp;"_"&amp;$P$3&amp;"01"</f>
        <v>RSD_APA2_WH_LOG_E01</v>
      </c>
      <c r="Q29" s="8" t="str">
        <f>"Apartment A2 WatHeat Wood  (E)|"&amp;X29</f>
        <v>Apartment A2 WatHeat Wood  (E)|</v>
      </c>
      <c r="R29" s="11" t="str">
        <f>General!$B$2</f>
        <v>PJ</v>
      </c>
      <c r="S29" s="11" t="str">
        <f>General!$B$5</f>
        <v>GW</v>
      </c>
      <c r="T29" s="11" t="s">
        <v>125</v>
      </c>
      <c r="U29" s="11"/>
      <c r="V29" s="11"/>
      <c r="W29" s="8"/>
      <c r="X29" s="8"/>
      <c r="Y29" s="51"/>
    </row>
    <row r="30" spans="2:25" ht="13.8" hidden="1">
      <c r="B30" s="41" t="s">
        <v>147</v>
      </c>
      <c r="C30" s="152" t="str">
        <f t="shared" si="6"/>
        <v>Apartment A2 WatHeat Electric  (E)|</v>
      </c>
      <c r="D30" s="152" t="str">
        <f>Commodities!$D$48</f>
        <v>RSDELC</v>
      </c>
      <c r="E30" s="153" t="str">
        <f>Commodities!$AA$26</f>
        <v>RSD_APA2_WH</v>
      </c>
      <c r="F30" s="165" t="e">
        <f>($H30*VLOOKUP(LEFT($B30,8),RSD_Stock!$H$22:$L$28,F$2,FALSE)*VLOOKUP($B30,RSD_Demands!C184:E231,F$2,FALSE)/1000)*(Stk_Mult)</f>
        <v>#DIV/0!</v>
      </c>
      <c r="G30" s="41"/>
      <c r="H30" s="221">
        <f t="shared" si="7"/>
        <v>1</v>
      </c>
      <c r="I30" s="222" t="e">
        <f t="shared" si="2"/>
        <v>#DIV/0!</v>
      </c>
      <c r="J30" s="222" t="e">
        <f t="shared" si="3"/>
        <v>#DIV/0!</v>
      </c>
      <c r="K30" s="222">
        <f>VLOOKUP(LEFT($B30,11),RSD_En_Balance!$C$109:$R$190,MATCH($D30,RSD_En_Balance!$D$109:$R$109,0)+1,FALSE)</f>
        <v>9.8234888399999984E-2</v>
      </c>
      <c r="L30" s="222" t="e">
        <f t="shared" si="4"/>
        <v>#DIV/0!</v>
      </c>
      <c r="M30" s="220"/>
      <c r="O30" s="8" t="s">
        <v>147</v>
      </c>
      <c r="P30" s="100" t="str">
        <f>Commodities!$AA$26&amp;"_"&amp;RIGHT(Commodities!$D$48,3)&amp;"_"&amp;$P$3&amp;"01"</f>
        <v>RSD_APA2_WH_ELC_E01</v>
      </c>
      <c r="Q30" s="100" t="str">
        <f>"Apartment A2 WatHeat Electric  (E)|"&amp;X30</f>
        <v>Apartment A2 WatHeat Electric  (E)|</v>
      </c>
      <c r="R30" s="101" t="str">
        <f>General!$B$2</f>
        <v>PJ</v>
      </c>
      <c r="S30" s="101" t="str">
        <f>General!$B$5</f>
        <v>GW</v>
      </c>
      <c r="T30" s="101" t="s">
        <v>125</v>
      </c>
      <c r="U30" s="101"/>
      <c r="V30" s="101"/>
      <c r="W30" s="8"/>
      <c r="X30" s="8"/>
      <c r="Y30" s="51"/>
    </row>
    <row r="31" spans="2:25" ht="13.8" hidden="1">
      <c r="B31" s="41" t="s">
        <v>147</v>
      </c>
      <c r="C31" s="41" t="str">
        <f t="shared" si="6"/>
        <v>Detached A3 WatHeat Coal  (E)|</v>
      </c>
      <c r="D31" s="41" t="str">
        <f>Commodities!$D$31</f>
        <v>RSDCOABIC</v>
      </c>
      <c r="E31" s="138" t="str">
        <f>Commodities!$AA$27</f>
        <v>RSD_DTA3_WH</v>
      </c>
      <c r="F31" s="179" t="e">
        <f>($H31*VLOOKUP(LEFT($B31,8),RSD_Stock!$H$22:$L$28,F$2,FALSE)*VLOOKUP($B31,RSD_Demands!C185:E232,F$2,FALSE)/1000)*(Stk_Mult)</f>
        <v>#DIV/0!</v>
      </c>
      <c r="G31" s="41"/>
      <c r="H31" s="218">
        <f t="shared" si="7"/>
        <v>12.5</v>
      </c>
      <c r="I31" s="219" t="e">
        <f t="shared" si="2"/>
        <v>#DIV/0!</v>
      </c>
      <c r="J31" s="219" t="e">
        <f t="shared" si="3"/>
        <v>#DIV/0!</v>
      </c>
      <c r="K31" s="219">
        <f>VLOOKUP(LEFT($B31,11),RSD_En_Balance!$C$109:$R$190,MATCH($D31,RSD_En_Balance!$D$109:$R$109,0)+1,FALSE)</f>
        <v>0</v>
      </c>
      <c r="L31" s="219" t="e">
        <f t="shared" si="4"/>
        <v>#DIV/0!</v>
      </c>
      <c r="M31" s="220" t="e">
        <f>SUM(I31:I36)/RSD_Stock!$E$25*1000</f>
        <v>#DIV/0!</v>
      </c>
      <c r="O31" s="8" t="s">
        <v>147</v>
      </c>
      <c r="P31" s="8" t="str">
        <f>Commodities!$AA$27&amp;"_"&amp;RIGHT(Commodities!$D$31,3)&amp;"_"&amp;$P$3&amp;"01"</f>
        <v>RSD_DTA3_WH_BIC_E01</v>
      </c>
      <c r="Q31" s="8" t="str">
        <f>"Detached A3 WatHeat Coal  (E)|"&amp;X31</f>
        <v>Detached A3 WatHeat Coal  (E)|</v>
      </c>
      <c r="R31" s="11" t="str">
        <f>General!$B$2</f>
        <v>PJ</v>
      </c>
      <c r="S31" s="11" t="str">
        <f>General!$B$5</f>
        <v>GW</v>
      </c>
      <c r="T31" s="11" t="s">
        <v>125</v>
      </c>
      <c r="U31" s="11"/>
      <c r="V31" s="11"/>
      <c r="W31" s="8"/>
      <c r="X31" s="8"/>
      <c r="Y31" s="51"/>
    </row>
    <row r="32" spans="2:25" ht="13.8" hidden="1">
      <c r="B32" s="41" t="s">
        <v>147</v>
      </c>
      <c r="C32" s="41" t="str">
        <f t="shared" si="6"/>
        <v>Detached A3 WatHeat Gas  (E)|</v>
      </c>
      <c r="D32" s="41" t="str">
        <f>Commodities!$D$37</f>
        <v>RSDGASNAT</v>
      </c>
      <c r="E32" s="138" t="str">
        <f>Commodities!$AA$27</f>
        <v>RSD_DTA3_WH</v>
      </c>
      <c r="F32" s="179" t="e">
        <f>($H32*VLOOKUP(LEFT($B32,8),RSD_Stock!$H$22:$L$28,F$2,FALSE)*VLOOKUP($B32,RSD_Demands!C186:E233,F$2,FALSE)/1000)*(Stk_Mult)</f>
        <v>#DIV/0!</v>
      </c>
      <c r="G32" s="41"/>
      <c r="H32" s="218">
        <f t="shared" si="7"/>
        <v>12.5</v>
      </c>
      <c r="I32" s="219" t="e">
        <f t="shared" si="2"/>
        <v>#DIV/0!</v>
      </c>
      <c r="J32" s="219" t="e">
        <f t="shared" si="3"/>
        <v>#DIV/0!</v>
      </c>
      <c r="K32" s="219">
        <f>VLOOKUP(LEFT($B32,11),RSD_En_Balance!$C$109:$R$190,MATCH($D32,RSD_En_Balance!$D$109:$R$109,0)+1,FALSE)</f>
        <v>6.8483068920000001</v>
      </c>
      <c r="L32" s="219" t="e">
        <f t="shared" si="4"/>
        <v>#DIV/0!</v>
      </c>
      <c r="M32" s="220"/>
      <c r="O32" s="8" t="s">
        <v>147</v>
      </c>
      <c r="P32" s="8" t="str">
        <f>Commodities!$AA$27&amp;"_"&amp;LEFT(RIGHT(Commodities!$D$37,6),3)&amp;"_"&amp;$P$3&amp;"01"</f>
        <v>RSD_DTA3_WH_GAS_E01</v>
      </c>
      <c r="Q32" s="8" t="str">
        <f>"Detached A3 WatHeat Gas  (E)|"&amp;X32</f>
        <v>Detached A3 WatHeat Gas  (E)|</v>
      </c>
      <c r="R32" s="11" t="str">
        <f>General!$B$2</f>
        <v>PJ</v>
      </c>
      <c r="S32" s="11" t="str">
        <f>General!$B$5</f>
        <v>GW</v>
      </c>
      <c r="T32" s="11" t="s">
        <v>125</v>
      </c>
      <c r="U32" s="11"/>
      <c r="V32" s="11"/>
      <c r="W32" s="8"/>
      <c r="X32" s="8"/>
      <c r="Y32" s="51"/>
    </row>
    <row r="33" spans="2:25" ht="13.8" hidden="1">
      <c r="B33" s="41" t="s">
        <v>147</v>
      </c>
      <c r="C33" s="41" t="str">
        <f t="shared" si="6"/>
        <v>Detached A3 WatHeat Dist. Heat (E)|</v>
      </c>
      <c r="D33" s="41" t="str">
        <f>Commodities!$D$56</f>
        <v>RSDLTHA3</v>
      </c>
      <c r="E33" s="138" t="str">
        <f>Commodities!$AA$27</f>
        <v>RSD_DTA3_WH</v>
      </c>
      <c r="F33" s="179" t="e">
        <f>($H33*VLOOKUP(LEFT($B33,8),RSD_Stock!$H$22:$L$28,F$2,FALSE)*VLOOKUP($B33,RSD_Demands!C187:E234,F$2,FALSE)/1000)*(Stk_Mult)</f>
        <v>#DIV/0!</v>
      </c>
      <c r="H33" s="218">
        <f t="shared" si="7"/>
        <v>12.5</v>
      </c>
      <c r="I33" s="219" t="e">
        <f t="shared" si="2"/>
        <v>#DIV/0!</v>
      </c>
      <c r="J33" s="219" t="e">
        <f t="shared" si="3"/>
        <v>#DIV/0!</v>
      </c>
      <c r="K33" s="219">
        <f>VLOOKUP(LEFT($B33,11),RSD_En_Balance!$C$109:$R$190,MATCH("RSDLTH",RSD_En_Balance!$D$109:$R$109,0)+1,FALSE)</f>
        <v>0</v>
      </c>
      <c r="L33" s="219" t="e">
        <f t="shared" si="4"/>
        <v>#DIV/0!</v>
      </c>
      <c r="M33" s="220"/>
      <c r="O33" s="8" t="s">
        <v>147</v>
      </c>
      <c r="P33" s="8" t="str">
        <f>Commodities!$AA$27&amp;"_"&amp;RIGHT(Commodities!$D$50,3)&amp;"_"&amp;$P$3&amp;"01"</f>
        <v>RSD_DTA3_WH_LTH_E01</v>
      </c>
      <c r="Q33" s="8" t="str">
        <f>"Detached A3 WatHeat Dist. Heat (E)|"&amp;X33</f>
        <v>Detached A3 WatHeat Dist. Heat (E)|</v>
      </c>
      <c r="R33" s="11" t="str">
        <f>General!$B$2</f>
        <v>PJ</v>
      </c>
      <c r="S33" s="11" t="str">
        <f>General!$B$5</f>
        <v>GW</v>
      </c>
      <c r="T33" s="11" t="s">
        <v>125</v>
      </c>
      <c r="U33" s="11"/>
      <c r="V33" s="11"/>
      <c r="W33" s="41"/>
      <c r="X33" s="41"/>
      <c r="Y33" s="51"/>
    </row>
    <row r="34" spans="2:25" ht="13.8" hidden="1">
      <c r="B34" s="41" t="s">
        <v>147</v>
      </c>
      <c r="C34" s="41" t="str">
        <f t="shared" ref="C34:C45" si="8">Q34</f>
        <v>Detached A3 WatHeat LPG  (E)|</v>
      </c>
      <c r="D34" s="41" t="str">
        <f>Commodities!$D$35</f>
        <v>RSDOILLPG</v>
      </c>
      <c r="E34" s="138" t="str">
        <f>Commodities!$AA$27</f>
        <v>RSD_DTA3_WH</v>
      </c>
      <c r="F34" s="179" t="e">
        <f>($H34*VLOOKUP(LEFT($B34,8),RSD_Stock!$H$22:$L$28,F$2,FALSE)*VLOOKUP($B34,RSD_Demands!C188:E235,F$2,FALSE)/1000)*(Stk_Mult)</f>
        <v>#DIV/0!</v>
      </c>
      <c r="H34" s="218">
        <f t="shared" si="7"/>
        <v>12.5</v>
      </c>
      <c r="I34" s="219" t="e">
        <f t="shared" si="2"/>
        <v>#DIV/0!</v>
      </c>
      <c r="J34" s="219" t="e">
        <f t="shared" si="3"/>
        <v>#DIV/0!</v>
      </c>
      <c r="K34" s="219">
        <f>VLOOKUP(LEFT($B34,11),RSD_En_Balance!$C$109:$R$190,MATCH($D34,RSD_En_Balance!$D$109:$R$109,0)+1,FALSE)</f>
        <v>0</v>
      </c>
      <c r="L34" s="219" t="e">
        <f t="shared" si="4"/>
        <v>#DIV/0!</v>
      </c>
      <c r="M34" s="220"/>
      <c r="O34" s="8" t="s">
        <v>147</v>
      </c>
      <c r="P34" s="8" t="str">
        <f>Commodities!$AA$27&amp;"_"&amp;RIGHT(Commodities!$D$35,3)&amp;"_"&amp;$P$3&amp;"01"</f>
        <v>RSD_DTA3_WH_LPG_E01</v>
      </c>
      <c r="Q34" s="8" t="str">
        <f>"Detached A3 WatHeat LPG  (E)|"&amp;X34</f>
        <v>Detached A3 WatHeat LPG  (E)|</v>
      </c>
      <c r="R34" s="11" t="str">
        <f>General!$B$2</f>
        <v>PJ</v>
      </c>
      <c r="S34" s="11" t="str">
        <f>General!$B$5</f>
        <v>GW</v>
      </c>
      <c r="T34" s="11" t="s">
        <v>125</v>
      </c>
      <c r="U34" s="11"/>
      <c r="V34" s="11"/>
      <c r="W34" s="51"/>
      <c r="X34" s="51"/>
      <c r="Y34" s="51"/>
    </row>
    <row r="35" spans="2:25" ht="13.8" hidden="1">
      <c r="B35" s="41" t="s">
        <v>147</v>
      </c>
      <c r="C35" s="41" t="str">
        <f t="shared" si="8"/>
        <v>Detached A3 WatHeat Wood  (E)|</v>
      </c>
      <c r="D35" s="41" t="str">
        <f>Commodities!$D$38</f>
        <v>RSDBIOLOG</v>
      </c>
      <c r="E35" s="138" t="str">
        <f>Commodities!$AA$27</f>
        <v>RSD_DTA3_WH</v>
      </c>
      <c r="F35" s="179" t="e">
        <f>($H35*VLOOKUP(LEFT($B35,8),RSD_Stock!$H$22:$L$28,F$2,FALSE)*VLOOKUP($B35,RSD_Demands!C189:E236,F$2,FALSE)/1000)*(Stk_Mult)</f>
        <v>#DIV/0!</v>
      </c>
      <c r="H35" s="218">
        <f t="shared" si="7"/>
        <v>12.5</v>
      </c>
      <c r="I35" s="219" t="e">
        <f t="shared" si="2"/>
        <v>#DIV/0!</v>
      </c>
      <c r="J35" s="219" t="e">
        <f t="shared" si="3"/>
        <v>#DIV/0!</v>
      </c>
      <c r="K35" s="219">
        <f>VLOOKUP(LEFT($B35,11),RSD_En_Balance!$C$109:$R$190,MATCH($D35,RSD_En_Balance!$D$109:$R$109,0)+1,FALSE)</f>
        <v>0.21980700000000003</v>
      </c>
      <c r="L35" s="219" t="e">
        <f t="shared" si="4"/>
        <v>#DIV/0!</v>
      </c>
      <c r="M35" s="220"/>
      <c r="O35" s="8" t="s">
        <v>147</v>
      </c>
      <c r="P35" s="8" t="str">
        <f>Commodities!$AA$27&amp;"_"&amp;RIGHT(Commodities!$D$38,3)&amp;"_"&amp;$P$3&amp;"01"</f>
        <v>RSD_DTA3_WH_LOG_E01</v>
      </c>
      <c r="Q35" s="8" t="str">
        <f>"Detached A3 WatHeat Wood  (E)|"&amp;X35</f>
        <v>Detached A3 WatHeat Wood  (E)|</v>
      </c>
      <c r="R35" s="11" t="str">
        <f>General!$B$2</f>
        <v>PJ</v>
      </c>
      <c r="S35" s="11" t="str">
        <f>General!$B$5</f>
        <v>GW</v>
      </c>
      <c r="T35" s="11" t="s">
        <v>125</v>
      </c>
      <c r="U35" s="11"/>
      <c r="V35" s="11"/>
      <c r="W35" s="51"/>
      <c r="X35" s="51"/>
      <c r="Y35" s="51"/>
    </row>
    <row r="36" spans="2:25" ht="13.8" hidden="1">
      <c r="B36" s="41" t="s">
        <v>147</v>
      </c>
      <c r="C36" s="152" t="str">
        <f t="shared" si="8"/>
        <v>Detached A3 WatHeat Electric  (E)|</v>
      </c>
      <c r="D36" s="152" t="str">
        <f>Commodities!$D$48</f>
        <v>RSDELC</v>
      </c>
      <c r="E36" s="153" t="str">
        <f>Commodities!$AA$27</f>
        <v>RSD_DTA3_WH</v>
      </c>
      <c r="F36" s="165" t="e">
        <f>($H36*VLOOKUP(LEFT($B36,8),RSD_Stock!$H$22:$L$28,F$2,FALSE)*VLOOKUP($B36,RSD_Demands!C190:E237,F$2,FALSE)/1000)*(Stk_Mult)</f>
        <v>#DIV/0!</v>
      </c>
      <c r="H36" s="221">
        <f t="shared" si="7"/>
        <v>2</v>
      </c>
      <c r="I36" s="222" t="e">
        <f t="shared" si="2"/>
        <v>#DIV/0!</v>
      </c>
      <c r="J36" s="222" t="e">
        <f t="shared" si="3"/>
        <v>#DIV/0!</v>
      </c>
      <c r="K36" s="222">
        <f>VLOOKUP(LEFT($B36,11),RSD_En_Balance!$C$109:$R$190,MATCH($D36,RSD_En_Balance!$D$109:$R$109,0)+1,FALSE)</f>
        <v>9.8234888399999984E-2</v>
      </c>
      <c r="L36" s="222" t="e">
        <f t="shared" si="4"/>
        <v>#DIV/0!</v>
      </c>
      <c r="M36" s="220"/>
      <c r="O36" s="8" t="s">
        <v>147</v>
      </c>
      <c r="P36" s="100" t="str">
        <f>Commodities!$AA$27&amp;"_"&amp;RIGHT(Commodities!$D$48,3)&amp;"_"&amp;$P$3&amp;"01"</f>
        <v>RSD_DTA3_WH_ELC_E01</v>
      </c>
      <c r="Q36" s="100" t="str">
        <f>"Detached A3 WatHeat Electric  (E)|"&amp;X36</f>
        <v>Detached A3 WatHeat Electric  (E)|</v>
      </c>
      <c r="R36" s="101" t="str">
        <f>General!$B$2</f>
        <v>PJ</v>
      </c>
      <c r="S36" s="101" t="str">
        <f>General!$B$5</f>
        <v>GW</v>
      </c>
      <c r="T36" s="101" t="s">
        <v>125</v>
      </c>
      <c r="U36" s="101"/>
      <c r="V36" s="101"/>
      <c r="W36" s="51"/>
      <c r="X36" s="51"/>
      <c r="Y36" s="51"/>
    </row>
    <row r="37" spans="2:25" ht="13.8" hidden="1">
      <c r="B37" s="41" t="s">
        <v>147</v>
      </c>
      <c r="C37" s="41" t="str">
        <f t="shared" si="8"/>
        <v>Apartment A3 WatHeat Coal  (E)|</v>
      </c>
      <c r="D37" s="41" t="str">
        <f>Commodities!$D$31</f>
        <v>RSDCOABIC</v>
      </c>
      <c r="E37" s="138" t="str">
        <f>Commodities!$AA$28</f>
        <v>RSD_APA3_WH</v>
      </c>
      <c r="F37" s="179" t="e">
        <f>($H37*VLOOKUP(LEFT($B37,8),RSD_Stock!$H$22:$L$28,F$2,FALSE)*VLOOKUP($B37,RSD_Demands!C191:E238,F$2,FALSE)/1000)*(Stk_Mult)</f>
        <v>#DIV/0!</v>
      </c>
      <c r="H37" s="218">
        <f t="shared" si="7"/>
        <v>4.25</v>
      </c>
      <c r="I37" s="219" t="e">
        <f t="shared" si="2"/>
        <v>#DIV/0!</v>
      </c>
      <c r="J37" s="219" t="e">
        <f t="shared" si="3"/>
        <v>#DIV/0!</v>
      </c>
      <c r="K37" s="219">
        <f>VLOOKUP(LEFT($B37,11),RSD_En_Balance!$C$109:$R$190,MATCH($D37,RSD_En_Balance!$D$109:$R$109,0)+1,FALSE)</f>
        <v>0</v>
      </c>
      <c r="L37" s="219" t="e">
        <f t="shared" si="4"/>
        <v>#DIV/0!</v>
      </c>
      <c r="M37" s="220" t="e">
        <f>SUM(I37:I42)/RSD_Stock!$E$26*1000</f>
        <v>#DIV/0!</v>
      </c>
      <c r="O37" s="8" t="s">
        <v>147</v>
      </c>
      <c r="P37" s="8" t="str">
        <f>Commodities!$AA$28&amp;"_"&amp;RIGHT(Commodities!$D$31,3)&amp;"_"&amp;$P$3&amp;"01"</f>
        <v>RSD_APA3_WH_BIC_E01</v>
      </c>
      <c r="Q37" s="8" t="str">
        <f>"Apartment A3 WatHeat Coal  (E)|"&amp;X37</f>
        <v>Apartment A3 WatHeat Coal  (E)|</v>
      </c>
      <c r="R37" s="11" t="str">
        <f>General!$B$2</f>
        <v>PJ</v>
      </c>
      <c r="S37" s="11" t="str">
        <f>General!$B$5</f>
        <v>GW</v>
      </c>
      <c r="T37" s="11" t="s">
        <v>125</v>
      </c>
      <c r="U37" s="11"/>
      <c r="V37" s="11"/>
      <c r="W37" s="51"/>
      <c r="X37" s="51"/>
      <c r="Y37" s="51"/>
    </row>
    <row r="38" spans="2:25" ht="13.8" hidden="1">
      <c r="B38" s="41" t="s">
        <v>147</v>
      </c>
      <c r="C38" s="41" t="str">
        <f t="shared" si="8"/>
        <v>Apartment A3 WatHeat Gas  (E)|</v>
      </c>
      <c r="D38" s="41" t="str">
        <f>Commodities!$D$37</f>
        <v>RSDGASNAT</v>
      </c>
      <c r="E38" s="138" t="str">
        <f>Commodities!$AA$28</f>
        <v>RSD_APA3_WH</v>
      </c>
      <c r="F38" s="179" t="e">
        <f>($H38*VLOOKUP(LEFT($B38,8),RSD_Stock!$H$22:$L$28,F$2,FALSE)*VLOOKUP($B38,RSD_Demands!C192:E239,F$2,FALSE)/1000)*(Stk_Mult)</f>
        <v>#DIV/0!</v>
      </c>
      <c r="H38" s="218">
        <f t="shared" si="7"/>
        <v>4.25</v>
      </c>
      <c r="I38" s="219" t="e">
        <f t="shared" si="2"/>
        <v>#DIV/0!</v>
      </c>
      <c r="J38" s="219" t="e">
        <f t="shared" si="3"/>
        <v>#DIV/0!</v>
      </c>
      <c r="K38" s="219">
        <f>VLOOKUP(LEFT($B38,11),RSD_En_Balance!$C$109:$R$190,MATCH($D38,RSD_En_Balance!$D$109:$R$109,0)+1,FALSE)</f>
        <v>6.8483068920000001</v>
      </c>
      <c r="L38" s="219" t="e">
        <f t="shared" si="4"/>
        <v>#DIV/0!</v>
      </c>
      <c r="M38" s="220"/>
      <c r="O38" s="8" t="s">
        <v>147</v>
      </c>
      <c r="P38" s="8" t="str">
        <f>Commodities!$AA$28&amp;"_"&amp;LEFT(RIGHT(Commodities!$D$37,6),3)&amp;"_"&amp;$P$3&amp;"01"</f>
        <v>RSD_APA3_WH_GAS_E01</v>
      </c>
      <c r="Q38" s="8" t="str">
        <f>"Apartment A3 WatHeat Gas  (E)|"&amp;X38</f>
        <v>Apartment A3 WatHeat Gas  (E)|</v>
      </c>
      <c r="R38" s="11" t="str">
        <f>General!$B$2</f>
        <v>PJ</v>
      </c>
      <c r="S38" s="11" t="str">
        <f>General!$B$5</f>
        <v>GW</v>
      </c>
      <c r="T38" s="11" t="s">
        <v>125</v>
      </c>
      <c r="U38" s="11"/>
      <c r="V38" s="11"/>
      <c r="W38" s="51"/>
      <c r="X38" s="51"/>
      <c r="Y38" s="51"/>
    </row>
    <row r="39" spans="2:25" ht="13.8" hidden="1">
      <c r="B39" s="41" t="s">
        <v>147</v>
      </c>
      <c r="C39" s="41" t="str">
        <f t="shared" si="8"/>
        <v>Apartment A3 WatHeat Dist. Heat (E)|</v>
      </c>
      <c r="D39" s="41" t="str">
        <f>Commodities!$D$56</f>
        <v>RSDLTHA3</v>
      </c>
      <c r="E39" s="138" t="str">
        <f>Commodities!$AA$28</f>
        <v>RSD_APA3_WH</v>
      </c>
      <c r="F39" s="179" t="e">
        <f>($H39*VLOOKUP(LEFT($B39,8),RSD_Stock!$H$22:$L$28,F$2,FALSE)*VLOOKUP($B39,RSD_Demands!C193:E240,F$2,FALSE)/1000)*(Stk_Mult)</f>
        <v>#DIV/0!</v>
      </c>
      <c r="H39" s="218">
        <f t="shared" si="7"/>
        <v>4.25</v>
      </c>
      <c r="I39" s="219" t="e">
        <f t="shared" si="2"/>
        <v>#DIV/0!</v>
      </c>
      <c r="J39" s="219" t="e">
        <f t="shared" si="3"/>
        <v>#DIV/0!</v>
      </c>
      <c r="K39" s="219">
        <f>VLOOKUP(LEFT($B39,11),RSD_En_Balance!$C$109:$R$190,MATCH("RSDLTH",RSD_En_Balance!$D$109:$R$109,0)+1,FALSE)</f>
        <v>0</v>
      </c>
      <c r="L39" s="219" t="e">
        <f t="shared" si="4"/>
        <v>#DIV/0!</v>
      </c>
      <c r="M39" s="220"/>
      <c r="O39" s="8" t="s">
        <v>147</v>
      </c>
      <c r="P39" s="8" t="str">
        <f>Commodities!$AA$28&amp;"_"&amp;RIGHT(Commodities!$D$50,3)&amp;"_"&amp;$P$3&amp;"01"</f>
        <v>RSD_APA3_WH_LTH_E01</v>
      </c>
      <c r="Q39" s="8" t="str">
        <f>"Apartment A3 WatHeat Dist. Heat (E)|"&amp;X39</f>
        <v>Apartment A3 WatHeat Dist. Heat (E)|</v>
      </c>
      <c r="R39" s="11" t="str">
        <f>General!$B$2</f>
        <v>PJ</v>
      </c>
      <c r="S39" s="11" t="str">
        <f>General!$B$5</f>
        <v>GW</v>
      </c>
      <c r="T39" s="11" t="s">
        <v>125</v>
      </c>
      <c r="U39" s="11"/>
      <c r="V39" s="11"/>
      <c r="W39" s="51"/>
      <c r="X39" s="51"/>
      <c r="Y39" s="51"/>
    </row>
    <row r="40" spans="2:25" ht="13.8" hidden="1">
      <c r="B40" s="41" t="s">
        <v>147</v>
      </c>
      <c r="C40" s="41" t="str">
        <f t="shared" si="8"/>
        <v>Apartment A3 WatHeat LPG  (E)|</v>
      </c>
      <c r="D40" s="41" t="str">
        <f>Commodities!$D$35</f>
        <v>RSDOILLPG</v>
      </c>
      <c r="E40" s="138" t="str">
        <f>Commodities!$AA$28</f>
        <v>RSD_APA3_WH</v>
      </c>
      <c r="F40" s="179" t="e">
        <f>($H40*VLOOKUP(LEFT($B40,8),RSD_Stock!$H$22:$L$28,F$2,FALSE)*VLOOKUP($B40,RSD_Demands!C194:E241,F$2,FALSE)/1000)*(Stk_Mult)</f>
        <v>#DIV/0!</v>
      </c>
      <c r="H40" s="218">
        <f t="shared" si="7"/>
        <v>4.25</v>
      </c>
      <c r="I40" s="219" t="e">
        <f t="shared" si="2"/>
        <v>#DIV/0!</v>
      </c>
      <c r="J40" s="219" t="e">
        <f t="shared" si="3"/>
        <v>#DIV/0!</v>
      </c>
      <c r="K40" s="219">
        <f>VLOOKUP(LEFT($B40,11),RSD_En_Balance!$C$109:$R$190,MATCH($D40,RSD_En_Balance!$D$109:$R$109,0)+1,FALSE)</f>
        <v>0</v>
      </c>
      <c r="L40" s="219" t="e">
        <f t="shared" si="4"/>
        <v>#DIV/0!</v>
      </c>
      <c r="M40" s="220"/>
      <c r="O40" s="8" t="s">
        <v>147</v>
      </c>
      <c r="P40" s="8" t="str">
        <f>Commodities!$AA$28&amp;"_"&amp;RIGHT(Commodities!$D$35,3)&amp;"_"&amp;$P$3&amp;"01"</f>
        <v>RSD_APA3_WH_LPG_E01</v>
      </c>
      <c r="Q40" s="8" t="str">
        <f>"Apartment A3 WatHeat LPG  (E)|"&amp;X40</f>
        <v>Apartment A3 WatHeat LPG  (E)|</v>
      </c>
      <c r="R40" s="11" t="str">
        <f>General!$B$2</f>
        <v>PJ</v>
      </c>
      <c r="S40" s="11" t="str">
        <f>General!$B$5</f>
        <v>GW</v>
      </c>
      <c r="T40" s="11" t="s">
        <v>125</v>
      </c>
      <c r="U40" s="11"/>
      <c r="V40" s="11"/>
      <c r="W40" s="51"/>
      <c r="X40" s="51"/>
      <c r="Y40" s="51"/>
    </row>
    <row r="41" spans="2:25" ht="13.8" hidden="1">
      <c r="B41" s="41" t="s">
        <v>147</v>
      </c>
      <c r="C41" s="41" t="str">
        <f t="shared" si="8"/>
        <v>Apartment A3 WatHeat Wood  (E)|</v>
      </c>
      <c r="D41" s="41" t="str">
        <f>Commodities!$D$38</f>
        <v>RSDBIOLOG</v>
      </c>
      <c r="E41" s="138" t="str">
        <f>Commodities!$AA$28</f>
        <v>RSD_APA3_WH</v>
      </c>
      <c r="F41" s="179" t="e">
        <f>($H41*VLOOKUP(LEFT($B41,8),RSD_Stock!$H$22:$L$28,F$2,FALSE)*VLOOKUP($B41,RSD_Demands!C195:E242,F$2,FALSE)/1000)*(Stk_Mult)</f>
        <v>#DIV/0!</v>
      </c>
      <c r="H41" s="218">
        <f t="shared" si="7"/>
        <v>4.25</v>
      </c>
      <c r="I41" s="219" t="e">
        <f t="shared" si="2"/>
        <v>#DIV/0!</v>
      </c>
      <c r="J41" s="219" t="e">
        <f t="shared" si="3"/>
        <v>#DIV/0!</v>
      </c>
      <c r="K41" s="219">
        <f>VLOOKUP(LEFT($B41,11),RSD_En_Balance!$C$109:$R$190,MATCH($D41,RSD_En_Balance!$D$109:$R$109,0)+1,FALSE)</f>
        <v>0.21980700000000003</v>
      </c>
      <c r="L41" s="219" t="e">
        <f t="shared" si="4"/>
        <v>#DIV/0!</v>
      </c>
      <c r="M41" s="220"/>
      <c r="O41" s="8" t="s">
        <v>147</v>
      </c>
      <c r="P41" s="8" t="str">
        <f>Commodities!$AA$28&amp;"_"&amp;RIGHT(Commodities!$D$38,3)&amp;"_"&amp;$P$3&amp;"01"</f>
        <v>RSD_APA3_WH_LOG_E01</v>
      </c>
      <c r="Q41" s="8" t="str">
        <f>"Apartment A3 WatHeat Wood  (E)|"&amp;X41</f>
        <v>Apartment A3 WatHeat Wood  (E)|</v>
      </c>
      <c r="R41" s="11" t="str">
        <f>General!$B$2</f>
        <v>PJ</v>
      </c>
      <c r="S41" s="11" t="str">
        <f>General!$B$5</f>
        <v>GW</v>
      </c>
      <c r="T41" s="11" t="s">
        <v>125</v>
      </c>
      <c r="U41" s="11"/>
      <c r="V41" s="11"/>
      <c r="W41" s="51"/>
      <c r="X41" s="51"/>
      <c r="Y41" s="51"/>
    </row>
    <row r="42" spans="2:25" ht="13.8" hidden="1">
      <c r="B42" s="41" t="s">
        <v>147</v>
      </c>
      <c r="C42" s="152" t="str">
        <f t="shared" si="8"/>
        <v>Apartment A3 WatHeat Electric  (E)|</v>
      </c>
      <c r="D42" s="152" t="str">
        <f>Commodities!$D$48</f>
        <v>RSDELC</v>
      </c>
      <c r="E42" s="153" t="str">
        <f>Commodities!$AA$28</f>
        <v>RSD_APA3_WH</v>
      </c>
      <c r="F42" s="165" t="e">
        <f>($H42*VLOOKUP(LEFT($B42,8),RSD_Stock!$H$22:$L$28,F$2,FALSE)*VLOOKUP($B42,RSD_Demands!C196:E243,F$2,FALSE)/1000)*(Stk_Mult)</f>
        <v>#DIV/0!</v>
      </c>
      <c r="H42" s="221">
        <f t="shared" si="7"/>
        <v>1</v>
      </c>
      <c r="I42" s="222" t="e">
        <f t="shared" si="2"/>
        <v>#DIV/0!</v>
      </c>
      <c r="J42" s="222" t="e">
        <f t="shared" si="3"/>
        <v>#DIV/0!</v>
      </c>
      <c r="K42" s="222">
        <f>VLOOKUP(LEFT($B42,11),RSD_En_Balance!$C$109:$R$190,MATCH($D42,RSD_En_Balance!$D$109:$R$109,0)+1,FALSE)</f>
        <v>9.8234888399999984E-2</v>
      </c>
      <c r="L42" s="222" t="e">
        <f t="shared" si="4"/>
        <v>#DIV/0!</v>
      </c>
      <c r="M42" s="220"/>
      <c r="O42" s="8" t="s">
        <v>147</v>
      </c>
      <c r="P42" s="100" t="str">
        <f>Commodities!$AA$28&amp;"_"&amp;RIGHT(Commodities!$D$48,3)&amp;"_"&amp;$P$3&amp;"01"</f>
        <v>RSD_APA3_WH_ELC_E01</v>
      </c>
      <c r="Q42" s="100" t="str">
        <f>"Apartment A3 WatHeat Electric  (E)|"&amp;X42</f>
        <v>Apartment A3 WatHeat Electric  (E)|</v>
      </c>
      <c r="R42" s="101" t="str">
        <f>General!$B$2</f>
        <v>PJ</v>
      </c>
      <c r="S42" s="101" t="str">
        <f>General!$B$5</f>
        <v>GW</v>
      </c>
      <c r="T42" s="101" t="s">
        <v>125</v>
      </c>
      <c r="U42" s="101"/>
      <c r="V42" s="101"/>
      <c r="W42" s="51"/>
      <c r="X42" s="51"/>
      <c r="Y42" s="51"/>
    </row>
    <row r="43" spans="2:25" ht="13.8" hidden="1">
      <c r="B43" s="41" t="s">
        <v>147</v>
      </c>
      <c r="C43" s="41" t="str">
        <f t="shared" si="8"/>
        <v>Detached A4 WatHeat Coal  (E)|</v>
      </c>
      <c r="D43" s="41" t="str">
        <f>Commodities!$D$31</f>
        <v>RSDCOABIC</v>
      </c>
      <c r="E43" s="138" t="str">
        <f>Commodities!$AA$29</f>
        <v>RSD_DTA4_WH</v>
      </c>
      <c r="F43" s="179" t="e">
        <f>($H43*VLOOKUP(LEFT($B43,8),RSD_Stock!$H$22:$L$28,F$2,FALSE)*VLOOKUP($B43,RSD_Demands!C197:E244,F$2,FALSE)/1000)*(Stk_Mult)</f>
        <v>#DIV/0!</v>
      </c>
      <c r="G43" s="41"/>
      <c r="H43" s="218">
        <f t="shared" si="7"/>
        <v>12.5</v>
      </c>
      <c r="I43" s="219" t="e">
        <f t="shared" si="2"/>
        <v>#DIV/0!</v>
      </c>
      <c r="J43" s="219" t="e">
        <f t="shared" si="3"/>
        <v>#DIV/0!</v>
      </c>
      <c r="K43" s="219">
        <f>VLOOKUP(LEFT($B43,11),RSD_En_Balance!$C$109:$R$190,MATCH($D43,RSD_En_Balance!$D$109:$R$109,0)+1,FALSE)</f>
        <v>0</v>
      </c>
      <c r="L43" s="219" t="e">
        <f t="shared" si="4"/>
        <v>#DIV/0!</v>
      </c>
      <c r="M43" s="220" t="e">
        <f>SUM(I43:I48)/RSD_Stock!$E$27*1000</f>
        <v>#DIV/0!</v>
      </c>
      <c r="O43" s="8" t="s">
        <v>147</v>
      </c>
      <c r="P43" s="8" t="str">
        <f>Commodities!$AA$29&amp;"_"&amp;RIGHT(Commodities!$D$31,3)&amp;"_"&amp;$P$3&amp;"01"</f>
        <v>RSD_DTA4_WH_BIC_E01</v>
      </c>
      <c r="Q43" s="8" t="str">
        <f>"Detached A4 WatHeat Coal  (E)|"&amp;X43</f>
        <v>Detached A4 WatHeat Coal  (E)|</v>
      </c>
      <c r="R43" s="11" t="str">
        <f>General!$B$2</f>
        <v>PJ</v>
      </c>
      <c r="S43" s="11" t="str">
        <f>General!$B$5</f>
        <v>GW</v>
      </c>
      <c r="T43" s="11" t="s">
        <v>125</v>
      </c>
      <c r="U43" s="11"/>
      <c r="V43" s="11"/>
      <c r="W43" s="51"/>
      <c r="X43" s="51"/>
      <c r="Y43" s="51"/>
    </row>
    <row r="44" spans="2:25" ht="13.8" hidden="1">
      <c r="B44" s="41" t="s">
        <v>147</v>
      </c>
      <c r="C44" s="41" t="str">
        <f t="shared" si="8"/>
        <v>Detached A4 WatHeat Gas  (E)|</v>
      </c>
      <c r="D44" s="41" t="str">
        <f>Commodities!$D$37</f>
        <v>RSDGASNAT</v>
      </c>
      <c r="E44" s="138" t="str">
        <f>Commodities!$AA$29</f>
        <v>RSD_DTA4_WH</v>
      </c>
      <c r="F44" s="179" t="e">
        <f>($H44*VLOOKUP(LEFT($B44,8),RSD_Stock!$H$22:$L$28,F$2,FALSE)*VLOOKUP($B44,RSD_Demands!C198:E245,F$2,FALSE)/1000)*(Stk_Mult)</f>
        <v>#DIV/0!</v>
      </c>
      <c r="G44" s="41"/>
      <c r="H44" s="218">
        <f t="shared" si="7"/>
        <v>12.5</v>
      </c>
      <c r="I44" s="219" t="e">
        <f t="shared" si="2"/>
        <v>#DIV/0!</v>
      </c>
      <c r="J44" s="219" t="e">
        <f t="shared" si="3"/>
        <v>#DIV/0!</v>
      </c>
      <c r="K44" s="219">
        <f>VLOOKUP(LEFT($B44,11),RSD_En_Balance!$C$109:$R$190,MATCH($D44,RSD_En_Balance!$D$109:$R$109,0)+1,FALSE)</f>
        <v>6.8483068920000001</v>
      </c>
      <c r="L44" s="219" t="e">
        <f t="shared" si="4"/>
        <v>#DIV/0!</v>
      </c>
      <c r="M44" s="220"/>
      <c r="O44" s="8" t="s">
        <v>147</v>
      </c>
      <c r="P44" s="8" t="str">
        <f>Commodities!$AA$29&amp;"_"&amp;LEFT(RIGHT(Commodities!$D$37,6),3)&amp;"_"&amp;$P$3&amp;"01"</f>
        <v>RSD_DTA4_WH_GAS_E01</v>
      </c>
      <c r="Q44" s="8" t="str">
        <f>"Detached A4 WatHeat Gas  (E)|"&amp;X44</f>
        <v>Detached A4 WatHeat Gas  (E)|</v>
      </c>
      <c r="R44" s="11" t="str">
        <f>General!$B$2</f>
        <v>PJ</v>
      </c>
      <c r="S44" s="11" t="str">
        <f>General!$B$5</f>
        <v>GW</v>
      </c>
      <c r="T44" s="11" t="s">
        <v>125</v>
      </c>
      <c r="U44" s="11"/>
      <c r="V44" s="11"/>
      <c r="X44" s="11"/>
      <c r="Y44" s="51"/>
    </row>
    <row r="45" spans="2:25" ht="13.8" hidden="1">
      <c r="B45" s="41" t="s">
        <v>147</v>
      </c>
      <c r="C45" s="41" t="str">
        <f t="shared" si="8"/>
        <v>Detached A4 WatHeat Dist. Heat (E)|</v>
      </c>
      <c r="D45" s="41" t="str">
        <f>Commodities!$D$57</f>
        <v>RSDLTHA4</v>
      </c>
      <c r="E45" s="138" t="str">
        <f>Commodities!$AA$29</f>
        <v>RSD_DTA4_WH</v>
      </c>
      <c r="F45" s="179" t="e">
        <f>($H45*VLOOKUP(LEFT($B45,8),RSD_Stock!$H$22:$L$28,F$2,FALSE)*VLOOKUP($B45,RSD_Demands!C199:E246,F$2,FALSE)/1000)*(Stk_Mult)</f>
        <v>#DIV/0!</v>
      </c>
      <c r="H45" s="218">
        <f t="shared" si="7"/>
        <v>12.5</v>
      </c>
      <c r="I45" s="219" t="e">
        <f t="shared" si="2"/>
        <v>#DIV/0!</v>
      </c>
      <c r="J45" s="219" t="e">
        <f t="shared" si="3"/>
        <v>#DIV/0!</v>
      </c>
      <c r="K45" s="219">
        <f>VLOOKUP(LEFT($B45,11),RSD_En_Balance!$C$109:$R$190,MATCH("RSDLTH",RSD_En_Balance!$D$109:$R$109,0)+1,FALSE)</f>
        <v>0</v>
      </c>
      <c r="L45" s="219" t="e">
        <f t="shared" si="4"/>
        <v>#DIV/0!</v>
      </c>
      <c r="M45" s="220"/>
      <c r="O45" s="8" t="s">
        <v>147</v>
      </c>
      <c r="P45" s="8" t="str">
        <f>Commodities!$AA$29&amp;"_"&amp;RIGHT(Commodities!$D$50,3)&amp;"_"&amp;$P$3&amp;"01"</f>
        <v>RSD_DTA4_WH_LTH_E01</v>
      </c>
      <c r="Q45" s="8" t="str">
        <f>"Detached A4 WatHeat Dist. Heat (E)|"&amp;X45</f>
        <v>Detached A4 WatHeat Dist. Heat (E)|</v>
      </c>
      <c r="R45" s="11" t="str">
        <f>General!$B$2</f>
        <v>PJ</v>
      </c>
      <c r="S45" s="11" t="str">
        <f>General!$B$5</f>
        <v>GW</v>
      </c>
      <c r="T45" s="11" t="s">
        <v>125</v>
      </c>
      <c r="U45" s="11"/>
      <c r="V45" s="11"/>
      <c r="Y45" s="51"/>
    </row>
    <row r="46" spans="2:25" ht="13.8" hidden="1">
      <c r="B46" s="41" t="s">
        <v>147</v>
      </c>
      <c r="C46" s="41" t="str">
        <f t="shared" ref="C46:C54" si="9">Q46</f>
        <v>Detached A4 WatHeat LPG  (E)|</v>
      </c>
      <c r="D46" s="41" t="str">
        <f>Commodities!$D$35</f>
        <v>RSDOILLPG</v>
      </c>
      <c r="E46" s="138" t="str">
        <f>Commodities!$AA$29</f>
        <v>RSD_DTA4_WH</v>
      </c>
      <c r="F46" s="179" t="e">
        <f>($H46*VLOOKUP(LEFT($B46,8),RSD_Stock!$H$22:$L$28,F$2,FALSE)*VLOOKUP($B46,RSD_Demands!C200:E247,F$2,FALSE)/1000)*(Stk_Mult)</f>
        <v>#DIV/0!</v>
      </c>
      <c r="H46" s="218">
        <f t="shared" si="7"/>
        <v>12.5</v>
      </c>
      <c r="I46" s="219" t="e">
        <f t="shared" si="2"/>
        <v>#DIV/0!</v>
      </c>
      <c r="J46" s="219" t="e">
        <f t="shared" si="3"/>
        <v>#DIV/0!</v>
      </c>
      <c r="K46" s="219">
        <f>VLOOKUP(LEFT($B46,11),RSD_En_Balance!$C$109:$R$190,MATCH($D46,RSD_En_Balance!$D$109:$R$109,0)+1,FALSE)</f>
        <v>0</v>
      </c>
      <c r="L46" s="219" t="e">
        <f t="shared" si="4"/>
        <v>#DIV/0!</v>
      </c>
      <c r="M46" s="220"/>
      <c r="O46" s="8" t="s">
        <v>147</v>
      </c>
      <c r="P46" s="8" t="str">
        <f>Commodities!$AA$29&amp;"_"&amp;RIGHT(Commodities!$D$35,3)&amp;"_"&amp;$P$3&amp;"01"</f>
        <v>RSD_DTA4_WH_LPG_E01</v>
      </c>
      <c r="Q46" s="8" t="str">
        <f>"Detached A4 WatHeat LPG  (E)|"&amp;X46</f>
        <v>Detached A4 WatHeat LPG  (E)|</v>
      </c>
      <c r="R46" s="11" t="str">
        <f>General!$B$2</f>
        <v>PJ</v>
      </c>
      <c r="S46" s="11" t="str">
        <f>General!$B$5</f>
        <v>GW</v>
      </c>
      <c r="T46" s="11" t="s">
        <v>125</v>
      </c>
      <c r="U46" s="11"/>
      <c r="V46" s="11"/>
      <c r="Y46" s="51"/>
    </row>
    <row r="47" spans="2:25" ht="13.8" hidden="1">
      <c r="B47" s="41" t="s">
        <v>147</v>
      </c>
      <c r="C47" s="41" t="str">
        <f t="shared" si="9"/>
        <v>Detached A4 WatHeat Wood  (E)|</v>
      </c>
      <c r="D47" s="41" t="str">
        <f>Commodities!$D$38</f>
        <v>RSDBIOLOG</v>
      </c>
      <c r="E47" s="138" t="str">
        <f>Commodities!$AA$29</f>
        <v>RSD_DTA4_WH</v>
      </c>
      <c r="F47" s="179" t="e">
        <f>($H47*VLOOKUP(LEFT($B47,8),RSD_Stock!$H$22:$L$28,F$2,FALSE)*VLOOKUP($B47,RSD_Demands!C201:E248,F$2,FALSE)/1000)*(Stk_Mult)</f>
        <v>#DIV/0!</v>
      </c>
      <c r="H47" s="218">
        <f t="shared" si="7"/>
        <v>12.5</v>
      </c>
      <c r="I47" s="219" t="e">
        <f t="shared" si="2"/>
        <v>#DIV/0!</v>
      </c>
      <c r="J47" s="219" t="e">
        <f t="shared" si="3"/>
        <v>#DIV/0!</v>
      </c>
      <c r="K47" s="219">
        <f>VLOOKUP(LEFT($B47,11),RSD_En_Balance!$C$109:$R$190,MATCH($D47,RSD_En_Balance!$D$109:$R$109,0)+1,FALSE)</f>
        <v>0.21980700000000003</v>
      </c>
      <c r="L47" s="219" t="e">
        <f t="shared" si="4"/>
        <v>#DIV/0!</v>
      </c>
      <c r="M47" s="223"/>
      <c r="N47" s="41"/>
      <c r="O47" s="8" t="s">
        <v>147</v>
      </c>
      <c r="P47" s="8" t="str">
        <f>Commodities!$AA$29&amp;"_"&amp;RIGHT(Commodities!$D$38,3)&amp;"_"&amp;$P$3&amp;"01"</f>
        <v>RSD_DTA4_WH_LOG_E01</v>
      </c>
      <c r="Q47" s="8" t="str">
        <f>"Detached A4 WatHeat Wood  (E)|"&amp;X47</f>
        <v>Detached A4 WatHeat Wood  (E)|</v>
      </c>
      <c r="R47" s="11" t="str">
        <f>General!$B$2</f>
        <v>PJ</v>
      </c>
      <c r="S47" s="11" t="str">
        <f>General!$B$5</f>
        <v>GW</v>
      </c>
      <c r="T47" s="11" t="s">
        <v>125</v>
      </c>
      <c r="U47" s="11"/>
      <c r="V47" s="11"/>
      <c r="Y47" s="11"/>
    </row>
    <row r="48" spans="2:25" ht="13.8" hidden="1">
      <c r="B48" s="41" t="s">
        <v>147</v>
      </c>
      <c r="C48" s="152" t="str">
        <f t="shared" si="9"/>
        <v>Detached A4 WatHeat Electric  (E)|</v>
      </c>
      <c r="D48" s="152" t="str">
        <f>Commodities!$D$48</f>
        <v>RSDELC</v>
      </c>
      <c r="E48" s="153" t="str">
        <f>Commodities!$AA$29</f>
        <v>RSD_DTA4_WH</v>
      </c>
      <c r="F48" s="165" t="e">
        <f>($H48*VLOOKUP(LEFT($B48,8),RSD_Stock!$H$22:$L$28,F$2,FALSE)*VLOOKUP($B48,RSD_Demands!C202:E249,F$2,FALSE)/1000)*(Stk_Mult)</f>
        <v>#DIV/0!</v>
      </c>
      <c r="H48" s="221">
        <f t="shared" si="7"/>
        <v>2</v>
      </c>
      <c r="I48" s="222" t="e">
        <f t="shared" si="2"/>
        <v>#DIV/0!</v>
      </c>
      <c r="J48" s="222" t="e">
        <f t="shared" si="3"/>
        <v>#DIV/0!</v>
      </c>
      <c r="K48" s="222">
        <f>VLOOKUP(LEFT($B48,11),RSD_En_Balance!$C$109:$R$190,MATCH($D48,RSD_En_Balance!$D$109:$R$109,0)+1,FALSE)</f>
        <v>9.8234888399999984E-2</v>
      </c>
      <c r="L48" s="222" t="e">
        <f t="shared" si="4"/>
        <v>#DIV/0!</v>
      </c>
      <c r="M48" s="223"/>
      <c r="N48" s="41"/>
      <c r="O48" s="8" t="s">
        <v>147</v>
      </c>
      <c r="P48" s="100" t="str">
        <f>Commodities!$AA$29&amp;"_"&amp;RIGHT(Commodities!$D$48,3)&amp;"_"&amp;$P$3&amp;"01"</f>
        <v>RSD_DTA4_WH_ELC_E01</v>
      </c>
      <c r="Q48" s="100" t="str">
        <f>"Detached A4 WatHeat Electric  (E)|"&amp;X48</f>
        <v>Detached A4 WatHeat Electric  (E)|</v>
      </c>
      <c r="R48" s="101" t="str">
        <f>General!$B$2</f>
        <v>PJ</v>
      </c>
      <c r="S48" s="101" t="str">
        <f>General!$B$5</f>
        <v>GW</v>
      </c>
      <c r="T48" s="101" t="s">
        <v>125</v>
      </c>
      <c r="U48" s="101"/>
      <c r="V48" s="101"/>
    </row>
    <row r="49" spans="2:22" ht="13.8" hidden="1">
      <c r="B49" s="41" t="s">
        <v>147</v>
      </c>
      <c r="C49" s="41" t="str">
        <f t="shared" si="9"/>
        <v>Apartment A4 WatHeat Coal  (E)|</v>
      </c>
      <c r="D49" s="41" t="str">
        <f>Commodities!$D$31</f>
        <v>RSDCOABIC</v>
      </c>
      <c r="E49" s="138" t="str">
        <f>Commodities!$AA$30</f>
        <v>RSD_APA4_WH</v>
      </c>
      <c r="F49" s="179" t="e">
        <f>($H49*VLOOKUP(LEFT($B49,8),RSD_Stock!$H$22:$L$28,F$2,FALSE)*VLOOKUP($B49,RSD_Demands!C203:E250,F$2,FALSE)/1000)*(Stk_Mult)</f>
        <v>#VALUE!</v>
      </c>
      <c r="H49" s="218">
        <f t="shared" si="7"/>
        <v>4.25</v>
      </c>
      <c r="I49" s="219" t="e">
        <f t="shared" si="2"/>
        <v>#VALUE!</v>
      </c>
      <c r="J49" s="219" t="e">
        <f t="shared" si="3"/>
        <v>#VALUE!</v>
      </c>
      <c r="K49" s="219">
        <f>VLOOKUP(LEFT($B49,11),RSD_En_Balance!$C$109:$R$190,MATCH($D49,RSD_En_Balance!$D$109:$R$109,0)+1,FALSE)</f>
        <v>0</v>
      </c>
      <c r="L49" s="219" t="e">
        <f t="shared" si="4"/>
        <v>#VALUE!</v>
      </c>
      <c r="M49" s="220" t="e">
        <f>SUM(I49:I54)/RSD_Stock!$E$28*1000</f>
        <v>#VALUE!</v>
      </c>
      <c r="N49" s="41"/>
      <c r="O49" s="8" t="s">
        <v>147</v>
      </c>
      <c r="P49" s="8" t="str">
        <f>Commodities!$AA$30&amp;"_"&amp;RIGHT(Commodities!$D$31,3)&amp;"_"&amp;$P$3&amp;"01"</f>
        <v>RSD_APA4_WH_BIC_E01</v>
      </c>
      <c r="Q49" s="8" t="str">
        <f>"Apartment A4 WatHeat Coal  (E)|"&amp;X49</f>
        <v>Apartment A4 WatHeat Coal  (E)|</v>
      </c>
      <c r="R49" s="11" t="str">
        <f>General!$B$2</f>
        <v>PJ</v>
      </c>
      <c r="S49" s="11" t="str">
        <f>General!$B$5</f>
        <v>GW</v>
      </c>
      <c r="T49" s="11" t="s">
        <v>125</v>
      </c>
      <c r="U49" s="11"/>
      <c r="V49" s="11"/>
    </row>
    <row r="50" spans="2:22" ht="13.8" hidden="1">
      <c r="B50" s="41" t="s">
        <v>147</v>
      </c>
      <c r="C50" s="41" t="str">
        <f t="shared" si="9"/>
        <v>Apartment A4 WatHeat Gas  (E)|</v>
      </c>
      <c r="D50" s="41" t="str">
        <f>Commodities!$D$37</f>
        <v>RSDGASNAT</v>
      </c>
      <c r="E50" s="138" t="str">
        <f>Commodities!$AA$30</f>
        <v>RSD_APA4_WH</v>
      </c>
      <c r="F50" s="179" t="e">
        <f>($H50*VLOOKUP(LEFT($B50,8),RSD_Stock!$H$22:$L$28,F$2,FALSE)*VLOOKUP($B50,RSD_Demands!C204:E251,F$2,FALSE)/1000)*(Stk_Mult)</f>
        <v>#VALUE!</v>
      </c>
      <c r="H50" s="218">
        <f t="shared" si="7"/>
        <v>4.25</v>
      </c>
      <c r="I50" s="219" t="e">
        <f t="shared" si="2"/>
        <v>#VALUE!</v>
      </c>
      <c r="J50" s="219" t="e">
        <f t="shared" si="3"/>
        <v>#VALUE!</v>
      </c>
      <c r="K50" s="219">
        <f>VLOOKUP(LEFT($B50,11),RSD_En_Balance!$C$109:$R$190,MATCH($D50,RSD_En_Balance!$D$109:$R$109,0)+1,FALSE)</f>
        <v>6.8483068920000001</v>
      </c>
      <c r="L50" s="219" t="e">
        <f t="shared" si="4"/>
        <v>#VALUE!</v>
      </c>
      <c r="M50" s="41"/>
      <c r="N50" s="41"/>
      <c r="O50" s="8" t="s">
        <v>147</v>
      </c>
      <c r="P50" s="8" t="str">
        <f>Commodities!$AA$30&amp;"_"&amp;LEFT(RIGHT(Commodities!$D$37,6),3)&amp;"_"&amp;$P$3&amp;"01"</f>
        <v>RSD_APA4_WH_GAS_E01</v>
      </c>
      <c r="Q50" s="8" t="str">
        <f>"Apartment A4 WatHeat Gas  (E)|"&amp;X50</f>
        <v>Apartment A4 WatHeat Gas  (E)|</v>
      </c>
      <c r="R50" s="11" t="str">
        <f>General!$B$2</f>
        <v>PJ</v>
      </c>
      <c r="S50" s="11" t="str">
        <f>General!$B$5</f>
        <v>GW</v>
      </c>
      <c r="T50" s="11" t="s">
        <v>125</v>
      </c>
      <c r="U50" s="11"/>
      <c r="V50" s="11"/>
    </row>
    <row r="51" spans="2:22" ht="13.8" hidden="1">
      <c r="B51" s="41" t="s">
        <v>147</v>
      </c>
      <c r="C51" s="41" t="str">
        <f t="shared" si="9"/>
        <v>Apartment A4 WatHeat Dist. Heat (E)|</v>
      </c>
      <c r="D51" s="41" t="str">
        <f>Commodities!$D$57</f>
        <v>RSDLTHA4</v>
      </c>
      <c r="E51" s="138" t="str">
        <f>Commodities!$AA$30</f>
        <v>RSD_APA4_WH</v>
      </c>
      <c r="F51" s="179" t="e">
        <f>($H51*VLOOKUP(LEFT($B51,8),RSD_Stock!$H$22:$L$28,F$2,FALSE)*VLOOKUP($B51,RSD_Demands!C205:E252,F$2,FALSE)/1000)*(Stk_Mult)</f>
        <v>#VALUE!</v>
      </c>
      <c r="H51" s="218">
        <f t="shared" si="7"/>
        <v>4.25</v>
      </c>
      <c r="I51" s="219" t="e">
        <f t="shared" si="2"/>
        <v>#VALUE!</v>
      </c>
      <c r="J51" s="219" t="e">
        <f t="shared" si="3"/>
        <v>#VALUE!</v>
      </c>
      <c r="K51" s="219">
        <f>VLOOKUP(LEFT($B51,11),RSD_En_Balance!$C$109:$R$190,MATCH("RSDLTH",RSD_En_Balance!$D$109:$R$109,0)+1,FALSE)</f>
        <v>0</v>
      </c>
      <c r="L51" s="219" t="e">
        <f t="shared" si="4"/>
        <v>#VALUE!</v>
      </c>
      <c r="M51" s="41"/>
      <c r="N51" s="41"/>
      <c r="O51" s="8" t="s">
        <v>147</v>
      </c>
      <c r="P51" s="8" t="str">
        <f>Commodities!$AA$30&amp;"_"&amp;RIGHT(Commodities!$D$50,3)&amp;"_"&amp;$P$3&amp;"01"</f>
        <v>RSD_APA4_WH_LTH_E01</v>
      </c>
      <c r="Q51" s="8" t="str">
        <f>"Apartment A4 WatHeat Dist. Heat (E)|"&amp;X51</f>
        <v>Apartment A4 WatHeat Dist. Heat (E)|</v>
      </c>
      <c r="R51" s="11" t="str">
        <f>General!$B$2</f>
        <v>PJ</v>
      </c>
      <c r="S51" s="11" t="str">
        <f>General!$B$5</f>
        <v>GW</v>
      </c>
      <c r="T51" s="11" t="s">
        <v>125</v>
      </c>
      <c r="U51" s="11"/>
      <c r="V51" s="11"/>
    </row>
    <row r="52" spans="2:22" ht="13.8" hidden="1">
      <c r="B52" s="41" t="s">
        <v>147</v>
      </c>
      <c r="C52" s="41" t="str">
        <f t="shared" si="9"/>
        <v>Apartment A4 WatHeat LPG  (E)|</v>
      </c>
      <c r="D52" s="41" t="str">
        <f>Commodities!$D$35</f>
        <v>RSDOILLPG</v>
      </c>
      <c r="E52" s="138" t="str">
        <f>Commodities!$AA$30</f>
        <v>RSD_APA4_WH</v>
      </c>
      <c r="F52" s="179" t="e">
        <f>($H52*VLOOKUP(LEFT($B52,8),RSD_Stock!$H$22:$L$28,F$2,FALSE)*VLOOKUP($B52,RSD_Demands!C206:E253,F$2,FALSE)/1000)*(Stk_Mult)</f>
        <v>#VALUE!</v>
      </c>
      <c r="H52" s="218">
        <f t="shared" si="7"/>
        <v>4.25</v>
      </c>
      <c r="I52" s="219" t="e">
        <f t="shared" si="2"/>
        <v>#VALUE!</v>
      </c>
      <c r="J52" s="219" t="e">
        <f t="shared" si="3"/>
        <v>#VALUE!</v>
      </c>
      <c r="K52" s="219">
        <f>VLOOKUP(LEFT($B52,11),RSD_En_Balance!$C$109:$R$190,MATCH($D52,RSD_En_Balance!$D$109:$R$109,0)+1,FALSE)</f>
        <v>0</v>
      </c>
      <c r="L52" s="219" t="e">
        <f t="shared" si="4"/>
        <v>#VALUE!</v>
      </c>
      <c r="M52" s="41"/>
      <c r="N52" s="41"/>
      <c r="O52" s="8" t="s">
        <v>147</v>
      </c>
      <c r="P52" s="8" t="str">
        <f>Commodities!$AA$30&amp;"_"&amp;RIGHT(Commodities!$D$35,3)&amp;"_"&amp;$P$3&amp;"01"</f>
        <v>RSD_APA4_WH_LPG_E01</v>
      </c>
      <c r="Q52" s="8" t="str">
        <f>"Apartment A4 WatHeat LPG  (E)|"&amp;X52</f>
        <v>Apartment A4 WatHeat LPG  (E)|</v>
      </c>
      <c r="R52" s="11" t="str">
        <f>General!$B$2</f>
        <v>PJ</v>
      </c>
      <c r="S52" s="11" t="str">
        <f>General!$B$5</f>
        <v>GW</v>
      </c>
      <c r="T52" s="11" t="s">
        <v>125</v>
      </c>
      <c r="U52" s="11"/>
      <c r="V52" s="11"/>
    </row>
    <row r="53" spans="2:22" ht="13.8" hidden="1">
      <c r="B53" s="41" t="s">
        <v>147</v>
      </c>
      <c r="C53" s="41" t="str">
        <f t="shared" si="9"/>
        <v>Apartment A4 WatHeat Wood  (E)|</v>
      </c>
      <c r="D53" s="41" t="str">
        <f>Commodities!$D$38</f>
        <v>RSDBIOLOG</v>
      </c>
      <c r="E53" s="138" t="str">
        <f>Commodities!$AA$30</f>
        <v>RSD_APA4_WH</v>
      </c>
      <c r="F53" s="179" t="e">
        <f>($H53*VLOOKUP(LEFT($B53,8),RSD_Stock!$H$22:$L$28,F$2,FALSE)*VLOOKUP($B53,RSD_Demands!C207:E254,F$2,FALSE)/1000)*(Stk_Mult)</f>
        <v>#VALUE!</v>
      </c>
      <c r="H53" s="218">
        <f t="shared" si="7"/>
        <v>4.25</v>
      </c>
      <c r="I53" s="219" t="e">
        <f t="shared" si="2"/>
        <v>#VALUE!</v>
      </c>
      <c r="J53" s="219" t="e">
        <f t="shared" si="3"/>
        <v>#VALUE!</v>
      </c>
      <c r="K53" s="219">
        <f>VLOOKUP(LEFT($B53,11),RSD_En_Balance!$C$109:$R$190,MATCH($D53,RSD_En_Balance!$D$109:$R$109,0)+1,FALSE)</f>
        <v>0.21980700000000003</v>
      </c>
      <c r="L53" s="219" t="e">
        <f t="shared" si="4"/>
        <v>#VALUE!</v>
      </c>
      <c r="M53" s="41"/>
      <c r="N53" s="41"/>
      <c r="O53" s="8" t="s">
        <v>147</v>
      </c>
      <c r="P53" s="8" t="str">
        <f>Commodities!$AA$30&amp;"_"&amp;RIGHT(Commodities!$D$38,3)&amp;"_"&amp;$P$3&amp;"01"</f>
        <v>RSD_APA4_WH_LOG_E01</v>
      </c>
      <c r="Q53" s="8" t="str">
        <f>"Apartment A4 WatHeat Wood  (E)|"&amp;X53</f>
        <v>Apartment A4 WatHeat Wood  (E)|</v>
      </c>
      <c r="R53" s="11" t="str">
        <f>General!$B$2</f>
        <v>PJ</v>
      </c>
      <c r="S53" s="11" t="str">
        <f>General!$B$5</f>
        <v>GW</v>
      </c>
      <c r="T53" s="11" t="s">
        <v>125</v>
      </c>
      <c r="U53" s="11"/>
      <c r="V53" s="11"/>
    </row>
    <row r="54" spans="2:22" ht="13.8" hidden="1">
      <c r="B54" s="41" t="s">
        <v>147</v>
      </c>
      <c r="C54" s="152" t="str">
        <f t="shared" si="9"/>
        <v>Apartment A4 WatHeat Electric  (E)|</v>
      </c>
      <c r="D54" s="152" t="str">
        <f>Commodities!$D$48</f>
        <v>RSDELC</v>
      </c>
      <c r="E54" s="153" t="str">
        <f>Commodities!$AA$30</f>
        <v>RSD_APA4_WH</v>
      </c>
      <c r="F54" s="165" t="e">
        <f>($H54*VLOOKUP(LEFT($B54,8),RSD_Stock!$H$22:$L$28,F$2,FALSE)*VLOOKUP($B54,RSD_Demands!C208:E255,F$2,FALSE)/1000)*(Stk_Mult)</f>
        <v>#VALUE!</v>
      </c>
      <c r="H54" s="221">
        <f t="shared" si="7"/>
        <v>1</v>
      </c>
      <c r="I54" s="222" t="e">
        <f t="shared" si="2"/>
        <v>#VALUE!</v>
      </c>
      <c r="J54" s="222" t="e">
        <f t="shared" si="3"/>
        <v>#VALUE!</v>
      </c>
      <c r="K54" s="222">
        <f>VLOOKUP(LEFT($B54,11),RSD_En_Balance!$C$109:$R$190,MATCH($D54,RSD_En_Balance!$D$109:$R$109,0)+1,FALSE)</f>
        <v>9.8234888399999984E-2</v>
      </c>
      <c r="L54" s="222" t="e">
        <f t="shared" si="4"/>
        <v>#VALUE!</v>
      </c>
      <c r="M54" s="41"/>
      <c r="N54" s="41"/>
      <c r="O54" s="8" t="s">
        <v>147</v>
      </c>
      <c r="P54" s="100" t="str">
        <f>Commodities!$AA$30&amp;"_"&amp;RIGHT(Commodities!$D$48,3)&amp;"_"&amp;$P$3&amp;"01"</f>
        <v>RSD_APA4_WH_ELC_E01</v>
      </c>
      <c r="Q54" s="100" t="str">
        <f>"Apartment A4 WatHeat Electric  (E)|"&amp;X54</f>
        <v>Apartment A4 WatHeat Electric  (E)|</v>
      </c>
      <c r="R54" s="101" t="str">
        <f>General!$B$2</f>
        <v>PJ</v>
      </c>
      <c r="S54" s="101" t="str">
        <f>General!$B$5</f>
        <v>GW</v>
      </c>
      <c r="T54" s="101" t="s">
        <v>125</v>
      </c>
      <c r="U54" s="101"/>
      <c r="V54" s="101"/>
    </row>
    <row r="55" spans="2:22" ht="13.8">
      <c r="D55" s="41"/>
      <c r="E55" s="86"/>
      <c r="M55" s="41"/>
      <c r="N55" s="41"/>
    </row>
    <row r="56" spans="2:22" ht="13.8">
      <c r="C56" s="41"/>
      <c r="D56" s="41"/>
      <c r="E56" s="86" t="s">
        <v>351</v>
      </c>
      <c r="M56" s="41"/>
      <c r="N56" s="41"/>
    </row>
    <row r="57" spans="2:22" ht="13.8">
      <c r="B57" s="88" t="s">
        <v>1</v>
      </c>
      <c r="C57" s="31" t="s">
        <v>42</v>
      </c>
      <c r="D57" s="31" t="s">
        <v>7</v>
      </c>
      <c r="E57" s="88" t="s">
        <v>0</v>
      </c>
      <c r="F57" s="121" t="s">
        <v>999</v>
      </c>
      <c r="M57" s="41"/>
      <c r="N57" s="41"/>
    </row>
    <row r="58" spans="2:22" ht="14.4" thickBot="1">
      <c r="B58" s="92" t="s">
        <v>356</v>
      </c>
      <c r="C58" s="92" t="s">
        <v>26</v>
      </c>
      <c r="D58" s="124" t="s">
        <v>36</v>
      </c>
      <c r="E58" s="123" t="s">
        <v>37</v>
      </c>
      <c r="F58" s="92"/>
      <c r="M58" s="41"/>
      <c r="N58" s="41"/>
    </row>
    <row r="59" spans="2:22" ht="14.4" thickBot="1">
      <c r="B59" s="92" t="s">
        <v>269</v>
      </c>
      <c r="C59" s="92"/>
      <c r="D59" s="92"/>
      <c r="E59" s="123"/>
      <c r="F59" s="132"/>
      <c r="H59" s="41"/>
      <c r="I59" s="41"/>
      <c r="J59" s="41"/>
      <c r="K59" s="41"/>
      <c r="L59" s="41"/>
      <c r="M59" s="41"/>
      <c r="N59" s="41"/>
    </row>
    <row r="60" spans="2:22" ht="13.5" customHeight="1">
      <c r="B60" s="41" t="str">
        <f t="shared" ref="B60" si="10">P7</f>
        <v>RSD_DTA1_WH_BIC_E01</v>
      </c>
      <c r="C60" s="41" t="str">
        <f t="shared" ref="C60" si="11">Q7</f>
        <v>Detached A1 WatHeat Coal  (E)|</v>
      </c>
      <c r="D60" s="41"/>
      <c r="E60" s="138" t="str">
        <f>Commodities!$AA$23</f>
        <v>RSD_DTA1_WH</v>
      </c>
      <c r="F60" s="179">
        <v>0.5</v>
      </c>
      <c r="H60" s="159"/>
      <c r="I60" s="41"/>
      <c r="J60" s="41"/>
      <c r="K60" s="179"/>
      <c r="L60" s="41"/>
      <c r="M60" s="41"/>
      <c r="N60" s="41"/>
    </row>
    <row r="61" spans="2:22">
      <c r="B61" s="41" t="str">
        <f t="shared" ref="B61:B71" si="12">P8</f>
        <v>RSD_DTA1_WH_GAS_E01</v>
      </c>
      <c r="C61" s="41" t="str">
        <f t="shared" ref="C61:C95" si="13">Q8</f>
        <v>Detached A1 WatHeat Gas  (E)|</v>
      </c>
      <c r="D61" s="41"/>
      <c r="E61" s="138" t="str">
        <f>Commodities!$AA$23</f>
        <v>RSD_DTA1_WH</v>
      </c>
      <c r="F61" s="179">
        <v>0.7</v>
      </c>
      <c r="H61" s="41"/>
      <c r="I61" s="41"/>
      <c r="J61" s="41"/>
      <c r="K61" s="179"/>
      <c r="L61" s="41"/>
      <c r="M61" s="41"/>
      <c r="N61" s="41"/>
    </row>
    <row r="62" spans="2:22">
      <c r="B62" s="41" t="str">
        <f t="shared" si="12"/>
        <v>RSD_DTA1_WH_LTH_E01</v>
      </c>
      <c r="C62" s="41" t="str">
        <f t="shared" si="13"/>
        <v>Detached A1 WatHeat Dist. Heat (E)|</v>
      </c>
      <c r="D62" s="41"/>
      <c r="E62" s="138" t="str">
        <f>Commodities!$AA$23</f>
        <v>RSD_DTA1_WH</v>
      </c>
      <c r="F62" s="179">
        <v>0.9</v>
      </c>
      <c r="H62" s="41"/>
      <c r="I62" s="41"/>
      <c r="J62" s="41"/>
      <c r="K62" s="179"/>
      <c r="L62" s="41"/>
      <c r="M62" s="41"/>
      <c r="N62" s="41"/>
    </row>
    <row r="63" spans="2:22">
      <c r="B63" s="41" t="str">
        <f t="shared" si="12"/>
        <v>RSD_DTA1_WH_LPG_E01</v>
      </c>
      <c r="C63" s="41" t="str">
        <f t="shared" si="13"/>
        <v>Detached A1 WatHeat LPG  (E)|</v>
      </c>
      <c r="D63" s="41"/>
      <c r="E63" s="138" t="str">
        <f>Commodities!$AA$23</f>
        <v>RSD_DTA1_WH</v>
      </c>
      <c r="F63" s="179">
        <v>0.7</v>
      </c>
      <c r="H63" s="41"/>
      <c r="I63" s="41"/>
      <c r="J63" s="41"/>
      <c r="K63" s="179"/>
      <c r="L63" s="41"/>
      <c r="M63" s="41"/>
      <c r="N63" s="41"/>
    </row>
    <row r="64" spans="2:22">
      <c r="B64" s="41" t="str">
        <f t="shared" si="12"/>
        <v>RSD_DTA1_WH_LOG_E01</v>
      </c>
      <c r="C64" s="41" t="str">
        <f t="shared" si="13"/>
        <v>Detached A1 WatHeat Wood  (E)|</v>
      </c>
      <c r="D64" s="41"/>
      <c r="E64" s="138" t="str">
        <f>Commodities!$AA$23</f>
        <v>RSD_DTA1_WH</v>
      </c>
      <c r="F64" s="179">
        <v>0.5</v>
      </c>
      <c r="H64" s="41"/>
      <c r="I64" s="41"/>
      <c r="J64" s="41"/>
      <c r="K64" s="179"/>
      <c r="L64" s="41"/>
      <c r="M64" s="41"/>
      <c r="N64" s="41"/>
    </row>
    <row r="65" spans="2:14">
      <c r="B65" s="152" t="str">
        <f t="shared" si="12"/>
        <v>RSD_DTA1_WH_ELC_E01</v>
      </c>
      <c r="C65" s="152" t="str">
        <f t="shared" si="13"/>
        <v>Detached A1 WatHeat Electric  (E)|</v>
      </c>
      <c r="D65" s="152"/>
      <c r="E65" s="153" t="str">
        <f>Commodities!$AA$23</f>
        <v>RSD_DTA1_WH</v>
      </c>
      <c r="F65" s="224">
        <v>0.9</v>
      </c>
      <c r="H65" s="41"/>
      <c r="I65" s="41"/>
      <c r="J65" s="41"/>
      <c r="K65" s="179"/>
      <c r="L65" s="41"/>
      <c r="M65" s="41"/>
      <c r="N65" s="41"/>
    </row>
    <row r="66" spans="2:14">
      <c r="B66" s="41" t="str">
        <f t="shared" si="12"/>
        <v>RSD_APA1_WH_BIC_E01</v>
      </c>
      <c r="C66" s="41" t="str">
        <f t="shared" si="13"/>
        <v>Apartment A1 WatHeat Coal  (E)|</v>
      </c>
      <c r="D66" s="41"/>
      <c r="E66" s="138" t="str">
        <f>Commodities!$AA$24</f>
        <v>RSD_APA1_WH</v>
      </c>
      <c r="F66" s="179">
        <v>0.5</v>
      </c>
      <c r="H66" s="41"/>
      <c r="I66" s="41"/>
      <c r="J66" s="41"/>
      <c r="K66" s="179"/>
      <c r="L66" s="41"/>
      <c r="M66" s="41"/>
      <c r="N66" s="41"/>
    </row>
    <row r="67" spans="2:14">
      <c r="B67" s="41" t="str">
        <f t="shared" si="12"/>
        <v>RSD_APA1_WH_GAS_E01</v>
      </c>
      <c r="C67" s="41" t="str">
        <f t="shared" si="13"/>
        <v>Apartment A1 WatHeat Gas  (E)|</v>
      </c>
      <c r="D67" s="41"/>
      <c r="E67" s="138" t="str">
        <f>Commodities!$AA$24</f>
        <v>RSD_APA1_WH</v>
      </c>
      <c r="F67" s="179">
        <v>0.7</v>
      </c>
      <c r="H67" s="41"/>
      <c r="I67" s="41"/>
      <c r="J67" s="41"/>
      <c r="K67" s="179"/>
      <c r="L67" s="41"/>
      <c r="M67" s="41"/>
      <c r="N67" s="41"/>
    </row>
    <row r="68" spans="2:14">
      <c r="B68" s="41" t="str">
        <f t="shared" si="12"/>
        <v>RSD_APA1_WH_LTH_E01</v>
      </c>
      <c r="C68" s="41" t="str">
        <f t="shared" si="13"/>
        <v>Apartment A1 WatHeat Dist. Heat (E)|</v>
      </c>
      <c r="D68" s="41"/>
      <c r="E68" s="138" t="str">
        <f>Commodities!$AA$24</f>
        <v>RSD_APA1_WH</v>
      </c>
      <c r="F68" s="179">
        <v>0.9</v>
      </c>
      <c r="H68" s="41"/>
      <c r="I68" s="41"/>
      <c r="J68" s="41"/>
      <c r="K68" s="179"/>
      <c r="L68" s="41"/>
      <c r="M68" s="41"/>
      <c r="N68" s="41"/>
    </row>
    <row r="69" spans="2:14">
      <c r="B69" s="41" t="str">
        <f t="shared" si="12"/>
        <v>RSD_APA1_WH_LPG_E01</v>
      </c>
      <c r="C69" s="41" t="str">
        <f t="shared" si="13"/>
        <v>Apartment A1 WatHeat LPG  (E)|</v>
      </c>
      <c r="D69" s="41"/>
      <c r="E69" s="138" t="str">
        <f>Commodities!$AA$24</f>
        <v>RSD_APA1_WH</v>
      </c>
      <c r="F69" s="179">
        <v>0.7</v>
      </c>
      <c r="H69" s="41"/>
      <c r="I69" s="41"/>
      <c r="J69" s="41"/>
      <c r="K69" s="179"/>
      <c r="L69" s="41"/>
      <c r="M69" s="41"/>
      <c r="N69" s="41"/>
    </row>
    <row r="70" spans="2:14">
      <c r="B70" s="41" t="str">
        <f t="shared" si="12"/>
        <v>RSD_APA1_WH_LOG_E01</v>
      </c>
      <c r="C70" s="41" t="str">
        <f t="shared" si="13"/>
        <v>Apartment A1 WatHeat Wood  (E)|</v>
      </c>
      <c r="D70" s="41"/>
      <c r="E70" s="138" t="str">
        <f>Commodities!$AA$24</f>
        <v>RSD_APA1_WH</v>
      </c>
      <c r="F70" s="179">
        <v>0.5</v>
      </c>
      <c r="H70" s="41"/>
      <c r="I70" s="41"/>
      <c r="J70" s="41"/>
      <c r="K70" s="179"/>
      <c r="L70" s="41"/>
      <c r="M70" s="41"/>
      <c r="N70" s="41"/>
    </row>
    <row r="71" spans="2:14" ht="13.5" customHeight="1">
      <c r="B71" s="152" t="str">
        <f t="shared" si="12"/>
        <v>RSD_APA1_WH_ELC_E01</v>
      </c>
      <c r="C71" s="152" t="str">
        <f t="shared" si="13"/>
        <v>Apartment A1 WatHeat Electric  (E)|</v>
      </c>
      <c r="D71" s="152"/>
      <c r="E71" s="153" t="str">
        <f>Commodities!$AA$24</f>
        <v>RSD_APA1_WH</v>
      </c>
      <c r="F71" s="224">
        <v>0.9</v>
      </c>
      <c r="H71" s="41"/>
      <c r="I71" s="41"/>
      <c r="J71" s="41"/>
      <c r="K71" s="179"/>
      <c r="L71" s="41"/>
      <c r="M71" s="41"/>
      <c r="N71" s="41"/>
    </row>
    <row r="72" spans="2:14" hidden="1">
      <c r="B72" s="41" t="s">
        <v>147</v>
      </c>
      <c r="C72" s="41" t="str">
        <f t="shared" si="13"/>
        <v>Detached A2 WatHeat Coal  (E)|</v>
      </c>
      <c r="D72" s="41"/>
      <c r="E72" s="138" t="str">
        <f>Commodities!$AA$25</f>
        <v>RSD_DTA2_WH</v>
      </c>
      <c r="F72" s="179">
        <v>0.5</v>
      </c>
      <c r="H72" s="41"/>
      <c r="I72" s="41"/>
      <c r="J72" s="41"/>
      <c r="K72" s="179"/>
      <c r="L72" s="41"/>
      <c r="M72" s="41"/>
      <c r="N72" s="41"/>
    </row>
    <row r="73" spans="2:14" hidden="1">
      <c r="B73" s="41" t="s">
        <v>147</v>
      </c>
      <c r="C73" s="41" t="str">
        <f t="shared" si="13"/>
        <v>Detached A2 WatHeat Gas  (E)|</v>
      </c>
      <c r="D73" s="41"/>
      <c r="E73" s="138" t="str">
        <f>Commodities!$AA$25</f>
        <v>RSD_DTA2_WH</v>
      </c>
      <c r="F73" s="179">
        <v>0.7</v>
      </c>
      <c r="H73" s="41"/>
      <c r="I73" s="41"/>
      <c r="J73" s="41"/>
      <c r="K73" s="179"/>
      <c r="L73" s="41"/>
      <c r="M73" s="41"/>
      <c r="N73" s="41"/>
    </row>
    <row r="74" spans="2:14" hidden="1">
      <c r="B74" s="41" t="s">
        <v>147</v>
      </c>
      <c r="C74" s="41" t="str">
        <f t="shared" si="13"/>
        <v>Detached A2 WatHeat Dist. Heat (E)|</v>
      </c>
      <c r="D74" s="41"/>
      <c r="E74" s="138" t="str">
        <f>Commodities!$AA$25</f>
        <v>RSD_DTA2_WH</v>
      </c>
      <c r="F74" s="179">
        <v>0.9</v>
      </c>
      <c r="H74" s="41"/>
      <c r="I74" s="41"/>
      <c r="J74" s="41"/>
      <c r="K74" s="179"/>
      <c r="L74" s="41"/>
      <c r="M74" s="41"/>
      <c r="N74" s="41"/>
    </row>
    <row r="75" spans="2:14" hidden="1">
      <c r="B75" s="41" t="s">
        <v>147</v>
      </c>
      <c r="C75" s="41" t="str">
        <f t="shared" si="13"/>
        <v>Detached A2 WatHeat LPG  (E)|</v>
      </c>
      <c r="D75" s="41"/>
      <c r="E75" s="138" t="str">
        <f>Commodities!$AA$25</f>
        <v>RSD_DTA2_WH</v>
      </c>
      <c r="F75" s="179">
        <v>0.7</v>
      </c>
      <c r="H75" s="41"/>
      <c r="I75" s="41"/>
      <c r="J75" s="41"/>
      <c r="K75" s="179"/>
      <c r="L75" s="41"/>
      <c r="M75" s="41"/>
      <c r="N75" s="41"/>
    </row>
    <row r="76" spans="2:14" hidden="1">
      <c r="B76" s="41" t="s">
        <v>147</v>
      </c>
      <c r="C76" s="41" t="str">
        <f t="shared" si="13"/>
        <v>Detached A2 WatHeat Wood  (E)|</v>
      </c>
      <c r="D76" s="41"/>
      <c r="E76" s="138" t="str">
        <f>Commodities!$AA$25</f>
        <v>RSD_DTA2_WH</v>
      </c>
      <c r="F76" s="179">
        <v>0.5</v>
      </c>
      <c r="H76" s="41"/>
      <c r="I76" s="41"/>
      <c r="J76" s="41"/>
      <c r="K76" s="179"/>
      <c r="L76" s="41"/>
      <c r="M76" s="41"/>
      <c r="N76" s="41"/>
    </row>
    <row r="77" spans="2:14" hidden="1">
      <c r="B77" s="41" t="s">
        <v>147</v>
      </c>
      <c r="C77" s="152" t="str">
        <f t="shared" si="13"/>
        <v>Detached A2 WatHeat Electric  (E)|</v>
      </c>
      <c r="D77" s="152"/>
      <c r="E77" s="153" t="str">
        <f>Commodities!$AA$25</f>
        <v>RSD_DTA2_WH</v>
      </c>
      <c r="F77" s="224">
        <v>0.9</v>
      </c>
      <c r="H77" s="41"/>
      <c r="I77" s="41"/>
      <c r="J77" s="41"/>
      <c r="K77" s="179"/>
      <c r="L77" s="41"/>
      <c r="M77" s="41"/>
      <c r="N77" s="41"/>
    </row>
    <row r="78" spans="2:14" hidden="1">
      <c r="B78" s="41" t="s">
        <v>147</v>
      </c>
      <c r="C78" s="41" t="str">
        <f t="shared" si="13"/>
        <v>Apartment A2 WatHeat Coal  (E)|</v>
      </c>
      <c r="D78" s="41"/>
      <c r="E78" s="138" t="str">
        <f>Commodities!$AA$26</f>
        <v>RSD_APA2_WH</v>
      </c>
      <c r="F78" s="179">
        <v>0.5</v>
      </c>
      <c r="H78" s="41"/>
      <c r="I78" s="41"/>
      <c r="J78" s="41"/>
      <c r="K78" s="179"/>
      <c r="L78" s="41"/>
      <c r="M78" s="41"/>
      <c r="N78" s="41"/>
    </row>
    <row r="79" spans="2:14" hidden="1">
      <c r="B79" s="41" t="s">
        <v>147</v>
      </c>
      <c r="C79" s="41" t="str">
        <f t="shared" si="13"/>
        <v>Apartment A2 WatHeat Gas  (E)|</v>
      </c>
      <c r="D79" s="41"/>
      <c r="E79" s="138" t="str">
        <f>Commodities!$AA$26</f>
        <v>RSD_APA2_WH</v>
      </c>
      <c r="F79" s="179">
        <v>0.7</v>
      </c>
      <c r="H79" s="41"/>
      <c r="I79" s="41"/>
      <c r="J79" s="41"/>
      <c r="K79" s="179"/>
      <c r="L79" s="41"/>
      <c r="M79" s="41"/>
      <c r="N79" s="41"/>
    </row>
    <row r="80" spans="2:14" hidden="1">
      <c r="B80" s="41" t="s">
        <v>147</v>
      </c>
      <c r="C80" s="41" t="str">
        <f t="shared" si="13"/>
        <v>Apartment A2 WatHeat Dist. Heat (E)|</v>
      </c>
      <c r="D80" s="41"/>
      <c r="E80" s="138" t="str">
        <f>Commodities!$AA$26</f>
        <v>RSD_APA2_WH</v>
      </c>
      <c r="F80" s="179">
        <v>0.9</v>
      </c>
      <c r="H80" s="41"/>
      <c r="I80" s="41"/>
      <c r="J80" s="41"/>
      <c r="K80" s="179"/>
      <c r="L80" s="41"/>
      <c r="M80" s="41"/>
      <c r="N80" s="41"/>
    </row>
    <row r="81" spans="2:14" hidden="1">
      <c r="B81" s="41" t="s">
        <v>147</v>
      </c>
      <c r="C81" s="41" t="str">
        <f t="shared" si="13"/>
        <v>Apartment A2 WatHeat LPG  (E)|</v>
      </c>
      <c r="D81" s="41"/>
      <c r="E81" s="138" t="str">
        <f>Commodities!$AA$26</f>
        <v>RSD_APA2_WH</v>
      </c>
      <c r="F81" s="179">
        <v>0.7</v>
      </c>
      <c r="H81" s="41"/>
      <c r="I81" s="41"/>
      <c r="J81" s="41"/>
      <c r="K81" s="179"/>
      <c r="L81" s="41"/>
      <c r="M81" s="41"/>
      <c r="N81" s="41"/>
    </row>
    <row r="82" spans="2:14" hidden="1">
      <c r="B82" s="41" t="s">
        <v>147</v>
      </c>
      <c r="C82" s="41" t="str">
        <f t="shared" si="13"/>
        <v>Apartment A2 WatHeat Wood  (E)|</v>
      </c>
      <c r="D82" s="41"/>
      <c r="E82" s="138" t="str">
        <f>Commodities!$AA$26</f>
        <v>RSD_APA2_WH</v>
      </c>
      <c r="F82" s="179">
        <v>0.5</v>
      </c>
      <c r="H82" s="41"/>
      <c r="I82" s="41"/>
      <c r="J82" s="41"/>
      <c r="K82" s="179"/>
      <c r="L82" s="41"/>
      <c r="M82" s="41"/>
      <c r="N82" s="41"/>
    </row>
    <row r="83" spans="2:14" hidden="1">
      <c r="B83" s="41" t="s">
        <v>147</v>
      </c>
      <c r="C83" s="152" t="str">
        <f t="shared" si="13"/>
        <v>Apartment A2 WatHeat Electric  (E)|</v>
      </c>
      <c r="D83" s="152"/>
      <c r="E83" s="153" t="str">
        <f>Commodities!$AA$26</f>
        <v>RSD_APA2_WH</v>
      </c>
      <c r="F83" s="224">
        <v>0.9</v>
      </c>
      <c r="H83" s="41"/>
      <c r="I83" s="41"/>
      <c r="J83" s="41"/>
      <c r="K83" s="179"/>
      <c r="L83" s="41"/>
      <c r="M83" s="41"/>
      <c r="N83" s="41"/>
    </row>
    <row r="84" spans="2:14" hidden="1">
      <c r="B84" s="41" t="s">
        <v>147</v>
      </c>
      <c r="C84" s="41" t="str">
        <f t="shared" si="13"/>
        <v>Detached A3 WatHeat Coal  (E)|</v>
      </c>
      <c r="D84" s="41"/>
      <c r="E84" s="138" t="str">
        <f>Commodities!$AA$27</f>
        <v>RSD_DTA3_WH</v>
      </c>
      <c r="F84" s="179">
        <v>0.5</v>
      </c>
      <c r="H84" s="41"/>
      <c r="I84" s="41"/>
      <c r="J84" s="41"/>
      <c r="K84" s="179"/>
      <c r="L84" s="41"/>
      <c r="M84" s="41"/>
      <c r="N84" s="41"/>
    </row>
    <row r="85" spans="2:14" hidden="1">
      <c r="B85" s="41" t="s">
        <v>147</v>
      </c>
      <c r="C85" s="41" t="str">
        <f t="shared" si="13"/>
        <v>Detached A3 WatHeat Gas  (E)|</v>
      </c>
      <c r="D85" s="41"/>
      <c r="E85" s="138" t="str">
        <f>Commodities!$AA$27</f>
        <v>RSD_DTA3_WH</v>
      </c>
      <c r="F85" s="179">
        <v>0.7</v>
      </c>
      <c r="H85" s="41"/>
      <c r="I85" s="41"/>
      <c r="J85" s="41"/>
      <c r="K85" s="179"/>
      <c r="L85" s="41"/>
      <c r="M85" s="41"/>
      <c r="N85" s="41"/>
    </row>
    <row r="86" spans="2:14" hidden="1">
      <c r="B86" s="41" t="s">
        <v>147</v>
      </c>
      <c r="C86" s="41" t="str">
        <f t="shared" si="13"/>
        <v>Detached A3 WatHeat Dist. Heat (E)|</v>
      </c>
      <c r="D86" s="41"/>
      <c r="E86" s="138" t="str">
        <f>Commodities!$AA$27</f>
        <v>RSD_DTA3_WH</v>
      </c>
      <c r="F86" s="179">
        <v>0.9</v>
      </c>
      <c r="H86" s="41"/>
      <c r="I86" s="41"/>
      <c r="J86" s="41"/>
      <c r="K86" s="179"/>
      <c r="L86" s="41"/>
      <c r="M86" s="41"/>
      <c r="N86" s="41"/>
    </row>
    <row r="87" spans="2:14" hidden="1">
      <c r="B87" s="41" t="s">
        <v>147</v>
      </c>
      <c r="C87" s="41" t="str">
        <f t="shared" si="13"/>
        <v>Detached A3 WatHeat LPG  (E)|</v>
      </c>
      <c r="D87" s="41"/>
      <c r="E87" s="138" t="str">
        <f>Commodities!$AA$27</f>
        <v>RSD_DTA3_WH</v>
      </c>
      <c r="F87" s="179">
        <v>0.7</v>
      </c>
      <c r="H87" s="41"/>
      <c r="I87" s="41"/>
      <c r="J87" s="41"/>
      <c r="K87" s="179"/>
      <c r="L87" s="41"/>
      <c r="M87" s="41"/>
      <c r="N87" s="41"/>
    </row>
    <row r="88" spans="2:14" hidden="1">
      <c r="B88" s="41" t="s">
        <v>147</v>
      </c>
      <c r="C88" s="41" t="str">
        <f t="shared" si="13"/>
        <v>Detached A3 WatHeat Wood  (E)|</v>
      </c>
      <c r="D88" s="41"/>
      <c r="E88" s="138" t="str">
        <f>Commodities!$AA$27</f>
        <v>RSD_DTA3_WH</v>
      </c>
      <c r="F88" s="179">
        <v>0.5</v>
      </c>
      <c r="H88" s="41"/>
      <c r="I88" s="41"/>
      <c r="J88" s="41"/>
      <c r="K88" s="179"/>
      <c r="L88" s="41"/>
    </row>
    <row r="89" spans="2:14" hidden="1">
      <c r="B89" s="41" t="s">
        <v>147</v>
      </c>
      <c r="C89" s="152" t="str">
        <f t="shared" si="13"/>
        <v>Detached A3 WatHeat Electric  (E)|</v>
      </c>
      <c r="D89" s="152"/>
      <c r="E89" s="153" t="str">
        <f>Commodities!$AA$27</f>
        <v>RSD_DTA3_WH</v>
      </c>
      <c r="F89" s="224">
        <v>0.9</v>
      </c>
      <c r="H89" s="41"/>
      <c r="I89" s="41"/>
      <c r="J89" s="41"/>
      <c r="K89" s="179"/>
      <c r="L89" s="41"/>
    </row>
    <row r="90" spans="2:14" hidden="1">
      <c r="B90" s="41" t="s">
        <v>147</v>
      </c>
      <c r="C90" s="41" t="str">
        <f t="shared" si="13"/>
        <v>Apartment A3 WatHeat Coal  (E)|</v>
      </c>
      <c r="D90" s="41"/>
      <c r="E90" s="138" t="str">
        <f>Commodities!$AA$28</f>
        <v>RSD_APA3_WH</v>
      </c>
      <c r="F90" s="179">
        <v>0.5</v>
      </c>
      <c r="G90" s="41"/>
      <c r="H90" s="41"/>
      <c r="I90" s="41"/>
      <c r="J90" s="41"/>
      <c r="K90" s="179"/>
      <c r="L90" s="41"/>
    </row>
    <row r="91" spans="2:14" hidden="1">
      <c r="B91" s="41" t="s">
        <v>147</v>
      </c>
      <c r="C91" s="41" t="str">
        <f t="shared" si="13"/>
        <v>Apartment A3 WatHeat Gas  (E)|</v>
      </c>
      <c r="D91" s="41"/>
      <c r="E91" s="138" t="str">
        <f>Commodities!$AA$28</f>
        <v>RSD_APA3_WH</v>
      </c>
      <c r="F91" s="179">
        <v>0.7</v>
      </c>
      <c r="G91" s="41"/>
      <c r="H91" s="41"/>
      <c r="I91" s="41"/>
      <c r="J91" s="41"/>
      <c r="K91" s="179"/>
      <c r="L91" s="41"/>
    </row>
    <row r="92" spans="2:14" hidden="1">
      <c r="B92" s="41" t="s">
        <v>147</v>
      </c>
      <c r="C92" s="41" t="str">
        <f t="shared" si="13"/>
        <v>Apartment A3 WatHeat Dist. Heat (E)|</v>
      </c>
      <c r="D92" s="41"/>
      <c r="E92" s="138" t="str">
        <f>Commodities!$AA$28</f>
        <v>RSD_APA3_WH</v>
      </c>
      <c r="F92" s="179">
        <v>0.9</v>
      </c>
      <c r="G92" s="41"/>
      <c r="H92" s="41"/>
      <c r="I92" s="41"/>
      <c r="J92" s="41"/>
      <c r="K92" s="179"/>
      <c r="L92" s="41"/>
    </row>
    <row r="93" spans="2:14" hidden="1">
      <c r="B93" s="41" t="s">
        <v>147</v>
      </c>
      <c r="C93" s="41" t="str">
        <f t="shared" si="13"/>
        <v>Apartment A3 WatHeat LPG  (E)|</v>
      </c>
      <c r="D93" s="41"/>
      <c r="E93" s="138" t="str">
        <f>Commodities!$AA$28</f>
        <v>RSD_APA3_WH</v>
      </c>
      <c r="F93" s="179">
        <v>0.7</v>
      </c>
      <c r="G93" s="41"/>
      <c r="H93" s="41"/>
      <c r="I93" s="41"/>
      <c r="J93" s="41"/>
      <c r="K93" s="179"/>
      <c r="L93" s="41"/>
    </row>
    <row r="94" spans="2:14" hidden="1">
      <c r="B94" s="41" t="s">
        <v>147</v>
      </c>
      <c r="C94" s="41" t="str">
        <f t="shared" si="13"/>
        <v>Apartment A3 WatHeat Wood  (E)|</v>
      </c>
      <c r="D94" s="41"/>
      <c r="E94" s="138" t="str">
        <f>Commodities!$AA$28</f>
        <v>RSD_APA3_WH</v>
      </c>
      <c r="F94" s="179">
        <v>0.5</v>
      </c>
      <c r="G94" s="41"/>
      <c r="H94" s="41"/>
      <c r="I94" s="41"/>
      <c r="J94" s="41"/>
      <c r="K94" s="179"/>
      <c r="L94" s="41"/>
    </row>
    <row r="95" spans="2:14" hidden="1">
      <c r="B95" s="41" t="s">
        <v>147</v>
      </c>
      <c r="C95" s="152" t="str">
        <f t="shared" si="13"/>
        <v>Apartment A3 WatHeat Electric  (E)|</v>
      </c>
      <c r="D95" s="152"/>
      <c r="E95" s="153" t="str">
        <f>Commodities!$AA$28</f>
        <v>RSD_APA3_WH</v>
      </c>
      <c r="F95" s="224">
        <v>0.9</v>
      </c>
      <c r="G95" s="41"/>
      <c r="H95" s="41"/>
      <c r="I95" s="41"/>
      <c r="J95" s="41"/>
      <c r="K95" s="179"/>
      <c r="L95" s="41"/>
    </row>
    <row r="96" spans="2:14" hidden="1">
      <c r="B96" s="41" t="s">
        <v>147</v>
      </c>
      <c r="C96" s="41" t="str">
        <f t="shared" ref="C96:C107" si="14">Q43</f>
        <v>Detached A4 WatHeat Coal  (E)|</v>
      </c>
      <c r="D96" s="41"/>
      <c r="E96" s="138" t="str">
        <f>Commodities!$AA$29</f>
        <v>RSD_DTA4_WH</v>
      </c>
      <c r="F96" s="179">
        <v>0.5</v>
      </c>
      <c r="G96" s="41"/>
      <c r="H96" s="41"/>
      <c r="I96" s="41"/>
      <c r="J96" s="41"/>
      <c r="K96" s="41"/>
      <c r="L96" s="41"/>
    </row>
    <row r="97" spans="2:12" hidden="1">
      <c r="B97" s="41" t="s">
        <v>147</v>
      </c>
      <c r="C97" s="41" t="str">
        <f t="shared" si="14"/>
        <v>Detached A4 WatHeat Gas  (E)|</v>
      </c>
      <c r="D97" s="41"/>
      <c r="E97" s="138" t="str">
        <f>Commodities!$AA$29</f>
        <v>RSD_DTA4_WH</v>
      </c>
      <c r="F97" s="179">
        <v>0.7</v>
      </c>
      <c r="G97" s="41"/>
      <c r="H97" s="41"/>
      <c r="I97" s="41"/>
      <c r="J97" s="41"/>
      <c r="K97" s="41"/>
      <c r="L97" s="41"/>
    </row>
    <row r="98" spans="2:12" hidden="1">
      <c r="B98" s="41" t="s">
        <v>147</v>
      </c>
      <c r="C98" s="41" t="str">
        <f t="shared" si="14"/>
        <v>Detached A4 WatHeat Dist. Heat (E)|</v>
      </c>
      <c r="D98" s="41"/>
      <c r="E98" s="138" t="str">
        <f>Commodities!$AA$29</f>
        <v>RSD_DTA4_WH</v>
      </c>
      <c r="F98" s="179">
        <v>0.9</v>
      </c>
    </row>
    <row r="99" spans="2:12" hidden="1">
      <c r="B99" s="41" t="s">
        <v>147</v>
      </c>
      <c r="C99" s="41" t="str">
        <f t="shared" si="14"/>
        <v>Detached A4 WatHeat LPG  (E)|</v>
      </c>
      <c r="D99" s="41"/>
      <c r="E99" s="138" t="str">
        <f>Commodities!$AA$29</f>
        <v>RSD_DTA4_WH</v>
      </c>
      <c r="F99" s="179">
        <v>0.7</v>
      </c>
    </row>
    <row r="100" spans="2:12" hidden="1">
      <c r="B100" s="41" t="s">
        <v>147</v>
      </c>
      <c r="C100" s="41" t="str">
        <f t="shared" si="14"/>
        <v>Detached A4 WatHeat Wood  (E)|</v>
      </c>
      <c r="D100" s="41"/>
      <c r="E100" s="138" t="str">
        <f>Commodities!$AA$29</f>
        <v>RSD_DTA4_WH</v>
      </c>
      <c r="F100" s="179">
        <v>0.5</v>
      </c>
    </row>
    <row r="101" spans="2:12" hidden="1">
      <c r="B101" s="41" t="s">
        <v>147</v>
      </c>
      <c r="C101" s="152" t="str">
        <f t="shared" si="14"/>
        <v>Detached A4 WatHeat Electric  (E)|</v>
      </c>
      <c r="D101" s="152"/>
      <c r="E101" s="153" t="str">
        <f>Commodities!$AA$29</f>
        <v>RSD_DTA4_WH</v>
      </c>
      <c r="F101" s="224">
        <v>0.9</v>
      </c>
    </row>
    <row r="102" spans="2:12" hidden="1">
      <c r="B102" s="41" t="s">
        <v>147</v>
      </c>
      <c r="C102" s="41" t="str">
        <f t="shared" si="14"/>
        <v>Apartment A4 WatHeat Coal  (E)|</v>
      </c>
      <c r="D102" s="41"/>
      <c r="E102" s="138" t="str">
        <f>Commodities!$AA$30</f>
        <v>RSD_APA4_WH</v>
      </c>
      <c r="F102" s="179">
        <v>0.5</v>
      </c>
    </row>
    <row r="103" spans="2:12" hidden="1">
      <c r="B103" s="41" t="s">
        <v>147</v>
      </c>
      <c r="C103" s="41" t="str">
        <f t="shared" si="14"/>
        <v>Apartment A4 WatHeat Gas  (E)|</v>
      </c>
      <c r="D103" s="41"/>
      <c r="E103" s="138" t="str">
        <f>Commodities!$AA$30</f>
        <v>RSD_APA4_WH</v>
      </c>
      <c r="F103" s="179">
        <v>0.7</v>
      </c>
    </row>
    <row r="104" spans="2:12" hidden="1">
      <c r="B104" s="41" t="s">
        <v>147</v>
      </c>
      <c r="C104" s="41" t="str">
        <f t="shared" si="14"/>
        <v>Apartment A4 WatHeat Dist. Heat (E)|</v>
      </c>
      <c r="D104" s="41"/>
      <c r="E104" s="138" t="str">
        <f>Commodities!$AA$30</f>
        <v>RSD_APA4_WH</v>
      </c>
      <c r="F104" s="179">
        <v>0.9</v>
      </c>
    </row>
    <row r="105" spans="2:12" hidden="1">
      <c r="B105" s="41" t="s">
        <v>147</v>
      </c>
      <c r="C105" s="41" t="str">
        <f t="shared" si="14"/>
        <v>Apartment A4 WatHeat LPG  (E)|</v>
      </c>
      <c r="D105" s="41"/>
      <c r="E105" s="138" t="str">
        <f>Commodities!$AA$30</f>
        <v>RSD_APA4_WH</v>
      </c>
      <c r="F105" s="179">
        <v>0.7</v>
      </c>
    </row>
    <row r="106" spans="2:12" hidden="1">
      <c r="B106" s="41" t="s">
        <v>147</v>
      </c>
      <c r="C106" s="41" t="str">
        <f t="shared" si="14"/>
        <v>Apartment A4 WatHeat Wood  (E)|</v>
      </c>
      <c r="D106" s="41"/>
      <c r="E106" s="138" t="str">
        <f>Commodities!$AA$30</f>
        <v>RSD_APA4_WH</v>
      </c>
      <c r="F106" s="179">
        <v>0.5</v>
      </c>
    </row>
    <row r="107" spans="2:12" hidden="1">
      <c r="B107" s="41" t="s">
        <v>147</v>
      </c>
      <c r="C107" s="152" t="str">
        <f t="shared" si="14"/>
        <v>Apartment A4 WatHeat Electric  (E)|</v>
      </c>
      <c r="D107" s="152"/>
      <c r="E107" s="153" t="str">
        <f>Commodities!$AA$30</f>
        <v>RSD_APA4_WH</v>
      </c>
      <c r="F107" s="224">
        <v>0.9</v>
      </c>
    </row>
    <row r="108" spans="2:12">
      <c r="B108" s="41"/>
      <c r="C108" s="41"/>
      <c r="D108" s="41"/>
      <c r="E108" s="41"/>
      <c r="F108" s="179"/>
    </row>
    <row r="109" spans="2:12">
      <c r="B109" s="41"/>
      <c r="C109" s="41"/>
      <c r="D109" s="41"/>
      <c r="E109" s="41"/>
      <c r="F109" s="179"/>
    </row>
    <row r="110" spans="2:12" ht="13.8">
      <c r="E110" s="86" t="s">
        <v>352</v>
      </c>
    </row>
    <row r="111" spans="2:12" ht="13.8">
      <c r="B111" s="88" t="s">
        <v>1</v>
      </c>
      <c r="C111" s="88" t="s">
        <v>42</v>
      </c>
      <c r="D111" s="88" t="s">
        <v>7</v>
      </c>
      <c r="E111" s="88" t="s">
        <v>0</v>
      </c>
      <c r="F111" s="121" t="s">
        <v>999</v>
      </c>
    </row>
    <row r="112" spans="2:12" ht="14.4" thickBot="1">
      <c r="B112" s="92" t="s">
        <v>356</v>
      </c>
      <c r="C112" s="92" t="s">
        <v>26</v>
      </c>
      <c r="D112" s="124" t="s">
        <v>36</v>
      </c>
      <c r="E112" s="123"/>
      <c r="F112" s="92"/>
    </row>
    <row r="113" spans="2:6" ht="13.8">
      <c r="B113" s="133" t="s">
        <v>269</v>
      </c>
      <c r="C113" s="133"/>
      <c r="D113" s="133"/>
      <c r="E113" s="213"/>
      <c r="F113" s="212"/>
    </row>
    <row r="114" spans="2:6">
      <c r="B114" s="41" t="str">
        <f t="shared" ref="B114" si="15">P7</f>
        <v>RSD_DTA1_WH_BIC_E01</v>
      </c>
      <c r="C114" s="41" t="str">
        <f t="shared" ref="C114" si="16">Q7</f>
        <v>Detached A1 WatHeat Coal  (E)|</v>
      </c>
      <c r="D114" s="41"/>
      <c r="E114" s="138" t="str">
        <f>Commodities!$AA$23</f>
        <v>RSD_DTA1_WH</v>
      </c>
      <c r="F114" s="179">
        <v>31.536000000000001</v>
      </c>
    </row>
    <row r="115" spans="2:6">
      <c r="B115" s="41" t="str">
        <f t="shared" ref="B115:B125" si="17">P8</f>
        <v>RSD_DTA1_WH_GAS_E01</v>
      </c>
      <c r="C115" s="41" t="str">
        <f t="shared" ref="C115:C149" si="18">Q8</f>
        <v>Detached A1 WatHeat Gas  (E)|</v>
      </c>
      <c r="D115" s="41"/>
      <c r="E115" s="138" t="str">
        <f>Commodities!$AA$23</f>
        <v>RSD_DTA1_WH</v>
      </c>
      <c r="F115" s="179">
        <v>31.536000000000001</v>
      </c>
    </row>
    <row r="116" spans="2:6">
      <c r="B116" s="41" t="str">
        <f t="shared" si="17"/>
        <v>RSD_DTA1_WH_LTH_E01</v>
      </c>
      <c r="C116" s="41" t="str">
        <f t="shared" si="18"/>
        <v>Detached A1 WatHeat Dist. Heat (E)|</v>
      </c>
      <c r="D116" s="41"/>
      <c r="E116" s="138" t="str">
        <f>Commodities!$AA$23</f>
        <v>RSD_DTA1_WH</v>
      </c>
      <c r="F116" s="179">
        <v>31.536000000000001</v>
      </c>
    </row>
    <row r="117" spans="2:6">
      <c r="B117" s="41" t="str">
        <f t="shared" si="17"/>
        <v>RSD_DTA1_WH_LPG_E01</v>
      </c>
      <c r="C117" s="41" t="str">
        <f t="shared" si="18"/>
        <v>Detached A1 WatHeat LPG  (E)|</v>
      </c>
      <c r="D117" s="41"/>
      <c r="E117" s="138" t="str">
        <f>Commodities!$AA$23</f>
        <v>RSD_DTA1_WH</v>
      </c>
      <c r="F117" s="179">
        <v>31.536000000000001</v>
      </c>
    </row>
    <row r="118" spans="2:6">
      <c r="B118" s="41" t="str">
        <f t="shared" si="17"/>
        <v>RSD_DTA1_WH_LOG_E01</v>
      </c>
      <c r="C118" s="41" t="str">
        <f t="shared" si="18"/>
        <v>Detached A1 WatHeat Wood  (E)|</v>
      </c>
      <c r="D118" s="41"/>
      <c r="E118" s="138" t="str">
        <f>Commodities!$AA$23</f>
        <v>RSD_DTA1_WH</v>
      </c>
      <c r="F118" s="179">
        <v>31.536000000000001</v>
      </c>
    </row>
    <row r="119" spans="2:6">
      <c r="B119" s="152" t="str">
        <f t="shared" si="17"/>
        <v>RSD_DTA1_WH_ELC_E01</v>
      </c>
      <c r="C119" s="152" t="str">
        <f t="shared" si="18"/>
        <v>Detached A1 WatHeat Electric  (E)|</v>
      </c>
      <c r="D119" s="152"/>
      <c r="E119" s="153" t="str">
        <f>Commodities!$AA$23</f>
        <v>RSD_DTA1_WH</v>
      </c>
      <c r="F119" s="224">
        <v>31.536000000000001</v>
      </c>
    </row>
    <row r="120" spans="2:6">
      <c r="B120" s="41" t="str">
        <f t="shared" si="17"/>
        <v>RSD_APA1_WH_BIC_E01</v>
      </c>
      <c r="C120" s="41" t="str">
        <f t="shared" si="18"/>
        <v>Apartment A1 WatHeat Coal  (E)|</v>
      </c>
      <c r="D120" s="41"/>
      <c r="E120" s="138" t="str">
        <f>Commodities!$AA$24</f>
        <v>RSD_APA1_WH</v>
      </c>
      <c r="F120" s="179">
        <v>31.536000000000001</v>
      </c>
    </row>
    <row r="121" spans="2:6">
      <c r="B121" s="41" t="str">
        <f t="shared" si="17"/>
        <v>RSD_APA1_WH_GAS_E01</v>
      </c>
      <c r="C121" s="41" t="str">
        <f t="shared" si="18"/>
        <v>Apartment A1 WatHeat Gas  (E)|</v>
      </c>
      <c r="D121" s="41"/>
      <c r="E121" s="138" t="str">
        <f>Commodities!$AA$24</f>
        <v>RSD_APA1_WH</v>
      </c>
      <c r="F121" s="179">
        <v>31.536000000000001</v>
      </c>
    </row>
    <row r="122" spans="2:6">
      <c r="B122" s="41" t="str">
        <f t="shared" si="17"/>
        <v>RSD_APA1_WH_LTH_E01</v>
      </c>
      <c r="C122" s="41" t="str">
        <f t="shared" si="18"/>
        <v>Apartment A1 WatHeat Dist. Heat (E)|</v>
      </c>
      <c r="D122" s="41"/>
      <c r="E122" s="138" t="str">
        <f>Commodities!$AA$24</f>
        <v>RSD_APA1_WH</v>
      </c>
      <c r="F122" s="179">
        <v>31.536000000000001</v>
      </c>
    </row>
    <row r="123" spans="2:6">
      <c r="B123" s="41" t="str">
        <f t="shared" si="17"/>
        <v>RSD_APA1_WH_LPG_E01</v>
      </c>
      <c r="C123" s="41" t="str">
        <f t="shared" si="18"/>
        <v>Apartment A1 WatHeat LPG  (E)|</v>
      </c>
      <c r="D123" s="41"/>
      <c r="E123" s="138" t="str">
        <f>Commodities!$AA$24</f>
        <v>RSD_APA1_WH</v>
      </c>
      <c r="F123" s="179">
        <v>31.536000000000001</v>
      </c>
    </row>
    <row r="124" spans="2:6">
      <c r="B124" s="41" t="str">
        <f t="shared" si="17"/>
        <v>RSD_APA1_WH_LOG_E01</v>
      </c>
      <c r="C124" s="41" t="str">
        <f t="shared" si="18"/>
        <v>Apartment A1 WatHeat Wood  (E)|</v>
      </c>
      <c r="D124" s="41"/>
      <c r="E124" s="138" t="str">
        <f>Commodities!$AA$24</f>
        <v>RSD_APA1_WH</v>
      </c>
      <c r="F124" s="179">
        <v>31.536000000000001</v>
      </c>
    </row>
    <row r="125" spans="2:6">
      <c r="B125" s="152" t="str">
        <f t="shared" si="17"/>
        <v>RSD_APA1_WH_ELC_E01</v>
      </c>
      <c r="C125" s="152" t="str">
        <f t="shared" si="18"/>
        <v>Apartment A1 WatHeat Electric  (E)|</v>
      </c>
      <c r="D125" s="152"/>
      <c r="E125" s="153" t="str">
        <f>Commodities!$AA$24</f>
        <v>RSD_APA1_WH</v>
      </c>
      <c r="F125" s="224">
        <v>31.536000000000001</v>
      </c>
    </row>
    <row r="126" spans="2:6" hidden="1">
      <c r="B126" s="41" t="s">
        <v>147</v>
      </c>
      <c r="C126" s="41" t="str">
        <f t="shared" si="18"/>
        <v>Detached A2 WatHeat Coal  (E)|</v>
      </c>
      <c r="D126" s="41"/>
      <c r="E126" s="138" t="str">
        <f>Commodities!$AA$25</f>
        <v>RSD_DTA2_WH</v>
      </c>
      <c r="F126" s="179">
        <v>31.536000000000001</v>
      </c>
    </row>
    <row r="127" spans="2:6" hidden="1">
      <c r="B127" s="41" t="s">
        <v>147</v>
      </c>
      <c r="C127" s="41" t="str">
        <f t="shared" si="18"/>
        <v>Detached A2 WatHeat Gas  (E)|</v>
      </c>
      <c r="D127" s="41"/>
      <c r="E127" s="138" t="str">
        <f>Commodities!$AA$25</f>
        <v>RSD_DTA2_WH</v>
      </c>
      <c r="F127" s="179">
        <v>31.536000000000001</v>
      </c>
    </row>
    <row r="128" spans="2:6" hidden="1">
      <c r="B128" s="41" t="s">
        <v>147</v>
      </c>
      <c r="C128" s="41" t="str">
        <f t="shared" si="18"/>
        <v>Detached A2 WatHeat Dist. Heat (E)|</v>
      </c>
      <c r="D128" s="41"/>
      <c r="E128" s="138" t="str">
        <f>Commodities!$AA$25</f>
        <v>RSD_DTA2_WH</v>
      </c>
      <c r="F128" s="179">
        <v>31.536000000000001</v>
      </c>
    </row>
    <row r="129" spans="2:25" hidden="1">
      <c r="B129" s="41" t="s">
        <v>147</v>
      </c>
      <c r="C129" s="41" t="str">
        <f t="shared" si="18"/>
        <v>Detached A2 WatHeat LPG  (E)|</v>
      </c>
      <c r="D129" s="41"/>
      <c r="E129" s="138" t="str">
        <f>Commodities!$AA$25</f>
        <v>RSD_DTA2_WH</v>
      </c>
      <c r="F129" s="179">
        <v>31.536000000000001</v>
      </c>
      <c r="R129" s="44"/>
      <c r="S129" s="44"/>
      <c r="W129" s="51"/>
      <c r="X129" s="51"/>
    </row>
    <row r="130" spans="2:25" hidden="1">
      <c r="B130" s="41" t="s">
        <v>147</v>
      </c>
      <c r="C130" s="41" t="str">
        <f t="shared" si="18"/>
        <v>Detached A2 WatHeat Wood  (E)|</v>
      </c>
      <c r="D130" s="41"/>
      <c r="E130" s="138" t="str">
        <f>Commodities!$AA$25</f>
        <v>RSD_DTA2_WH</v>
      </c>
      <c r="F130" s="179">
        <v>31.536000000000001</v>
      </c>
      <c r="R130" s="44"/>
      <c r="S130" s="44"/>
      <c r="W130" s="51"/>
      <c r="X130" s="51"/>
    </row>
    <row r="131" spans="2:25" hidden="1">
      <c r="B131" s="41" t="s">
        <v>147</v>
      </c>
      <c r="C131" s="152" t="str">
        <f t="shared" si="18"/>
        <v>Detached A2 WatHeat Electric  (E)|</v>
      </c>
      <c r="D131" s="152"/>
      <c r="E131" s="153" t="str">
        <f>Commodities!$AA$25</f>
        <v>RSD_DTA2_WH</v>
      </c>
      <c r="F131" s="224">
        <v>31.536000000000001</v>
      </c>
      <c r="R131" s="44"/>
      <c r="S131" s="44"/>
      <c r="W131" s="51"/>
      <c r="X131" s="51"/>
    </row>
    <row r="132" spans="2:25" hidden="1">
      <c r="B132" s="41" t="s">
        <v>147</v>
      </c>
      <c r="C132" s="41" t="str">
        <f t="shared" si="18"/>
        <v>Apartment A2 WatHeat Coal  (E)|</v>
      </c>
      <c r="D132" s="41"/>
      <c r="E132" s="138" t="str">
        <f>Commodities!$AA$26</f>
        <v>RSD_APA2_WH</v>
      </c>
      <c r="F132" s="179">
        <v>31.536000000000001</v>
      </c>
      <c r="R132" s="44"/>
      <c r="S132" s="44"/>
      <c r="W132" s="51"/>
      <c r="X132" s="51"/>
      <c r="Y132" s="51"/>
    </row>
    <row r="133" spans="2:25" hidden="1">
      <c r="B133" s="41" t="s">
        <v>147</v>
      </c>
      <c r="C133" s="41" t="str">
        <f t="shared" si="18"/>
        <v>Apartment A2 WatHeat Gas  (E)|</v>
      </c>
      <c r="D133" s="41"/>
      <c r="E133" s="138" t="str">
        <f>Commodities!$AA$26</f>
        <v>RSD_APA2_WH</v>
      </c>
      <c r="F133" s="179">
        <v>31.536000000000001</v>
      </c>
      <c r="R133" s="44"/>
      <c r="S133" s="44"/>
      <c r="W133" s="51"/>
      <c r="X133" s="51"/>
      <c r="Y133" s="51"/>
    </row>
    <row r="134" spans="2:25" hidden="1">
      <c r="B134" s="41" t="s">
        <v>147</v>
      </c>
      <c r="C134" s="41" t="str">
        <f t="shared" si="18"/>
        <v>Apartment A2 WatHeat Dist. Heat (E)|</v>
      </c>
      <c r="D134" s="41"/>
      <c r="E134" s="138" t="str">
        <f>Commodities!$AA$26</f>
        <v>RSD_APA2_WH</v>
      </c>
      <c r="F134" s="179">
        <v>31.536000000000001</v>
      </c>
      <c r="R134" s="44"/>
      <c r="S134" s="44"/>
      <c r="W134" s="51"/>
      <c r="X134" s="51"/>
      <c r="Y134" s="51"/>
    </row>
    <row r="135" spans="2:25" hidden="1">
      <c r="B135" s="41" t="s">
        <v>147</v>
      </c>
      <c r="C135" s="41" t="str">
        <f t="shared" si="18"/>
        <v>Apartment A2 WatHeat LPG  (E)|</v>
      </c>
      <c r="D135" s="41"/>
      <c r="E135" s="138" t="str">
        <f>Commodities!$AA$26</f>
        <v>RSD_APA2_WH</v>
      </c>
      <c r="F135" s="179">
        <v>31.536000000000001</v>
      </c>
      <c r="R135" s="44"/>
      <c r="S135" s="44"/>
      <c r="W135" s="51"/>
      <c r="X135" s="51"/>
      <c r="Y135" s="51"/>
    </row>
    <row r="136" spans="2:25" hidden="1">
      <c r="B136" s="41" t="s">
        <v>147</v>
      </c>
      <c r="C136" s="41" t="str">
        <f t="shared" si="18"/>
        <v>Apartment A2 WatHeat Wood  (E)|</v>
      </c>
      <c r="D136" s="41"/>
      <c r="E136" s="138" t="str">
        <f>Commodities!$AA$26</f>
        <v>RSD_APA2_WH</v>
      </c>
      <c r="F136" s="179">
        <v>31.536000000000001</v>
      </c>
      <c r="R136" s="44"/>
      <c r="S136" s="44"/>
      <c r="W136" s="51"/>
      <c r="X136" s="51"/>
      <c r="Y136" s="51"/>
    </row>
    <row r="137" spans="2:25" hidden="1">
      <c r="B137" s="41" t="s">
        <v>147</v>
      </c>
      <c r="C137" s="152" t="str">
        <f t="shared" si="18"/>
        <v>Apartment A2 WatHeat Electric  (E)|</v>
      </c>
      <c r="D137" s="152"/>
      <c r="E137" s="153" t="str">
        <f>Commodities!$AA$26</f>
        <v>RSD_APA2_WH</v>
      </c>
      <c r="F137" s="224">
        <v>31.536000000000001</v>
      </c>
      <c r="R137" s="44"/>
      <c r="S137" s="44"/>
      <c r="W137" s="51"/>
      <c r="X137" s="51"/>
      <c r="Y137" s="51"/>
    </row>
    <row r="138" spans="2:25" hidden="1">
      <c r="B138" s="41" t="s">
        <v>147</v>
      </c>
      <c r="C138" s="41" t="str">
        <f t="shared" si="18"/>
        <v>Detached A3 WatHeat Coal  (E)|</v>
      </c>
      <c r="D138" s="41"/>
      <c r="E138" s="138" t="str">
        <f>Commodities!$AA$27</f>
        <v>RSD_DTA3_WH</v>
      </c>
      <c r="F138" s="179">
        <v>31.536000000000001</v>
      </c>
      <c r="R138" s="44"/>
      <c r="S138" s="44"/>
      <c r="W138" s="51"/>
      <c r="X138" s="51"/>
      <c r="Y138" s="51"/>
    </row>
    <row r="139" spans="2:25" hidden="1">
      <c r="B139" s="41" t="s">
        <v>147</v>
      </c>
      <c r="C139" s="41" t="str">
        <f t="shared" si="18"/>
        <v>Detached A3 WatHeat Gas  (E)|</v>
      </c>
      <c r="D139" s="41"/>
      <c r="E139" s="138" t="str">
        <f>Commodities!$AA$27</f>
        <v>RSD_DTA3_WH</v>
      </c>
      <c r="F139" s="179">
        <v>31.536000000000001</v>
      </c>
      <c r="R139" s="44"/>
      <c r="S139" s="44"/>
      <c r="W139" s="51"/>
      <c r="X139" s="51"/>
      <c r="Y139" s="51"/>
    </row>
    <row r="140" spans="2:25" hidden="1">
      <c r="B140" s="41" t="s">
        <v>147</v>
      </c>
      <c r="C140" s="41" t="str">
        <f t="shared" si="18"/>
        <v>Detached A3 WatHeat Dist. Heat (E)|</v>
      </c>
      <c r="D140" s="41"/>
      <c r="E140" s="138" t="str">
        <f>Commodities!$AA$27</f>
        <v>RSD_DTA3_WH</v>
      </c>
      <c r="F140" s="179">
        <v>31.536000000000001</v>
      </c>
      <c r="R140" s="44"/>
      <c r="S140" s="44"/>
      <c r="W140" s="51"/>
      <c r="X140" s="51"/>
      <c r="Y140" s="51"/>
    </row>
    <row r="141" spans="2:25" hidden="1">
      <c r="B141" s="41" t="s">
        <v>147</v>
      </c>
      <c r="C141" s="41" t="str">
        <f t="shared" si="18"/>
        <v>Detached A3 WatHeat LPG  (E)|</v>
      </c>
      <c r="D141" s="41"/>
      <c r="E141" s="138" t="str">
        <f>Commodities!$AA$27</f>
        <v>RSD_DTA3_WH</v>
      </c>
      <c r="F141" s="179">
        <v>31.536000000000001</v>
      </c>
      <c r="R141" s="44"/>
      <c r="S141" s="44"/>
      <c r="W141" s="51"/>
      <c r="X141" s="51"/>
      <c r="Y141" s="51"/>
    </row>
    <row r="142" spans="2:25" hidden="1">
      <c r="B142" s="41" t="s">
        <v>147</v>
      </c>
      <c r="C142" s="41" t="str">
        <f t="shared" si="18"/>
        <v>Detached A3 WatHeat Wood  (E)|</v>
      </c>
      <c r="D142" s="41"/>
      <c r="E142" s="138" t="str">
        <f>Commodities!$AA$27</f>
        <v>RSD_DTA3_WH</v>
      </c>
      <c r="F142" s="179">
        <v>31.536000000000001</v>
      </c>
      <c r="R142" s="44"/>
      <c r="S142" s="44"/>
      <c r="W142" s="51"/>
      <c r="X142" s="51"/>
      <c r="Y142" s="51"/>
    </row>
    <row r="143" spans="2:25" hidden="1">
      <c r="B143" s="41" t="s">
        <v>147</v>
      </c>
      <c r="C143" s="152" t="str">
        <f t="shared" si="18"/>
        <v>Detached A3 WatHeat Electric  (E)|</v>
      </c>
      <c r="D143" s="152"/>
      <c r="E143" s="153" t="str">
        <f>Commodities!$AA$27</f>
        <v>RSD_DTA3_WH</v>
      </c>
      <c r="F143" s="224">
        <v>31.536000000000001</v>
      </c>
      <c r="R143" s="44"/>
      <c r="S143" s="44"/>
      <c r="W143" s="51"/>
      <c r="X143" s="51"/>
      <c r="Y143" s="51"/>
    </row>
    <row r="144" spans="2:25" hidden="1">
      <c r="B144" s="41" t="s">
        <v>147</v>
      </c>
      <c r="C144" s="41" t="str">
        <f t="shared" si="18"/>
        <v>Apartment A3 WatHeat Coal  (E)|</v>
      </c>
      <c r="D144" s="41"/>
      <c r="E144" s="138" t="str">
        <f>Commodities!$AA$28</f>
        <v>RSD_APA3_WH</v>
      </c>
      <c r="F144" s="179">
        <v>31.536000000000001</v>
      </c>
      <c r="R144" s="44"/>
      <c r="S144" s="44"/>
      <c r="W144" s="51"/>
      <c r="X144" s="51"/>
      <c r="Y144" s="51"/>
    </row>
    <row r="145" spans="1:22" s="51" customFormat="1" hidden="1">
      <c r="A145" s="41"/>
      <c r="B145" s="41" t="s">
        <v>147</v>
      </c>
      <c r="C145" s="41" t="str">
        <f t="shared" si="18"/>
        <v>Apartment A3 WatHeat Gas  (E)|</v>
      </c>
      <c r="D145" s="41"/>
      <c r="E145" s="138" t="str">
        <f>Commodities!$AA$28</f>
        <v>RSD_APA3_WH</v>
      </c>
      <c r="F145" s="179">
        <v>31.536000000000001</v>
      </c>
      <c r="R145" s="44"/>
      <c r="S145" s="44"/>
      <c r="T145" s="44"/>
      <c r="U145" s="44"/>
      <c r="V145" s="44"/>
    </row>
    <row r="146" spans="1:22" s="51" customFormat="1" hidden="1">
      <c r="A146" s="41"/>
      <c r="B146" s="41" t="s">
        <v>147</v>
      </c>
      <c r="C146" s="41" t="str">
        <f t="shared" si="18"/>
        <v>Apartment A3 WatHeat Dist. Heat (E)|</v>
      </c>
      <c r="D146" s="41"/>
      <c r="E146" s="138" t="str">
        <f>Commodities!$AA$28</f>
        <v>RSD_APA3_WH</v>
      </c>
      <c r="F146" s="179">
        <v>31.536000000000001</v>
      </c>
      <c r="R146" s="44"/>
      <c r="S146" s="44"/>
      <c r="T146" s="44"/>
      <c r="U146" s="44"/>
      <c r="V146" s="44"/>
    </row>
    <row r="147" spans="1:22" s="51" customFormat="1" hidden="1">
      <c r="A147" s="41"/>
      <c r="B147" s="41" t="s">
        <v>147</v>
      </c>
      <c r="C147" s="41" t="str">
        <f t="shared" si="18"/>
        <v>Apartment A3 WatHeat LPG  (E)|</v>
      </c>
      <c r="D147" s="41"/>
      <c r="E147" s="138" t="str">
        <f>Commodities!$AA$28</f>
        <v>RSD_APA3_WH</v>
      </c>
      <c r="F147" s="179">
        <v>31.536000000000001</v>
      </c>
      <c r="R147" s="44"/>
      <c r="S147" s="44"/>
      <c r="T147" s="44"/>
      <c r="U147" s="44"/>
      <c r="V147" s="44"/>
    </row>
    <row r="148" spans="1:22" s="51" customFormat="1" hidden="1">
      <c r="A148" s="41"/>
      <c r="B148" s="41" t="s">
        <v>147</v>
      </c>
      <c r="C148" s="41" t="str">
        <f t="shared" si="18"/>
        <v>Apartment A3 WatHeat Wood  (E)|</v>
      </c>
      <c r="D148" s="41"/>
      <c r="E148" s="138" t="str">
        <f>Commodities!$AA$28</f>
        <v>RSD_APA3_WH</v>
      </c>
      <c r="F148" s="179">
        <v>31.536000000000001</v>
      </c>
      <c r="R148" s="44"/>
      <c r="S148" s="44"/>
      <c r="T148" s="44"/>
      <c r="U148" s="44"/>
      <c r="V148" s="44"/>
    </row>
    <row r="149" spans="1:22" s="51" customFormat="1" hidden="1">
      <c r="A149" s="41"/>
      <c r="B149" s="41" t="s">
        <v>147</v>
      </c>
      <c r="C149" s="152" t="str">
        <f t="shared" si="18"/>
        <v>Apartment A3 WatHeat Electric  (E)|</v>
      </c>
      <c r="D149" s="152"/>
      <c r="E149" s="153" t="str">
        <f>Commodities!$AA$28</f>
        <v>RSD_APA3_WH</v>
      </c>
      <c r="F149" s="224">
        <v>31.536000000000001</v>
      </c>
      <c r="R149" s="44"/>
      <c r="S149" s="44"/>
      <c r="T149" s="44"/>
      <c r="U149" s="44"/>
      <c r="V149" s="44"/>
    </row>
    <row r="150" spans="1:22" s="51" customFormat="1" hidden="1">
      <c r="A150" s="41"/>
      <c r="B150" s="41" t="s">
        <v>147</v>
      </c>
      <c r="C150" s="41" t="str">
        <f t="shared" ref="C150:C161" si="19">Q43</f>
        <v>Detached A4 WatHeat Coal  (E)|</v>
      </c>
      <c r="D150" s="41"/>
      <c r="E150" s="138" t="str">
        <f>Commodities!$AA$29</f>
        <v>RSD_DTA4_WH</v>
      </c>
      <c r="F150" s="179">
        <v>31.536000000000001</v>
      </c>
      <c r="R150" s="44"/>
      <c r="S150" s="44"/>
      <c r="T150" s="44"/>
      <c r="U150" s="44"/>
      <c r="V150" s="44"/>
    </row>
    <row r="151" spans="1:22" s="51" customFormat="1" hidden="1">
      <c r="A151" s="41"/>
      <c r="B151" s="41" t="s">
        <v>147</v>
      </c>
      <c r="C151" s="41" t="str">
        <f t="shared" si="19"/>
        <v>Detached A4 WatHeat Gas  (E)|</v>
      </c>
      <c r="D151" s="41"/>
      <c r="E151" s="138" t="str">
        <f>Commodities!$AA$29</f>
        <v>RSD_DTA4_WH</v>
      </c>
      <c r="F151" s="179">
        <v>31.536000000000001</v>
      </c>
      <c r="R151" s="44"/>
      <c r="S151" s="44"/>
      <c r="T151" s="44"/>
      <c r="U151" s="44"/>
      <c r="V151" s="44"/>
    </row>
    <row r="152" spans="1:22" s="51" customFormat="1" hidden="1">
      <c r="A152" s="41"/>
      <c r="B152" s="41" t="s">
        <v>147</v>
      </c>
      <c r="C152" s="41" t="str">
        <f t="shared" si="19"/>
        <v>Detached A4 WatHeat Dist. Heat (E)|</v>
      </c>
      <c r="D152" s="41"/>
      <c r="E152" s="138" t="str">
        <f>Commodities!$AA$29</f>
        <v>RSD_DTA4_WH</v>
      </c>
      <c r="F152" s="179">
        <v>31.536000000000001</v>
      </c>
      <c r="R152" s="44"/>
      <c r="S152" s="44"/>
      <c r="T152" s="44"/>
      <c r="U152" s="44"/>
      <c r="V152" s="44"/>
    </row>
    <row r="153" spans="1:22" s="51" customFormat="1" hidden="1">
      <c r="A153" s="41"/>
      <c r="B153" s="41" t="s">
        <v>147</v>
      </c>
      <c r="C153" s="41" t="str">
        <f t="shared" si="19"/>
        <v>Detached A4 WatHeat LPG  (E)|</v>
      </c>
      <c r="D153" s="41"/>
      <c r="E153" s="138" t="str">
        <f>Commodities!$AA$29</f>
        <v>RSD_DTA4_WH</v>
      </c>
      <c r="F153" s="179">
        <v>31.536000000000001</v>
      </c>
      <c r="R153" s="44"/>
      <c r="S153" s="44"/>
      <c r="T153" s="44"/>
      <c r="U153" s="44"/>
      <c r="V153" s="44"/>
    </row>
    <row r="154" spans="1:22" s="51" customFormat="1" hidden="1">
      <c r="A154" s="41"/>
      <c r="B154" s="41" t="s">
        <v>147</v>
      </c>
      <c r="C154" s="41" t="str">
        <f t="shared" si="19"/>
        <v>Detached A4 WatHeat Wood  (E)|</v>
      </c>
      <c r="D154" s="41"/>
      <c r="E154" s="138" t="str">
        <f>Commodities!$AA$29</f>
        <v>RSD_DTA4_WH</v>
      </c>
      <c r="F154" s="179">
        <v>31.536000000000001</v>
      </c>
      <c r="R154" s="44"/>
      <c r="S154" s="44"/>
      <c r="T154" s="44"/>
      <c r="U154" s="44"/>
      <c r="V154" s="44"/>
    </row>
    <row r="155" spans="1:22" s="51" customFormat="1" hidden="1">
      <c r="A155" s="41"/>
      <c r="B155" s="41" t="s">
        <v>147</v>
      </c>
      <c r="C155" s="152" t="str">
        <f t="shared" si="19"/>
        <v>Detached A4 WatHeat Electric  (E)|</v>
      </c>
      <c r="D155" s="152"/>
      <c r="E155" s="153" t="str">
        <f>Commodities!$AA$29</f>
        <v>RSD_DTA4_WH</v>
      </c>
      <c r="F155" s="224">
        <v>31.536000000000001</v>
      </c>
      <c r="R155" s="44"/>
      <c r="S155" s="44"/>
      <c r="T155" s="44"/>
      <c r="U155" s="44"/>
      <c r="V155" s="44"/>
    </row>
    <row r="156" spans="1:22" s="51" customFormat="1" hidden="1">
      <c r="A156" s="41"/>
      <c r="B156" s="41" t="s">
        <v>147</v>
      </c>
      <c r="C156" s="41" t="str">
        <f t="shared" si="19"/>
        <v>Apartment A4 WatHeat Coal  (E)|</v>
      </c>
      <c r="D156" s="41"/>
      <c r="E156" s="138" t="str">
        <f>Commodities!$AA$30</f>
        <v>RSD_APA4_WH</v>
      </c>
      <c r="F156" s="179">
        <v>31.536000000000001</v>
      </c>
      <c r="R156" s="44"/>
      <c r="S156" s="44"/>
      <c r="T156" s="44"/>
      <c r="U156" s="44"/>
      <c r="V156" s="44"/>
    </row>
    <row r="157" spans="1:22" s="51" customFormat="1" hidden="1">
      <c r="A157" s="41"/>
      <c r="B157" s="41" t="s">
        <v>147</v>
      </c>
      <c r="C157" s="41" t="str">
        <f t="shared" si="19"/>
        <v>Apartment A4 WatHeat Gas  (E)|</v>
      </c>
      <c r="D157" s="41"/>
      <c r="E157" s="138" t="str">
        <f>Commodities!$AA$30</f>
        <v>RSD_APA4_WH</v>
      </c>
      <c r="F157" s="179">
        <v>31.536000000000001</v>
      </c>
      <c r="R157" s="44"/>
      <c r="S157" s="44"/>
      <c r="T157" s="44"/>
      <c r="U157" s="44"/>
      <c r="V157" s="44"/>
    </row>
    <row r="158" spans="1:22" s="51" customFormat="1" hidden="1">
      <c r="A158" s="41"/>
      <c r="B158" s="41" t="s">
        <v>147</v>
      </c>
      <c r="C158" s="41" t="str">
        <f t="shared" si="19"/>
        <v>Apartment A4 WatHeat Dist. Heat (E)|</v>
      </c>
      <c r="D158" s="41"/>
      <c r="E158" s="138" t="str">
        <f>Commodities!$AA$30</f>
        <v>RSD_APA4_WH</v>
      </c>
      <c r="F158" s="179">
        <v>31.536000000000001</v>
      </c>
      <c r="R158" s="44"/>
      <c r="S158" s="44"/>
      <c r="T158" s="44"/>
      <c r="U158" s="44"/>
      <c r="V158" s="44"/>
    </row>
    <row r="159" spans="1:22" s="51" customFormat="1" hidden="1">
      <c r="A159" s="41"/>
      <c r="B159" s="41" t="s">
        <v>147</v>
      </c>
      <c r="C159" s="41" t="str">
        <f t="shared" si="19"/>
        <v>Apartment A4 WatHeat LPG  (E)|</v>
      </c>
      <c r="D159" s="41"/>
      <c r="E159" s="138" t="str">
        <f>Commodities!$AA$30</f>
        <v>RSD_APA4_WH</v>
      </c>
      <c r="F159" s="179">
        <v>31.536000000000001</v>
      </c>
      <c r="R159" s="44"/>
      <c r="S159" s="44"/>
      <c r="T159" s="44"/>
      <c r="U159" s="44"/>
      <c r="V159" s="44"/>
    </row>
    <row r="160" spans="1:22" s="51" customFormat="1" hidden="1">
      <c r="A160" s="41"/>
      <c r="B160" s="41" t="s">
        <v>147</v>
      </c>
      <c r="C160" s="41" t="str">
        <f t="shared" si="19"/>
        <v>Apartment A4 WatHeat Wood  (E)|</v>
      </c>
      <c r="D160" s="41"/>
      <c r="E160" s="138" t="str">
        <f>Commodities!$AA$30</f>
        <v>RSD_APA4_WH</v>
      </c>
      <c r="F160" s="179">
        <v>31.536000000000001</v>
      </c>
      <c r="R160" s="44"/>
      <c r="S160" s="44"/>
      <c r="T160" s="44"/>
      <c r="U160" s="44"/>
      <c r="V160" s="44"/>
    </row>
    <row r="161" spans="2:25" hidden="1">
      <c r="B161" s="41" t="s">
        <v>147</v>
      </c>
      <c r="C161" s="152" t="str">
        <f t="shared" si="19"/>
        <v>Apartment A4 WatHeat Electric  (E)|</v>
      </c>
      <c r="D161" s="152"/>
      <c r="E161" s="153" t="str">
        <f>Commodities!$AA$30</f>
        <v>RSD_APA4_WH</v>
      </c>
      <c r="F161" s="224">
        <v>31.536000000000001</v>
      </c>
      <c r="R161" s="44"/>
      <c r="S161" s="44"/>
      <c r="W161" s="51"/>
      <c r="X161" s="51"/>
      <c r="Y161" s="51"/>
    </row>
    <row r="162" spans="2:25">
      <c r="R162" s="44"/>
      <c r="S162" s="44"/>
      <c r="W162" s="51"/>
      <c r="X162" s="51"/>
      <c r="Y162" s="51"/>
    </row>
    <row r="163" spans="2:25" ht="13.8">
      <c r="E163" s="86" t="s">
        <v>353</v>
      </c>
      <c r="H163" s="86" t="s">
        <v>697</v>
      </c>
      <c r="I163" s="86"/>
      <c r="R163" s="44"/>
      <c r="S163" s="44"/>
      <c r="W163" s="51"/>
      <c r="X163" s="51"/>
      <c r="Y163" s="51"/>
    </row>
    <row r="164" spans="2:25" ht="13.8">
      <c r="B164" s="88" t="s">
        <v>1</v>
      </c>
      <c r="C164" s="88" t="s">
        <v>42</v>
      </c>
      <c r="D164" s="88" t="s">
        <v>7</v>
      </c>
      <c r="E164" s="88" t="s">
        <v>0</v>
      </c>
      <c r="F164" s="121" t="s">
        <v>999</v>
      </c>
      <c r="H164" s="88" t="s">
        <v>1</v>
      </c>
      <c r="I164" s="121" t="s">
        <v>999</v>
      </c>
      <c r="R164" s="44"/>
      <c r="S164" s="44"/>
      <c r="W164" s="51"/>
      <c r="X164" s="51"/>
      <c r="Y164" s="51"/>
    </row>
    <row r="165" spans="2:25" ht="14.4" thickBot="1">
      <c r="B165" s="92" t="s">
        <v>356</v>
      </c>
      <c r="C165" s="92" t="s">
        <v>26</v>
      </c>
      <c r="D165" s="124" t="s">
        <v>36</v>
      </c>
      <c r="E165" s="123"/>
      <c r="F165" s="92"/>
      <c r="H165" s="92" t="s">
        <v>356</v>
      </c>
      <c r="I165" s="92"/>
      <c r="R165" s="44"/>
      <c r="S165" s="44"/>
      <c r="W165" s="51"/>
      <c r="X165" s="51"/>
      <c r="Y165" s="51"/>
    </row>
    <row r="166" spans="2:25" ht="14.4" thickBot="1">
      <c r="B166" s="133" t="s">
        <v>269</v>
      </c>
      <c r="C166" s="133"/>
      <c r="D166" s="133"/>
      <c r="E166" s="213"/>
      <c r="F166" s="212"/>
      <c r="H166" s="92" t="s">
        <v>269</v>
      </c>
      <c r="I166" s="92"/>
      <c r="R166" s="44"/>
      <c r="S166" s="44"/>
      <c r="W166" s="51"/>
      <c r="X166" s="51"/>
      <c r="Y166" s="51"/>
    </row>
    <row r="167" spans="2:25">
      <c r="B167" s="41" t="str">
        <f t="shared" ref="B167" si="20">P7</f>
        <v>RSD_DTA1_WH_BIC_E01</v>
      </c>
      <c r="C167" s="41" t="str">
        <f t="shared" ref="C167" si="21">Q7</f>
        <v>Detached A1 WatHeat Coal  (E)|</v>
      </c>
      <c r="D167" s="41"/>
      <c r="E167" s="138" t="str">
        <f>Commodities!$AA$23</f>
        <v>RSD_DTA1_WH</v>
      </c>
      <c r="F167" s="139">
        <f>IF(F7&gt;0,K7*F60/(F7*F114),0.015)</f>
        <v>1.4999999999999999E-2</v>
      </c>
      <c r="H167" s="41" t="str">
        <f t="shared" ref="H167:H214" si="22">B167</f>
        <v>RSD_DTA1_WH_BIC_E01</v>
      </c>
      <c r="I167" s="179">
        <f t="shared" ref="I167:I214" si="23">IF(F167*Stk_Mult&gt;1,1,F167*Stk_Mult)</f>
        <v>1.4999999999999999E-2</v>
      </c>
      <c r="R167" s="44"/>
      <c r="S167" s="44"/>
      <c r="W167" s="51"/>
      <c r="X167" s="51"/>
      <c r="Y167" s="51"/>
    </row>
    <row r="168" spans="2:25">
      <c r="B168" s="41" t="str">
        <f t="shared" ref="B168:B178" si="24">P8</f>
        <v>RSD_DTA1_WH_GAS_E01</v>
      </c>
      <c r="C168" s="41" t="str">
        <f t="shared" ref="C168:C202" si="25">Q8</f>
        <v>Detached A1 WatHeat Gas  (E)|</v>
      </c>
      <c r="D168" s="41"/>
      <c r="E168" s="138" t="str">
        <f>Commodities!$AA$23</f>
        <v>RSD_DTA1_WH</v>
      </c>
      <c r="F168" s="139">
        <f t="shared" ref="F168:F207" si="26">IF(F8&gt;0,K8*F61/(F8*F115),0.015)</f>
        <v>8.8654721096676325E-2</v>
      </c>
      <c r="H168" s="41" t="str">
        <f t="shared" si="22"/>
        <v>RSD_DTA1_WH_GAS_E01</v>
      </c>
      <c r="I168" s="179">
        <f t="shared" si="23"/>
        <v>8.8654721096676325E-2</v>
      </c>
      <c r="R168" s="44"/>
      <c r="S168" s="44"/>
      <c r="W168" s="51"/>
      <c r="X168" s="51"/>
      <c r="Y168" s="51"/>
    </row>
    <row r="169" spans="2:25">
      <c r="B169" s="41" t="str">
        <f t="shared" si="24"/>
        <v>RSD_DTA1_WH_LTH_E01</v>
      </c>
      <c r="C169" s="41" t="str">
        <f t="shared" si="25"/>
        <v>Detached A1 WatHeat Dist. Heat (E)|</v>
      </c>
      <c r="D169" s="41"/>
      <c r="E169" s="138" t="str">
        <f>Commodities!$AA$23</f>
        <v>RSD_DTA1_WH</v>
      </c>
      <c r="F169" s="139">
        <f t="shared" si="26"/>
        <v>1.4999999999999999E-2</v>
      </c>
      <c r="H169" s="41" t="str">
        <f t="shared" si="22"/>
        <v>RSD_DTA1_WH_LTH_E01</v>
      </c>
      <c r="I169" s="179">
        <f t="shared" si="23"/>
        <v>1.4999999999999999E-2</v>
      </c>
      <c r="R169" s="44"/>
      <c r="S169" s="44"/>
      <c r="W169" s="51"/>
      <c r="X169" s="51"/>
      <c r="Y169" s="51"/>
    </row>
    <row r="170" spans="2:25">
      <c r="B170" s="41" t="str">
        <f t="shared" si="24"/>
        <v>RSD_DTA1_WH_LPG_E01</v>
      </c>
      <c r="C170" s="41" t="str">
        <f t="shared" si="25"/>
        <v>Detached A1 WatHeat LPG  (E)|</v>
      </c>
      <c r="D170" s="41"/>
      <c r="E170" s="138" t="str">
        <f>Commodities!$AA$23</f>
        <v>RSD_DTA1_WH</v>
      </c>
      <c r="F170" s="139">
        <f t="shared" si="26"/>
        <v>8.8654721096676325E-2</v>
      </c>
      <c r="H170" s="41" t="str">
        <f t="shared" si="22"/>
        <v>RSD_DTA1_WH_LPG_E01</v>
      </c>
      <c r="I170" s="179">
        <f t="shared" si="23"/>
        <v>8.8654721096676325E-2</v>
      </c>
      <c r="R170" s="44"/>
      <c r="S170" s="44"/>
      <c r="W170" s="51"/>
      <c r="X170" s="51"/>
      <c r="Y170" s="51"/>
    </row>
    <row r="171" spans="2:25">
      <c r="B171" s="41" t="str">
        <f t="shared" si="24"/>
        <v>RSD_DTA1_WH_LOG_E01</v>
      </c>
      <c r="C171" s="41" t="str">
        <f t="shared" si="25"/>
        <v>Detached A1 WatHeat Wood  (E)|</v>
      </c>
      <c r="D171" s="41"/>
      <c r="E171" s="138" t="str">
        <f>Commodities!$AA$23</f>
        <v>RSD_DTA1_WH</v>
      </c>
      <c r="F171" s="139">
        <f t="shared" si="26"/>
        <v>1.4999999999999999E-2</v>
      </c>
      <c r="H171" s="41" t="str">
        <f t="shared" si="22"/>
        <v>RSD_DTA1_WH_LOG_E01</v>
      </c>
      <c r="I171" s="179">
        <f t="shared" si="23"/>
        <v>1.4999999999999999E-2</v>
      </c>
      <c r="R171" s="44"/>
      <c r="S171" s="44"/>
      <c r="W171" s="51"/>
      <c r="X171" s="51"/>
      <c r="Y171" s="51"/>
    </row>
    <row r="172" spans="2:25">
      <c r="B172" s="152" t="str">
        <f t="shared" si="24"/>
        <v>RSD_DTA1_WH_ELC_E01</v>
      </c>
      <c r="C172" s="152" t="str">
        <f t="shared" si="25"/>
        <v>Detached A1 WatHeat Electric  (E)|</v>
      </c>
      <c r="D172" s="152"/>
      <c r="E172" s="153" t="str">
        <f>Commodities!$AA$23</f>
        <v>RSD_DTA1_WH</v>
      </c>
      <c r="F172" s="225">
        <f>IF(F12&gt;0,K12*F65/(F12*F119),0.1)</f>
        <v>0.1</v>
      </c>
      <c r="H172" s="152" t="str">
        <f t="shared" si="22"/>
        <v>RSD_DTA1_WH_ELC_E01</v>
      </c>
      <c r="I172" s="224">
        <f t="shared" si="23"/>
        <v>0.1</v>
      </c>
      <c r="R172" s="44"/>
      <c r="S172" s="44"/>
      <c r="W172" s="51"/>
      <c r="X172" s="51"/>
      <c r="Y172" s="51"/>
    </row>
    <row r="173" spans="2:25">
      <c r="B173" s="41" t="str">
        <f t="shared" si="24"/>
        <v>RSD_APA1_WH_BIC_E01</v>
      </c>
      <c r="C173" s="41" t="str">
        <f t="shared" si="25"/>
        <v>Apartment A1 WatHeat Coal  (E)|</v>
      </c>
      <c r="D173" s="41"/>
      <c r="E173" s="138" t="str">
        <f>Commodities!$AA$24</f>
        <v>RSD_APA1_WH</v>
      </c>
      <c r="F173" s="139">
        <f>IF(F13&gt;0,K13*F66/(F13*F120),0.04)</f>
        <v>0.04</v>
      </c>
      <c r="H173" s="41" t="str">
        <f t="shared" si="22"/>
        <v>RSD_APA1_WH_BIC_E01</v>
      </c>
      <c r="I173" s="179">
        <f t="shared" si="23"/>
        <v>0.04</v>
      </c>
      <c r="R173" s="44"/>
      <c r="S173" s="44"/>
      <c r="W173" s="51"/>
      <c r="X173" s="51"/>
      <c r="Y173" s="51"/>
    </row>
    <row r="174" spans="2:25">
      <c r="B174" s="41" t="str">
        <f t="shared" si="24"/>
        <v>RSD_APA1_WH_GAS_E01</v>
      </c>
      <c r="C174" s="41" t="str">
        <f t="shared" si="25"/>
        <v>Apartment A1 WatHeat Gas  (E)|</v>
      </c>
      <c r="D174" s="41"/>
      <c r="E174" s="138" t="str">
        <f>Commodities!$AA$24</f>
        <v>RSD_APA1_WH</v>
      </c>
      <c r="F174" s="139">
        <f t="shared" ref="F174:F177" si="27">IF(F14&gt;0,K14*F67/(F14*F121),0.04)</f>
        <v>0.34941718666346111</v>
      </c>
      <c r="H174" s="41" t="str">
        <f t="shared" si="22"/>
        <v>RSD_APA1_WH_GAS_E01</v>
      </c>
      <c r="I174" s="179">
        <f t="shared" si="23"/>
        <v>0.34941718666346111</v>
      </c>
      <c r="R174" s="44"/>
      <c r="S174" s="44"/>
      <c r="W174" s="51"/>
      <c r="X174" s="51"/>
      <c r="Y174" s="51"/>
    </row>
    <row r="175" spans="2:25">
      <c r="B175" s="41" t="str">
        <f t="shared" si="24"/>
        <v>RSD_APA1_WH_LTH_E01</v>
      </c>
      <c r="C175" s="41" t="str">
        <f t="shared" si="25"/>
        <v>Apartment A1 WatHeat Dist. Heat (E)|</v>
      </c>
      <c r="D175" s="41"/>
      <c r="E175" s="138" t="str">
        <f>Commodities!$AA$24</f>
        <v>RSD_APA1_WH</v>
      </c>
      <c r="F175" s="139">
        <f t="shared" si="27"/>
        <v>0.44925066856730717</v>
      </c>
      <c r="H175" s="41" t="str">
        <f t="shared" si="22"/>
        <v>RSD_APA1_WH_LTH_E01</v>
      </c>
      <c r="I175" s="179">
        <f t="shared" si="23"/>
        <v>0.44925066856730717</v>
      </c>
      <c r="R175" s="44"/>
      <c r="S175" s="44"/>
      <c r="W175" s="51"/>
      <c r="X175" s="51"/>
      <c r="Y175" s="51"/>
    </row>
    <row r="176" spans="2:25">
      <c r="B176" s="41" t="str">
        <f t="shared" si="24"/>
        <v>RSD_APA1_WH_LPG_E01</v>
      </c>
      <c r="C176" s="41" t="str">
        <f t="shared" si="25"/>
        <v>Apartment A1 WatHeat LPG  (E)|</v>
      </c>
      <c r="D176" s="41"/>
      <c r="E176" s="138" t="str">
        <f>Commodities!$AA$24</f>
        <v>RSD_APA1_WH</v>
      </c>
      <c r="F176" s="139">
        <f t="shared" si="27"/>
        <v>0.04</v>
      </c>
      <c r="H176" s="41" t="str">
        <f t="shared" si="22"/>
        <v>RSD_APA1_WH_LPG_E01</v>
      </c>
      <c r="I176" s="179">
        <f t="shared" si="23"/>
        <v>0.04</v>
      </c>
      <c r="R176" s="44"/>
      <c r="S176" s="44"/>
      <c r="W176" s="51"/>
      <c r="X176" s="51"/>
      <c r="Y176" s="51"/>
    </row>
    <row r="177" spans="2:25">
      <c r="B177" s="41" t="str">
        <f t="shared" si="24"/>
        <v>RSD_APA1_WH_LOG_E01</v>
      </c>
      <c r="C177" s="41" t="str">
        <f t="shared" si="25"/>
        <v>Apartment A1 WatHeat Wood  (E)|</v>
      </c>
      <c r="D177" s="41"/>
      <c r="E177" s="138" t="str">
        <f>Commodities!$AA$24</f>
        <v>RSD_APA1_WH</v>
      </c>
      <c r="F177" s="139">
        <f t="shared" si="27"/>
        <v>0.04</v>
      </c>
      <c r="H177" s="41" t="str">
        <f t="shared" si="22"/>
        <v>RSD_APA1_WH_LOG_E01</v>
      </c>
      <c r="I177" s="179">
        <f t="shared" si="23"/>
        <v>0.04</v>
      </c>
      <c r="R177" s="44"/>
      <c r="S177" s="44"/>
      <c r="W177" s="51"/>
      <c r="X177" s="51"/>
      <c r="Y177" s="51"/>
    </row>
    <row r="178" spans="2:25">
      <c r="B178" s="152" t="str">
        <f t="shared" si="24"/>
        <v>RSD_APA1_WH_ELC_E01</v>
      </c>
      <c r="C178" s="152" t="str">
        <f t="shared" si="25"/>
        <v>Apartment A1 WatHeat Electric  (E)|</v>
      </c>
      <c r="D178" s="152"/>
      <c r="E178" s="153" t="str">
        <f>Commodities!$AA$24</f>
        <v>RSD_APA1_WH</v>
      </c>
      <c r="F178" s="225">
        <f>IF(F18&gt;0,K18*F71/(F18*F125),0.12)</f>
        <v>0.12</v>
      </c>
      <c r="H178" s="152" t="str">
        <f t="shared" si="22"/>
        <v>RSD_APA1_WH_ELC_E01</v>
      </c>
      <c r="I178" s="224">
        <f t="shared" si="23"/>
        <v>0.12</v>
      </c>
      <c r="R178" s="44"/>
      <c r="S178" s="44"/>
      <c r="W178" s="51"/>
      <c r="X178" s="51"/>
      <c r="Y178" s="51"/>
    </row>
    <row r="179" spans="2:25" hidden="1">
      <c r="B179" s="41" t="s">
        <v>147</v>
      </c>
      <c r="C179" s="41" t="str">
        <f t="shared" si="25"/>
        <v>Detached A2 WatHeat Coal  (E)|</v>
      </c>
      <c r="D179" s="41"/>
      <c r="E179" s="138" t="str">
        <f>Commodities!$AA$25</f>
        <v>RSD_DTA2_WH</v>
      </c>
      <c r="F179" s="139" t="e">
        <f t="shared" si="26"/>
        <v>#DIV/0!</v>
      </c>
      <c r="H179" s="41" t="str">
        <f t="shared" si="22"/>
        <v>*</v>
      </c>
      <c r="I179" s="179" t="e">
        <f t="shared" si="23"/>
        <v>#DIV/0!</v>
      </c>
      <c r="R179" s="44"/>
      <c r="S179" s="44"/>
      <c r="W179" s="51"/>
      <c r="X179" s="51"/>
      <c r="Y179" s="51"/>
    </row>
    <row r="180" spans="2:25" hidden="1">
      <c r="B180" s="41" t="s">
        <v>147</v>
      </c>
      <c r="C180" s="41" t="str">
        <f t="shared" si="25"/>
        <v>Detached A2 WatHeat Gas  (E)|</v>
      </c>
      <c r="D180" s="41"/>
      <c r="E180" s="138" t="str">
        <f>Commodities!$AA$25</f>
        <v>RSD_DTA2_WH</v>
      </c>
      <c r="F180" s="139" t="e">
        <f t="shared" si="26"/>
        <v>#DIV/0!</v>
      </c>
      <c r="H180" s="41" t="str">
        <f t="shared" si="22"/>
        <v>*</v>
      </c>
      <c r="I180" s="179" t="e">
        <f t="shared" si="23"/>
        <v>#DIV/0!</v>
      </c>
      <c r="R180" s="44"/>
      <c r="S180" s="44"/>
      <c r="W180" s="51"/>
      <c r="X180" s="51"/>
      <c r="Y180" s="51"/>
    </row>
    <row r="181" spans="2:25" hidden="1">
      <c r="B181" s="41" t="s">
        <v>147</v>
      </c>
      <c r="C181" s="41" t="str">
        <f t="shared" si="25"/>
        <v>Detached A2 WatHeat Dist. Heat (E)|</v>
      </c>
      <c r="D181" s="41"/>
      <c r="E181" s="138" t="str">
        <f>Commodities!$AA$25</f>
        <v>RSD_DTA2_WH</v>
      </c>
      <c r="F181" s="139" t="e">
        <f t="shared" si="26"/>
        <v>#DIV/0!</v>
      </c>
      <c r="H181" s="41" t="str">
        <f t="shared" si="22"/>
        <v>*</v>
      </c>
      <c r="I181" s="179" t="e">
        <f t="shared" si="23"/>
        <v>#DIV/0!</v>
      </c>
      <c r="R181" s="44"/>
      <c r="S181" s="44"/>
      <c r="W181" s="51"/>
      <c r="X181" s="51"/>
      <c r="Y181" s="51"/>
    </row>
    <row r="182" spans="2:25" hidden="1">
      <c r="B182" s="41" t="s">
        <v>147</v>
      </c>
      <c r="C182" s="41" t="str">
        <f t="shared" si="25"/>
        <v>Detached A2 WatHeat LPG  (E)|</v>
      </c>
      <c r="D182" s="41"/>
      <c r="E182" s="138" t="str">
        <f>Commodities!$AA$25</f>
        <v>RSD_DTA2_WH</v>
      </c>
      <c r="F182" s="139" t="e">
        <f t="shared" si="26"/>
        <v>#DIV/0!</v>
      </c>
      <c r="H182" s="41" t="str">
        <f t="shared" si="22"/>
        <v>*</v>
      </c>
      <c r="I182" s="179" t="e">
        <f t="shared" si="23"/>
        <v>#DIV/0!</v>
      </c>
      <c r="R182" s="44"/>
      <c r="S182" s="44"/>
      <c r="W182" s="51"/>
      <c r="X182" s="51"/>
      <c r="Y182" s="51"/>
    </row>
    <row r="183" spans="2:25" hidden="1">
      <c r="B183" s="41" t="s">
        <v>147</v>
      </c>
      <c r="C183" s="41" t="str">
        <f t="shared" si="25"/>
        <v>Detached A2 WatHeat Wood  (E)|</v>
      </c>
      <c r="D183" s="41"/>
      <c r="E183" s="138" t="str">
        <f>Commodities!$AA$25</f>
        <v>RSD_DTA2_WH</v>
      </c>
      <c r="F183" s="139" t="e">
        <f t="shared" si="26"/>
        <v>#DIV/0!</v>
      </c>
      <c r="H183" s="41" t="str">
        <f t="shared" si="22"/>
        <v>*</v>
      </c>
      <c r="I183" s="179" t="e">
        <f t="shared" si="23"/>
        <v>#DIV/0!</v>
      </c>
      <c r="R183" s="44"/>
      <c r="S183" s="44"/>
      <c r="W183" s="51"/>
      <c r="X183" s="51"/>
      <c r="Y183" s="51"/>
    </row>
    <row r="184" spans="2:25" hidden="1">
      <c r="B184" s="41" t="s">
        <v>147</v>
      </c>
      <c r="C184" s="152" t="str">
        <f t="shared" si="25"/>
        <v>Detached A2 WatHeat Electric  (E)|</v>
      </c>
      <c r="D184" s="152"/>
      <c r="E184" s="153" t="str">
        <f>Commodities!$AA$25</f>
        <v>RSD_DTA2_WH</v>
      </c>
      <c r="F184" s="225" t="e">
        <f>IF(F24&gt;0,K24*F77/(F24*F131),0.1)</f>
        <v>#DIV/0!</v>
      </c>
      <c r="H184" s="152" t="str">
        <f t="shared" si="22"/>
        <v>*</v>
      </c>
      <c r="I184" s="224" t="e">
        <f t="shared" si="23"/>
        <v>#DIV/0!</v>
      </c>
      <c r="R184" s="44"/>
      <c r="S184" s="44"/>
      <c r="W184" s="51"/>
      <c r="X184" s="51"/>
      <c r="Y184" s="51"/>
    </row>
    <row r="185" spans="2:25" hidden="1">
      <c r="B185" s="41" t="s">
        <v>147</v>
      </c>
      <c r="C185" s="41" t="str">
        <f t="shared" si="25"/>
        <v>Apartment A2 WatHeat Coal  (E)|</v>
      </c>
      <c r="D185" s="41"/>
      <c r="E185" s="138" t="str">
        <f>Commodities!$AA$26</f>
        <v>RSD_APA2_WH</v>
      </c>
      <c r="F185" s="139" t="e">
        <f>IF(F25&gt;0,K25*F78/(F25*F132),0.04)</f>
        <v>#DIV/0!</v>
      </c>
      <c r="H185" s="41" t="str">
        <f t="shared" si="22"/>
        <v>*</v>
      </c>
      <c r="I185" s="179" t="e">
        <f t="shared" si="23"/>
        <v>#DIV/0!</v>
      </c>
      <c r="R185" s="44"/>
      <c r="S185" s="44"/>
      <c r="W185" s="51"/>
      <c r="X185" s="51"/>
      <c r="Y185" s="51"/>
    </row>
    <row r="186" spans="2:25" hidden="1">
      <c r="B186" s="41" t="s">
        <v>147</v>
      </c>
      <c r="C186" s="41" t="str">
        <f t="shared" si="25"/>
        <v>Apartment A2 WatHeat Gas  (E)|</v>
      </c>
      <c r="D186" s="41"/>
      <c r="E186" s="138" t="str">
        <f>Commodities!$AA$26</f>
        <v>RSD_APA2_WH</v>
      </c>
      <c r="F186" s="139" t="e">
        <f t="shared" ref="F186:F189" si="28">IF(F26&gt;0,K26*F79/(F26*F133),0.04)</f>
        <v>#DIV/0!</v>
      </c>
      <c r="H186" s="41" t="str">
        <f t="shared" si="22"/>
        <v>*</v>
      </c>
      <c r="I186" s="179" t="e">
        <f t="shared" si="23"/>
        <v>#DIV/0!</v>
      </c>
      <c r="R186" s="44"/>
      <c r="S186" s="44"/>
      <c r="W186" s="51"/>
      <c r="X186" s="51"/>
      <c r="Y186" s="51"/>
    </row>
    <row r="187" spans="2:25" hidden="1">
      <c r="B187" s="41" t="s">
        <v>147</v>
      </c>
      <c r="C187" s="41" t="str">
        <f t="shared" si="25"/>
        <v>Apartment A2 WatHeat Dist. Heat (E)|</v>
      </c>
      <c r="D187" s="41"/>
      <c r="E187" s="138" t="str">
        <f>Commodities!$AA$26</f>
        <v>RSD_APA2_WH</v>
      </c>
      <c r="F187" s="139" t="e">
        <f t="shared" si="28"/>
        <v>#DIV/0!</v>
      </c>
      <c r="H187" s="41" t="str">
        <f t="shared" si="22"/>
        <v>*</v>
      </c>
      <c r="I187" s="179" t="e">
        <f t="shared" si="23"/>
        <v>#DIV/0!</v>
      </c>
      <c r="R187" s="44"/>
      <c r="S187" s="44"/>
      <c r="W187" s="51"/>
      <c r="X187" s="51"/>
      <c r="Y187" s="51"/>
    </row>
    <row r="188" spans="2:25" hidden="1">
      <c r="B188" s="41" t="s">
        <v>147</v>
      </c>
      <c r="C188" s="41" t="str">
        <f t="shared" si="25"/>
        <v>Apartment A2 WatHeat LPG  (E)|</v>
      </c>
      <c r="D188" s="41"/>
      <c r="E188" s="138" t="str">
        <f>Commodities!$AA$26</f>
        <v>RSD_APA2_WH</v>
      </c>
      <c r="F188" s="139" t="e">
        <f t="shared" si="28"/>
        <v>#DIV/0!</v>
      </c>
      <c r="H188" s="41" t="str">
        <f t="shared" si="22"/>
        <v>*</v>
      </c>
      <c r="I188" s="179" t="e">
        <f t="shared" si="23"/>
        <v>#DIV/0!</v>
      </c>
      <c r="R188" s="44"/>
      <c r="S188" s="44"/>
      <c r="W188" s="51"/>
      <c r="X188" s="51"/>
      <c r="Y188" s="51"/>
    </row>
    <row r="189" spans="2:25" hidden="1">
      <c r="B189" s="41" t="s">
        <v>147</v>
      </c>
      <c r="C189" s="41" t="str">
        <f t="shared" si="25"/>
        <v>Apartment A2 WatHeat Wood  (E)|</v>
      </c>
      <c r="D189" s="41"/>
      <c r="E189" s="138" t="str">
        <f>Commodities!$AA$26</f>
        <v>RSD_APA2_WH</v>
      </c>
      <c r="F189" s="139" t="e">
        <f t="shared" si="28"/>
        <v>#DIV/0!</v>
      </c>
      <c r="H189" s="41" t="str">
        <f t="shared" si="22"/>
        <v>*</v>
      </c>
      <c r="I189" s="179" t="e">
        <f t="shared" si="23"/>
        <v>#DIV/0!</v>
      </c>
      <c r="R189" s="44"/>
      <c r="S189" s="44"/>
      <c r="W189" s="51"/>
      <c r="X189" s="51"/>
      <c r="Y189" s="51"/>
    </row>
    <row r="190" spans="2:25" hidden="1">
      <c r="B190" s="41" t="s">
        <v>147</v>
      </c>
      <c r="C190" s="152" t="str">
        <f t="shared" si="25"/>
        <v>Apartment A2 WatHeat Electric  (E)|</v>
      </c>
      <c r="D190" s="152"/>
      <c r="E190" s="153" t="str">
        <f>Commodities!$AA$26</f>
        <v>RSD_APA2_WH</v>
      </c>
      <c r="F190" s="225" t="e">
        <f>IF(F30&gt;0,K30*F83/(F30*F137),0.12)</f>
        <v>#DIV/0!</v>
      </c>
      <c r="H190" s="152" t="str">
        <f t="shared" si="22"/>
        <v>*</v>
      </c>
      <c r="I190" s="224" t="e">
        <f t="shared" si="23"/>
        <v>#DIV/0!</v>
      </c>
      <c r="R190" s="44"/>
      <c r="S190" s="44"/>
      <c r="W190" s="51"/>
      <c r="X190" s="51"/>
      <c r="Y190" s="51"/>
    </row>
    <row r="191" spans="2:25" hidden="1">
      <c r="B191" s="41" t="s">
        <v>147</v>
      </c>
      <c r="C191" s="41" t="str">
        <f t="shared" si="25"/>
        <v>Detached A3 WatHeat Coal  (E)|</v>
      </c>
      <c r="D191" s="41"/>
      <c r="E191" s="138" t="str">
        <f>Commodities!$AA$27</f>
        <v>RSD_DTA3_WH</v>
      </c>
      <c r="F191" s="139" t="e">
        <f t="shared" si="26"/>
        <v>#DIV/0!</v>
      </c>
      <c r="H191" s="41" t="str">
        <f t="shared" si="22"/>
        <v>*</v>
      </c>
      <c r="I191" s="179" t="e">
        <f t="shared" si="23"/>
        <v>#DIV/0!</v>
      </c>
      <c r="R191" s="44"/>
      <c r="S191" s="44"/>
      <c r="W191" s="51"/>
      <c r="X191" s="51"/>
      <c r="Y191" s="51"/>
    </row>
    <row r="192" spans="2:25" hidden="1">
      <c r="B192" s="41" t="s">
        <v>147</v>
      </c>
      <c r="C192" s="41" t="str">
        <f t="shared" si="25"/>
        <v>Detached A3 WatHeat Gas  (E)|</v>
      </c>
      <c r="D192" s="41"/>
      <c r="E192" s="138" t="str">
        <f>Commodities!$AA$27</f>
        <v>RSD_DTA3_WH</v>
      </c>
      <c r="F192" s="139" t="e">
        <f t="shared" si="26"/>
        <v>#DIV/0!</v>
      </c>
      <c r="H192" s="41" t="str">
        <f t="shared" si="22"/>
        <v>*</v>
      </c>
      <c r="I192" s="179" t="e">
        <f t="shared" si="23"/>
        <v>#DIV/0!</v>
      </c>
      <c r="Y192" s="51"/>
    </row>
    <row r="193" spans="2:25" hidden="1">
      <c r="B193" s="41" t="s">
        <v>147</v>
      </c>
      <c r="C193" s="41" t="str">
        <f t="shared" si="25"/>
        <v>Detached A3 WatHeat Dist. Heat (E)|</v>
      </c>
      <c r="D193" s="41"/>
      <c r="E193" s="138" t="str">
        <f>Commodities!$AA$27</f>
        <v>RSD_DTA3_WH</v>
      </c>
      <c r="F193" s="139" t="e">
        <f t="shared" si="26"/>
        <v>#DIV/0!</v>
      </c>
      <c r="H193" s="41" t="str">
        <f t="shared" si="22"/>
        <v>*</v>
      </c>
      <c r="I193" s="179" t="e">
        <f t="shared" si="23"/>
        <v>#DIV/0!</v>
      </c>
      <c r="Y193" s="51"/>
    </row>
    <row r="194" spans="2:25" hidden="1">
      <c r="B194" s="41" t="s">
        <v>147</v>
      </c>
      <c r="C194" s="41" t="str">
        <f t="shared" si="25"/>
        <v>Detached A3 WatHeat LPG  (E)|</v>
      </c>
      <c r="D194" s="41"/>
      <c r="E194" s="138" t="str">
        <f>Commodities!$AA$27</f>
        <v>RSD_DTA3_WH</v>
      </c>
      <c r="F194" s="139" t="e">
        <f t="shared" si="26"/>
        <v>#DIV/0!</v>
      </c>
      <c r="H194" s="41" t="str">
        <f t="shared" si="22"/>
        <v>*</v>
      </c>
      <c r="I194" s="179" t="e">
        <f t="shared" si="23"/>
        <v>#DIV/0!</v>
      </c>
      <c r="Y194" s="51"/>
    </row>
    <row r="195" spans="2:25" hidden="1">
      <c r="B195" s="41" t="s">
        <v>147</v>
      </c>
      <c r="C195" s="41" t="str">
        <f t="shared" si="25"/>
        <v>Detached A3 WatHeat Wood  (E)|</v>
      </c>
      <c r="D195" s="41"/>
      <c r="E195" s="138" t="str">
        <f>Commodities!$AA$27</f>
        <v>RSD_DTA3_WH</v>
      </c>
      <c r="F195" s="139" t="e">
        <f t="shared" si="26"/>
        <v>#DIV/0!</v>
      </c>
      <c r="H195" s="41" t="str">
        <f t="shared" si="22"/>
        <v>*</v>
      </c>
      <c r="I195" s="179" t="e">
        <f t="shared" si="23"/>
        <v>#DIV/0!</v>
      </c>
    </row>
    <row r="196" spans="2:25" hidden="1">
      <c r="B196" s="41" t="s">
        <v>147</v>
      </c>
      <c r="C196" s="152" t="str">
        <f t="shared" si="25"/>
        <v>Detached A3 WatHeat Electric  (E)|</v>
      </c>
      <c r="D196" s="152"/>
      <c r="E196" s="153" t="str">
        <f>Commodities!$AA$27</f>
        <v>RSD_DTA3_WH</v>
      </c>
      <c r="F196" s="225" t="e">
        <f>IF(F36&gt;0,K36*F89/(F36*F143),0.1)</f>
        <v>#DIV/0!</v>
      </c>
      <c r="H196" s="152" t="str">
        <f t="shared" si="22"/>
        <v>*</v>
      </c>
      <c r="I196" s="224" t="e">
        <f t="shared" si="23"/>
        <v>#DIV/0!</v>
      </c>
    </row>
    <row r="197" spans="2:25" hidden="1">
      <c r="B197" s="41" t="s">
        <v>147</v>
      </c>
      <c r="C197" s="41" t="str">
        <f t="shared" si="25"/>
        <v>Apartment A3 WatHeat Coal  (E)|</v>
      </c>
      <c r="D197" s="41"/>
      <c r="E197" s="138" t="str">
        <f>Commodities!$AA$28</f>
        <v>RSD_APA3_WH</v>
      </c>
      <c r="F197" s="139" t="e">
        <f>IF(F37&gt;0,K37*F90/(F37*F144),0.04)</f>
        <v>#DIV/0!</v>
      </c>
      <c r="H197" s="41" t="str">
        <f t="shared" si="22"/>
        <v>*</v>
      </c>
      <c r="I197" s="179" t="e">
        <f t="shared" si="23"/>
        <v>#DIV/0!</v>
      </c>
    </row>
    <row r="198" spans="2:25" hidden="1">
      <c r="B198" s="41" t="s">
        <v>147</v>
      </c>
      <c r="C198" s="41" t="str">
        <f t="shared" si="25"/>
        <v>Apartment A3 WatHeat Gas  (E)|</v>
      </c>
      <c r="D198" s="41"/>
      <c r="E198" s="138" t="str">
        <f>Commodities!$AA$28</f>
        <v>RSD_APA3_WH</v>
      </c>
      <c r="F198" s="139" t="e">
        <f t="shared" ref="F198:F201" si="29">IF(F38&gt;0,K38*F91/(F38*F145),0.04)</f>
        <v>#DIV/0!</v>
      </c>
      <c r="H198" s="41" t="str">
        <f t="shared" si="22"/>
        <v>*</v>
      </c>
      <c r="I198" s="179" t="e">
        <f t="shared" si="23"/>
        <v>#DIV/0!</v>
      </c>
    </row>
    <row r="199" spans="2:25" hidden="1">
      <c r="B199" s="41" t="s">
        <v>147</v>
      </c>
      <c r="C199" s="41" t="str">
        <f t="shared" si="25"/>
        <v>Apartment A3 WatHeat Dist. Heat (E)|</v>
      </c>
      <c r="D199" s="41"/>
      <c r="E199" s="138" t="str">
        <f>Commodities!$AA$28</f>
        <v>RSD_APA3_WH</v>
      </c>
      <c r="F199" s="139" t="e">
        <f t="shared" si="29"/>
        <v>#DIV/0!</v>
      </c>
      <c r="H199" s="41" t="str">
        <f t="shared" si="22"/>
        <v>*</v>
      </c>
      <c r="I199" s="179" t="e">
        <f t="shared" si="23"/>
        <v>#DIV/0!</v>
      </c>
    </row>
    <row r="200" spans="2:25" hidden="1">
      <c r="B200" s="41" t="s">
        <v>147</v>
      </c>
      <c r="C200" s="41" t="str">
        <f t="shared" si="25"/>
        <v>Apartment A3 WatHeat LPG  (E)|</v>
      </c>
      <c r="D200" s="41"/>
      <c r="E200" s="138" t="str">
        <f>Commodities!$AA$28</f>
        <v>RSD_APA3_WH</v>
      </c>
      <c r="F200" s="139" t="e">
        <f t="shared" si="29"/>
        <v>#DIV/0!</v>
      </c>
      <c r="H200" s="41" t="str">
        <f t="shared" si="22"/>
        <v>*</v>
      </c>
      <c r="I200" s="179" t="e">
        <f t="shared" si="23"/>
        <v>#DIV/0!</v>
      </c>
    </row>
    <row r="201" spans="2:25" hidden="1">
      <c r="B201" s="41" t="s">
        <v>147</v>
      </c>
      <c r="C201" s="41" t="str">
        <f t="shared" si="25"/>
        <v>Apartment A3 WatHeat Wood  (E)|</v>
      </c>
      <c r="D201" s="41"/>
      <c r="E201" s="138" t="str">
        <f>Commodities!$AA$28</f>
        <v>RSD_APA3_WH</v>
      </c>
      <c r="F201" s="139" t="e">
        <f t="shared" si="29"/>
        <v>#DIV/0!</v>
      </c>
      <c r="H201" s="41" t="str">
        <f t="shared" si="22"/>
        <v>*</v>
      </c>
      <c r="I201" s="179" t="e">
        <f t="shared" si="23"/>
        <v>#DIV/0!</v>
      </c>
    </row>
    <row r="202" spans="2:25" hidden="1">
      <c r="B202" s="41" t="s">
        <v>147</v>
      </c>
      <c r="C202" s="152" t="str">
        <f t="shared" si="25"/>
        <v>Apartment A3 WatHeat Electric  (E)|</v>
      </c>
      <c r="D202" s="152"/>
      <c r="E202" s="153" t="str">
        <f>Commodities!$AA$28</f>
        <v>RSD_APA3_WH</v>
      </c>
      <c r="F202" s="225" t="e">
        <f>IF(F42&gt;0,K42*F95/(F42*F149),0.12)</f>
        <v>#DIV/0!</v>
      </c>
      <c r="G202" s="152"/>
      <c r="H202" s="152" t="str">
        <f t="shared" si="22"/>
        <v>*</v>
      </c>
      <c r="I202" s="224" t="e">
        <f t="shared" si="23"/>
        <v>#DIV/0!</v>
      </c>
    </row>
    <row r="203" spans="2:25" hidden="1">
      <c r="B203" s="41" t="s">
        <v>147</v>
      </c>
      <c r="C203" s="41" t="str">
        <f t="shared" ref="C203:C214" si="30">Q43</f>
        <v>Detached A4 WatHeat Coal  (E)|</v>
      </c>
      <c r="D203" s="41"/>
      <c r="E203" s="138" t="str">
        <f>Commodities!$AA$29</f>
        <v>RSD_DTA4_WH</v>
      </c>
      <c r="F203" s="139" t="e">
        <f t="shared" si="26"/>
        <v>#DIV/0!</v>
      </c>
      <c r="H203" s="41" t="str">
        <f t="shared" si="22"/>
        <v>*</v>
      </c>
      <c r="I203" s="179" t="e">
        <f t="shared" si="23"/>
        <v>#DIV/0!</v>
      </c>
    </row>
    <row r="204" spans="2:25" hidden="1">
      <c r="B204" s="41" t="s">
        <v>147</v>
      </c>
      <c r="C204" s="41" t="str">
        <f t="shared" si="30"/>
        <v>Detached A4 WatHeat Gas  (E)|</v>
      </c>
      <c r="D204" s="41"/>
      <c r="E204" s="138" t="str">
        <f>Commodities!$AA$29</f>
        <v>RSD_DTA4_WH</v>
      </c>
      <c r="F204" s="139" t="e">
        <f t="shared" si="26"/>
        <v>#DIV/0!</v>
      </c>
      <c r="H204" s="41" t="str">
        <f t="shared" si="22"/>
        <v>*</v>
      </c>
      <c r="I204" s="179" t="e">
        <f t="shared" si="23"/>
        <v>#DIV/0!</v>
      </c>
    </row>
    <row r="205" spans="2:25" hidden="1">
      <c r="B205" s="41" t="s">
        <v>147</v>
      </c>
      <c r="C205" s="41" t="str">
        <f t="shared" si="30"/>
        <v>Detached A4 WatHeat Dist. Heat (E)|</v>
      </c>
      <c r="D205" s="41"/>
      <c r="E205" s="138" t="str">
        <f>Commodities!$AA$29</f>
        <v>RSD_DTA4_WH</v>
      </c>
      <c r="F205" s="139" t="e">
        <f t="shared" si="26"/>
        <v>#DIV/0!</v>
      </c>
      <c r="H205" s="41" t="str">
        <f t="shared" si="22"/>
        <v>*</v>
      </c>
      <c r="I205" s="179" t="e">
        <f t="shared" si="23"/>
        <v>#DIV/0!</v>
      </c>
    </row>
    <row r="206" spans="2:25" hidden="1">
      <c r="B206" s="41" t="s">
        <v>147</v>
      </c>
      <c r="C206" s="41" t="str">
        <f t="shared" si="30"/>
        <v>Detached A4 WatHeat LPG  (E)|</v>
      </c>
      <c r="D206" s="41"/>
      <c r="E206" s="138" t="str">
        <f>Commodities!$AA$29</f>
        <v>RSD_DTA4_WH</v>
      </c>
      <c r="F206" s="139" t="e">
        <f t="shared" si="26"/>
        <v>#DIV/0!</v>
      </c>
      <c r="H206" s="41" t="str">
        <f t="shared" si="22"/>
        <v>*</v>
      </c>
      <c r="I206" s="179" t="e">
        <f t="shared" si="23"/>
        <v>#DIV/0!</v>
      </c>
    </row>
    <row r="207" spans="2:25" hidden="1">
      <c r="B207" s="41" t="s">
        <v>147</v>
      </c>
      <c r="C207" s="41" t="str">
        <f t="shared" si="30"/>
        <v>Detached A4 WatHeat Wood  (E)|</v>
      </c>
      <c r="D207" s="41"/>
      <c r="E207" s="138" t="str">
        <f>Commodities!$AA$29</f>
        <v>RSD_DTA4_WH</v>
      </c>
      <c r="F207" s="139" t="e">
        <f t="shared" si="26"/>
        <v>#DIV/0!</v>
      </c>
      <c r="H207" s="41" t="str">
        <f t="shared" si="22"/>
        <v>*</v>
      </c>
      <c r="I207" s="179" t="e">
        <f t="shared" si="23"/>
        <v>#DIV/0!</v>
      </c>
    </row>
    <row r="208" spans="2:25" hidden="1">
      <c r="B208" s="41" t="s">
        <v>147</v>
      </c>
      <c r="C208" s="152" t="str">
        <f t="shared" si="30"/>
        <v>Detached A4 WatHeat Electric  (E)|</v>
      </c>
      <c r="D208" s="152"/>
      <c r="E208" s="153" t="str">
        <f>Commodities!$AA$29</f>
        <v>RSD_DTA4_WH</v>
      </c>
      <c r="F208" s="225" t="e">
        <f>IF(F48&gt;0,K48*F101/(F48*F155),0.12)</f>
        <v>#DIV/0!</v>
      </c>
      <c r="H208" s="152" t="str">
        <f t="shared" si="22"/>
        <v>*</v>
      </c>
      <c r="I208" s="224" t="e">
        <f t="shared" si="23"/>
        <v>#DIV/0!</v>
      </c>
    </row>
    <row r="209" spans="2:9" hidden="1">
      <c r="B209" s="41" t="s">
        <v>147</v>
      </c>
      <c r="C209" s="41" t="str">
        <f t="shared" si="30"/>
        <v>Apartment A4 WatHeat Coal  (E)|</v>
      </c>
      <c r="D209" s="41"/>
      <c r="E209" s="138" t="str">
        <f>Commodities!$AA$30</f>
        <v>RSD_APA4_WH</v>
      </c>
      <c r="F209" s="139" t="e">
        <f>IF(F49&gt;0,K49*F102/(F49*F156),0.04)</f>
        <v>#VALUE!</v>
      </c>
      <c r="H209" s="41" t="str">
        <f t="shared" si="22"/>
        <v>*</v>
      </c>
      <c r="I209" s="179" t="e">
        <f t="shared" si="23"/>
        <v>#VALUE!</v>
      </c>
    </row>
    <row r="210" spans="2:9" hidden="1">
      <c r="B210" s="41" t="s">
        <v>147</v>
      </c>
      <c r="C210" s="41" t="str">
        <f t="shared" si="30"/>
        <v>Apartment A4 WatHeat Gas  (E)|</v>
      </c>
      <c r="D210" s="41"/>
      <c r="E210" s="138" t="str">
        <f>Commodities!$AA$30</f>
        <v>RSD_APA4_WH</v>
      </c>
      <c r="F210" s="139" t="e">
        <f t="shared" ref="F210:F213" si="31">IF(F50&gt;0,K50*F103/(F50*F157),0.04)</f>
        <v>#VALUE!</v>
      </c>
      <c r="H210" s="41" t="str">
        <f t="shared" si="22"/>
        <v>*</v>
      </c>
      <c r="I210" s="179" t="e">
        <f t="shared" si="23"/>
        <v>#VALUE!</v>
      </c>
    </row>
    <row r="211" spans="2:9" hidden="1">
      <c r="B211" s="41" t="s">
        <v>147</v>
      </c>
      <c r="C211" s="41" t="str">
        <f t="shared" si="30"/>
        <v>Apartment A4 WatHeat Dist. Heat (E)|</v>
      </c>
      <c r="D211" s="41"/>
      <c r="E211" s="138" t="str">
        <f>Commodities!$AA$30</f>
        <v>RSD_APA4_WH</v>
      </c>
      <c r="F211" s="139" t="e">
        <f t="shared" si="31"/>
        <v>#VALUE!</v>
      </c>
      <c r="H211" s="41" t="str">
        <f t="shared" si="22"/>
        <v>*</v>
      </c>
      <c r="I211" s="179" t="e">
        <f t="shared" si="23"/>
        <v>#VALUE!</v>
      </c>
    </row>
    <row r="212" spans="2:9" hidden="1">
      <c r="B212" s="41" t="s">
        <v>147</v>
      </c>
      <c r="C212" s="41" t="str">
        <f t="shared" si="30"/>
        <v>Apartment A4 WatHeat LPG  (E)|</v>
      </c>
      <c r="D212" s="41"/>
      <c r="E212" s="138" t="str">
        <f>Commodities!$AA$30</f>
        <v>RSD_APA4_WH</v>
      </c>
      <c r="F212" s="139" t="e">
        <f t="shared" si="31"/>
        <v>#VALUE!</v>
      </c>
      <c r="H212" s="41" t="str">
        <f t="shared" si="22"/>
        <v>*</v>
      </c>
      <c r="I212" s="179" t="e">
        <f t="shared" si="23"/>
        <v>#VALUE!</v>
      </c>
    </row>
    <row r="213" spans="2:9" hidden="1">
      <c r="B213" s="41" t="s">
        <v>147</v>
      </c>
      <c r="C213" s="41" t="str">
        <f t="shared" si="30"/>
        <v>Apartment A4 WatHeat Wood  (E)|</v>
      </c>
      <c r="D213" s="41"/>
      <c r="E213" s="138" t="str">
        <f>Commodities!$AA$30</f>
        <v>RSD_APA4_WH</v>
      </c>
      <c r="F213" s="139" t="e">
        <f t="shared" si="31"/>
        <v>#VALUE!</v>
      </c>
      <c r="H213" s="41" t="str">
        <f t="shared" si="22"/>
        <v>*</v>
      </c>
      <c r="I213" s="179" t="e">
        <f t="shared" si="23"/>
        <v>#VALUE!</v>
      </c>
    </row>
    <row r="214" spans="2:9" hidden="1">
      <c r="B214" s="41" t="s">
        <v>147</v>
      </c>
      <c r="C214" s="152" t="str">
        <f t="shared" si="30"/>
        <v>Apartment A4 WatHeat Electric  (E)|</v>
      </c>
      <c r="D214" s="152"/>
      <c r="E214" s="153" t="str">
        <f>Commodities!$AA$30</f>
        <v>RSD_APA4_WH</v>
      </c>
      <c r="F214" s="225" t="e">
        <f>IF(F54&gt;0,K54*F107/(F54*F161),0.12)</f>
        <v>#VALUE!</v>
      </c>
      <c r="H214" s="41" t="str">
        <f t="shared" si="22"/>
        <v>*</v>
      </c>
      <c r="I214" s="179" t="e">
        <f t="shared" si="23"/>
        <v>#VALUE!</v>
      </c>
    </row>
    <row r="215" spans="2:9" ht="13.8">
      <c r="E215" s="86"/>
    </row>
    <row r="216" spans="2:9" ht="13.8">
      <c r="E216" s="86"/>
    </row>
    <row r="217" spans="2:9" ht="13.8">
      <c r="E217" s="86" t="s">
        <v>354</v>
      </c>
    </row>
    <row r="218" spans="2:9" ht="13.8">
      <c r="B218" s="88" t="s">
        <v>1</v>
      </c>
      <c r="C218" s="88" t="s">
        <v>42</v>
      </c>
      <c r="D218" s="88" t="s">
        <v>7</v>
      </c>
      <c r="E218" s="89" t="s">
        <v>0</v>
      </c>
      <c r="F218" s="121" t="s">
        <v>999</v>
      </c>
    </row>
    <row r="219" spans="2:9" ht="14.4" thickBot="1">
      <c r="B219" s="92" t="s">
        <v>356</v>
      </c>
      <c r="C219" s="92" t="s">
        <v>26</v>
      </c>
      <c r="D219" s="124" t="s">
        <v>36</v>
      </c>
      <c r="E219" s="123"/>
      <c r="F219" s="92"/>
    </row>
    <row r="220" spans="2:9" ht="13.8">
      <c r="B220" s="133" t="s">
        <v>269</v>
      </c>
      <c r="C220" s="133"/>
      <c r="D220" s="133"/>
      <c r="E220" s="213"/>
      <c r="F220" s="212"/>
    </row>
    <row r="221" spans="2:9">
      <c r="B221" s="41" t="str">
        <f t="shared" ref="B221:C221" si="32">P7</f>
        <v>RSD_DTA1_WH_BIC_E01</v>
      </c>
      <c r="C221" s="41" t="str">
        <f t="shared" si="32"/>
        <v>Detached A1 WatHeat Coal  (E)|</v>
      </c>
      <c r="D221" s="41"/>
      <c r="E221" s="138" t="str">
        <f>Commodities!$AA$23</f>
        <v>RSD_DTA1_WH</v>
      </c>
      <c r="F221" s="179">
        <v>10</v>
      </c>
    </row>
    <row r="222" spans="2:9">
      <c r="B222" s="41" t="str">
        <f t="shared" ref="B222:C227" si="33">P8</f>
        <v>RSD_DTA1_WH_GAS_E01</v>
      </c>
      <c r="C222" s="41" t="str">
        <f t="shared" si="33"/>
        <v>Detached A1 WatHeat Gas  (E)|</v>
      </c>
      <c r="D222" s="41"/>
      <c r="E222" s="138" t="str">
        <f>Commodities!$AA$23</f>
        <v>RSD_DTA1_WH</v>
      </c>
      <c r="F222" s="179">
        <v>15</v>
      </c>
    </row>
    <row r="223" spans="2:9">
      <c r="B223" s="41" t="str">
        <f t="shared" si="33"/>
        <v>RSD_DTA1_WH_LTH_E01</v>
      </c>
      <c r="C223" s="41" t="str">
        <f t="shared" si="33"/>
        <v>Detached A1 WatHeat Dist. Heat (E)|</v>
      </c>
      <c r="D223" s="41"/>
      <c r="E223" s="138" t="str">
        <f>Commodities!$AA$23</f>
        <v>RSD_DTA1_WH</v>
      </c>
      <c r="F223" s="179">
        <v>20</v>
      </c>
    </row>
    <row r="224" spans="2:9">
      <c r="B224" s="41" t="str">
        <f t="shared" si="33"/>
        <v>RSD_DTA1_WH_LPG_E01</v>
      </c>
      <c r="C224" s="41" t="str">
        <f t="shared" si="33"/>
        <v>Detached A1 WatHeat LPG  (E)|</v>
      </c>
      <c r="D224" s="41"/>
      <c r="E224" s="138" t="str">
        <f>Commodities!$AA$23</f>
        <v>RSD_DTA1_WH</v>
      </c>
      <c r="F224" s="179">
        <v>15</v>
      </c>
    </row>
    <row r="225" spans="2:6">
      <c r="B225" s="41" t="str">
        <f t="shared" si="33"/>
        <v>RSD_DTA1_WH_LOG_E01</v>
      </c>
      <c r="C225" s="41" t="str">
        <f t="shared" si="33"/>
        <v>Detached A1 WatHeat Wood  (E)|</v>
      </c>
      <c r="D225" s="41"/>
      <c r="E225" s="138" t="str">
        <f>Commodities!$AA$23</f>
        <v>RSD_DTA1_WH</v>
      </c>
      <c r="F225" s="179">
        <v>30</v>
      </c>
    </row>
    <row r="226" spans="2:6">
      <c r="B226" s="152" t="str">
        <f t="shared" si="33"/>
        <v>RSD_DTA1_WH_ELC_E01</v>
      </c>
      <c r="C226" s="152" t="str">
        <f t="shared" si="33"/>
        <v>Detached A1 WatHeat Electric  (E)|</v>
      </c>
      <c r="D226" s="152"/>
      <c r="E226" s="153" t="str">
        <f>Commodities!$AA$23</f>
        <v>RSD_DTA1_WH</v>
      </c>
      <c r="F226" s="224">
        <v>20</v>
      </c>
    </row>
    <row r="227" spans="2:6">
      <c r="B227" s="41" t="str">
        <f t="shared" si="33"/>
        <v>RSD_APA1_WH_BIC_E01</v>
      </c>
      <c r="C227" s="41" t="str">
        <f t="shared" si="33"/>
        <v>Apartment A1 WatHeat Coal  (E)|</v>
      </c>
      <c r="D227" s="41"/>
      <c r="E227" s="138" t="str">
        <f>Commodities!$AA$24</f>
        <v>RSD_APA1_WH</v>
      </c>
      <c r="F227" s="179">
        <v>10</v>
      </c>
    </row>
    <row r="228" spans="2:6">
      <c r="B228" s="41" t="str">
        <f t="shared" ref="B228:C233" si="34">P14</f>
        <v>RSD_APA1_WH_GAS_E01</v>
      </c>
      <c r="C228" s="41" t="str">
        <f t="shared" si="34"/>
        <v>Apartment A1 WatHeat Gas  (E)|</v>
      </c>
      <c r="D228" s="41"/>
      <c r="E228" s="138" t="str">
        <f>Commodities!$AA$24</f>
        <v>RSD_APA1_WH</v>
      </c>
      <c r="F228" s="179">
        <v>15</v>
      </c>
    </row>
    <row r="229" spans="2:6">
      <c r="B229" s="41" t="str">
        <f t="shared" si="34"/>
        <v>RSD_APA1_WH_LTH_E01</v>
      </c>
      <c r="C229" s="41" t="str">
        <f t="shared" si="34"/>
        <v>Apartment A1 WatHeat Dist. Heat (E)|</v>
      </c>
      <c r="D229" s="41"/>
      <c r="E229" s="138" t="str">
        <f>Commodities!$AA$24</f>
        <v>RSD_APA1_WH</v>
      </c>
      <c r="F229" s="179">
        <v>20</v>
      </c>
    </row>
    <row r="230" spans="2:6">
      <c r="B230" s="41" t="str">
        <f t="shared" si="34"/>
        <v>RSD_APA1_WH_LPG_E01</v>
      </c>
      <c r="C230" s="41" t="str">
        <f t="shared" si="34"/>
        <v>Apartment A1 WatHeat LPG  (E)|</v>
      </c>
      <c r="D230" s="41"/>
      <c r="E230" s="138" t="str">
        <f>Commodities!$AA$24</f>
        <v>RSD_APA1_WH</v>
      </c>
      <c r="F230" s="179">
        <v>15</v>
      </c>
    </row>
    <row r="231" spans="2:6">
      <c r="B231" s="41" t="str">
        <f t="shared" si="34"/>
        <v>RSD_APA1_WH_LOG_E01</v>
      </c>
      <c r="C231" s="41" t="str">
        <f t="shared" si="34"/>
        <v>Apartment A1 WatHeat Wood  (E)|</v>
      </c>
      <c r="D231" s="41"/>
      <c r="E231" s="138" t="str">
        <f>Commodities!$AA$24</f>
        <v>RSD_APA1_WH</v>
      </c>
      <c r="F231" s="179">
        <v>30</v>
      </c>
    </row>
    <row r="232" spans="2:6">
      <c r="B232" s="152" t="str">
        <f t="shared" si="34"/>
        <v>RSD_APA1_WH_ELC_E01</v>
      </c>
      <c r="C232" s="152" t="str">
        <f t="shared" si="34"/>
        <v>Apartment A1 WatHeat Electric  (E)|</v>
      </c>
      <c r="D232" s="152"/>
      <c r="E232" s="153" t="str">
        <f>Commodities!$AA$24</f>
        <v>RSD_APA1_WH</v>
      </c>
      <c r="F232" s="224">
        <v>20</v>
      </c>
    </row>
    <row r="233" spans="2:6" hidden="1">
      <c r="B233" s="41" t="s">
        <v>147</v>
      </c>
      <c r="C233" s="41" t="str">
        <f t="shared" si="34"/>
        <v>Detached A2 WatHeat Coal  (E)|</v>
      </c>
      <c r="D233" s="41"/>
      <c r="E233" s="138" t="str">
        <f>Commodities!$AA$25</f>
        <v>RSD_DTA2_WH</v>
      </c>
      <c r="F233" s="179">
        <v>10</v>
      </c>
    </row>
    <row r="234" spans="2:6" hidden="1">
      <c r="B234" s="41" t="s">
        <v>147</v>
      </c>
      <c r="C234" s="41" t="str">
        <f t="shared" ref="C234:C256" si="35">Q20</f>
        <v>Detached A2 WatHeat Gas  (E)|</v>
      </c>
      <c r="D234" s="41"/>
      <c r="E234" s="138" t="str">
        <f>Commodities!$AA$25</f>
        <v>RSD_DTA2_WH</v>
      </c>
      <c r="F234" s="179">
        <v>15</v>
      </c>
    </row>
    <row r="235" spans="2:6" hidden="1">
      <c r="B235" s="41" t="s">
        <v>147</v>
      </c>
      <c r="C235" s="41" t="str">
        <f t="shared" si="35"/>
        <v>Detached A2 WatHeat Dist. Heat (E)|</v>
      </c>
      <c r="D235" s="41"/>
      <c r="E235" s="138" t="str">
        <f>Commodities!$AA$25</f>
        <v>RSD_DTA2_WH</v>
      </c>
      <c r="F235" s="179">
        <v>20</v>
      </c>
    </row>
    <row r="236" spans="2:6" hidden="1">
      <c r="B236" s="41" t="s">
        <v>147</v>
      </c>
      <c r="C236" s="41" t="str">
        <f t="shared" si="35"/>
        <v>Detached A2 WatHeat LPG  (E)|</v>
      </c>
      <c r="D236" s="41"/>
      <c r="E236" s="138" t="str">
        <f>Commodities!$AA$25</f>
        <v>RSD_DTA2_WH</v>
      </c>
      <c r="F236" s="179">
        <v>15</v>
      </c>
    </row>
    <row r="237" spans="2:6" hidden="1">
      <c r="B237" s="41" t="s">
        <v>147</v>
      </c>
      <c r="C237" s="41" t="str">
        <f t="shared" si="35"/>
        <v>Detached A2 WatHeat Wood  (E)|</v>
      </c>
      <c r="D237" s="41"/>
      <c r="E237" s="138" t="str">
        <f>Commodities!$AA$25</f>
        <v>RSD_DTA2_WH</v>
      </c>
      <c r="F237" s="179">
        <v>30</v>
      </c>
    </row>
    <row r="238" spans="2:6" hidden="1">
      <c r="B238" s="41" t="s">
        <v>147</v>
      </c>
      <c r="C238" s="152" t="str">
        <f t="shared" si="35"/>
        <v>Detached A2 WatHeat Electric  (E)|</v>
      </c>
      <c r="D238" s="152"/>
      <c r="E238" s="153" t="str">
        <f>Commodities!$AA$25</f>
        <v>RSD_DTA2_WH</v>
      </c>
      <c r="F238" s="224">
        <v>20</v>
      </c>
    </row>
    <row r="239" spans="2:6" hidden="1">
      <c r="B239" s="41" t="s">
        <v>147</v>
      </c>
      <c r="C239" s="41" t="str">
        <f t="shared" si="35"/>
        <v>Apartment A2 WatHeat Coal  (E)|</v>
      </c>
      <c r="D239" s="41"/>
      <c r="E239" s="138" t="str">
        <f>Commodities!$AA$26</f>
        <v>RSD_APA2_WH</v>
      </c>
      <c r="F239" s="179">
        <v>10</v>
      </c>
    </row>
    <row r="240" spans="2:6" hidden="1">
      <c r="B240" s="41" t="s">
        <v>147</v>
      </c>
      <c r="C240" s="41" t="str">
        <f t="shared" si="35"/>
        <v>Apartment A2 WatHeat Gas  (E)|</v>
      </c>
      <c r="D240" s="41"/>
      <c r="E240" s="138" t="str">
        <f>Commodities!$AA$26</f>
        <v>RSD_APA2_WH</v>
      </c>
      <c r="F240" s="179">
        <v>15</v>
      </c>
    </row>
    <row r="241" spans="2:8" hidden="1">
      <c r="B241" s="41" t="s">
        <v>147</v>
      </c>
      <c r="C241" s="41" t="str">
        <f t="shared" si="35"/>
        <v>Apartment A2 WatHeat Dist. Heat (E)|</v>
      </c>
      <c r="D241" s="41"/>
      <c r="E241" s="138" t="str">
        <f>Commodities!$AA$26</f>
        <v>RSD_APA2_WH</v>
      </c>
      <c r="F241" s="179">
        <v>20</v>
      </c>
    </row>
    <row r="242" spans="2:8" hidden="1">
      <c r="B242" s="41" t="s">
        <v>147</v>
      </c>
      <c r="C242" s="41" t="str">
        <f t="shared" si="35"/>
        <v>Apartment A2 WatHeat LPG  (E)|</v>
      </c>
      <c r="D242" s="41"/>
      <c r="E242" s="138" t="str">
        <f>Commodities!$AA$26</f>
        <v>RSD_APA2_WH</v>
      </c>
      <c r="F242" s="179">
        <v>15</v>
      </c>
    </row>
    <row r="243" spans="2:8" hidden="1">
      <c r="B243" s="41" t="s">
        <v>147</v>
      </c>
      <c r="C243" s="41" t="str">
        <f t="shared" si="35"/>
        <v>Apartment A2 WatHeat Wood  (E)|</v>
      </c>
      <c r="D243" s="41"/>
      <c r="E243" s="138" t="str">
        <f>Commodities!$AA$26</f>
        <v>RSD_APA2_WH</v>
      </c>
      <c r="F243" s="179">
        <v>30</v>
      </c>
    </row>
    <row r="244" spans="2:8" hidden="1">
      <c r="B244" s="41" t="s">
        <v>147</v>
      </c>
      <c r="C244" s="152" t="str">
        <f t="shared" si="35"/>
        <v>Apartment A2 WatHeat Electric  (E)|</v>
      </c>
      <c r="D244" s="152"/>
      <c r="E244" s="153" t="str">
        <f>Commodities!$AA$26</f>
        <v>RSD_APA2_WH</v>
      </c>
      <c r="F244" s="224">
        <v>20</v>
      </c>
    </row>
    <row r="245" spans="2:8" hidden="1">
      <c r="B245" s="41" t="s">
        <v>147</v>
      </c>
      <c r="C245" s="41" t="str">
        <f t="shared" si="35"/>
        <v>Detached A3 WatHeat Coal  (E)|</v>
      </c>
      <c r="D245" s="41"/>
      <c r="E245" s="138" t="str">
        <f>Commodities!$AA$27</f>
        <v>RSD_DTA3_WH</v>
      </c>
      <c r="F245" s="179">
        <v>10</v>
      </c>
    </row>
    <row r="246" spans="2:8" hidden="1">
      <c r="B246" s="41" t="s">
        <v>147</v>
      </c>
      <c r="C246" s="41" t="str">
        <f t="shared" si="35"/>
        <v>Detached A3 WatHeat Gas  (E)|</v>
      </c>
      <c r="D246" s="41"/>
      <c r="E246" s="138" t="str">
        <f>Commodities!$AA$27</f>
        <v>RSD_DTA3_WH</v>
      </c>
      <c r="F246" s="179">
        <v>15</v>
      </c>
    </row>
    <row r="247" spans="2:8" hidden="1">
      <c r="B247" s="41" t="s">
        <v>147</v>
      </c>
      <c r="C247" s="41" t="str">
        <f t="shared" si="35"/>
        <v>Detached A3 WatHeat Dist. Heat (E)|</v>
      </c>
      <c r="D247" s="41"/>
      <c r="E247" s="138" t="str">
        <f>Commodities!$AA$27</f>
        <v>RSD_DTA3_WH</v>
      </c>
      <c r="F247" s="179">
        <v>20</v>
      </c>
      <c r="H247" s="52"/>
    </row>
    <row r="248" spans="2:8" hidden="1">
      <c r="B248" s="41" t="s">
        <v>147</v>
      </c>
      <c r="C248" s="41" t="str">
        <f t="shared" si="35"/>
        <v>Detached A3 WatHeat LPG  (E)|</v>
      </c>
      <c r="D248" s="41"/>
      <c r="E248" s="138" t="str">
        <f>Commodities!$AA$27</f>
        <v>RSD_DTA3_WH</v>
      </c>
      <c r="F248" s="179">
        <v>15</v>
      </c>
      <c r="H248" s="52"/>
    </row>
    <row r="249" spans="2:8" hidden="1">
      <c r="B249" s="41" t="s">
        <v>147</v>
      </c>
      <c r="C249" s="41" t="str">
        <f t="shared" si="35"/>
        <v>Detached A3 WatHeat Wood  (E)|</v>
      </c>
      <c r="D249" s="41"/>
      <c r="E249" s="138" t="str">
        <f>Commodities!$AA$27</f>
        <v>RSD_DTA3_WH</v>
      </c>
      <c r="F249" s="179">
        <v>30</v>
      </c>
      <c r="H249" s="52"/>
    </row>
    <row r="250" spans="2:8" hidden="1">
      <c r="B250" s="41" t="s">
        <v>147</v>
      </c>
      <c r="C250" s="152" t="str">
        <f t="shared" si="35"/>
        <v>Detached A3 WatHeat Electric  (E)|</v>
      </c>
      <c r="D250" s="152"/>
      <c r="E250" s="153" t="str">
        <f>Commodities!$AA$27</f>
        <v>RSD_DTA3_WH</v>
      </c>
      <c r="F250" s="224">
        <v>20</v>
      </c>
    </row>
    <row r="251" spans="2:8" hidden="1">
      <c r="B251" s="41" t="s">
        <v>147</v>
      </c>
      <c r="C251" s="41" t="str">
        <f t="shared" si="35"/>
        <v>Apartment A3 WatHeat Coal  (E)|</v>
      </c>
      <c r="D251" s="41"/>
      <c r="E251" s="138" t="str">
        <f>Commodities!$AA$28</f>
        <v>RSD_APA3_WH</v>
      </c>
      <c r="F251" s="179">
        <v>10</v>
      </c>
    </row>
    <row r="252" spans="2:8" hidden="1">
      <c r="B252" s="41" t="s">
        <v>147</v>
      </c>
      <c r="C252" s="41" t="str">
        <f t="shared" si="35"/>
        <v>Apartment A3 WatHeat Gas  (E)|</v>
      </c>
      <c r="D252" s="41"/>
      <c r="E252" s="138" t="str">
        <f>Commodities!$AA$28</f>
        <v>RSD_APA3_WH</v>
      </c>
      <c r="F252" s="179">
        <v>15</v>
      </c>
    </row>
    <row r="253" spans="2:8" hidden="1">
      <c r="B253" s="41" t="s">
        <v>147</v>
      </c>
      <c r="C253" s="41" t="str">
        <f t="shared" si="35"/>
        <v>Apartment A3 WatHeat Dist. Heat (E)|</v>
      </c>
      <c r="D253" s="41"/>
      <c r="E253" s="138" t="str">
        <f>Commodities!$AA$28</f>
        <v>RSD_APA3_WH</v>
      </c>
      <c r="F253" s="179">
        <v>20</v>
      </c>
    </row>
    <row r="254" spans="2:8" hidden="1">
      <c r="B254" s="41" t="s">
        <v>147</v>
      </c>
      <c r="C254" s="41" t="str">
        <f t="shared" si="35"/>
        <v>Apartment A3 WatHeat LPG  (E)|</v>
      </c>
      <c r="D254" s="41"/>
      <c r="E254" s="138" t="str">
        <f>Commodities!$AA$28</f>
        <v>RSD_APA3_WH</v>
      </c>
      <c r="F254" s="179">
        <v>15</v>
      </c>
    </row>
    <row r="255" spans="2:8" hidden="1">
      <c r="B255" s="41" t="s">
        <v>147</v>
      </c>
      <c r="C255" s="41" t="str">
        <f t="shared" si="35"/>
        <v>Apartment A3 WatHeat Wood  (E)|</v>
      </c>
      <c r="D255" s="41"/>
      <c r="E255" s="138" t="str">
        <f>Commodities!$AA$28</f>
        <v>RSD_APA3_WH</v>
      </c>
      <c r="F255" s="179">
        <v>30</v>
      </c>
    </row>
    <row r="256" spans="2:8" hidden="1">
      <c r="B256" s="41" t="s">
        <v>147</v>
      </c>
      <c r="C256" s="152" t="str">
        <f t="shared" si="35"/>
        <v>Apartment A3 WatHeat Electric  (E)|</v>
      </c>
      <c r="D256" s="152"/>
      <c r="E256" s="153" t="str">
        <f>Commodities!$AA$28</f>
        <v>RSD_APA3_WH</v>
      </c>
      <c r="F256" s="224">
        <v>20</v>
      </c>
    </row>
    <row r="257" spans="2:6" hidden="1">
      <c r="B257" s="41" t="s">
        <v>147</v>
      </c>
      <c r="C257" s="41" t="str">
        <f t="shared" ref="C257:C268" si="36">Q43</f>
        <v>Detached A4 WatHeat Coal  (E)|</v>
      </c>
      <c r="D257" s="41"/>
      <c r="E257" s="138" t="str">
        <f>Commodities!$AA$29</f>
        <v>RSD_DTA4_WH</v>
      </c>
      <c r="F257" s="179">
        <v>10</v>
      </c>
    </row>
    <row r="258" spans="2:6" hidden="1">
      <c r="B258" s="41" t="s">
        <v>147</v>
      </c>
      <c r="C258" s="41" t="str">
        <f t="shared" si="36"/>
        <v>Detached A4 WatHeat Gas  (E)|</v>
      </c>
      <c r="D258" s="41"/>
      <c r="E258" s="138" t="str">
        <f>Commodities!$AA$29</f>
        <v>RSD_DTA4_WH</v>
      </c>
      <c r="F258" s="179">
        <v>15</v>
      </c>
    </row>
    <row r="259" spans="2:6" hidden="1">
      <c r="B259" s="41" t="s">
        <v>147</v>
      </c>
      <c r="C259" s="41" t="str">
        <f t="shared" si="36"/>
        <v>Detached A4 WatHeat Dist. Heat (E)|</v>
      </c>
      <c r="D259" s="41"/>
      <c r="E259" s="138" t="str">
        <f>Commodities!$AA$29</f>
        <v>RSD_DTA4_WH</v>
      </c>
      <c r="F259" s="179">
        <v>20</v>
      </c>
    </row>
    <row r="260" spans="2:6" hidden="1">
      <c r="B260" s="41" t="s">
        <v>147</v>
      </c>
      <c r="C260" s="41" t="str">
        <f t="shared" si="36"/>
        <v>Detached A4 WatHeat LPG  (E)|</v>
      </c>
      <c r="D260" s="41"/>
      <c r="E260" s="138" t="str">
        <f>Commodities!$AA$29</f>
        <v>RSD_DTA4_WH</v>
      </c>
      <c r="F260" s="179">
        <v>15</v>
      </c>
    </row>
    <row r="261" spans="2:6" hidden="1">
      <c r="B261" s="41" t="s">
        <v>147</v>
      </c>
      <c r="C261" s="41" t="str">
        <f t="shared" si="36"/>
        <v>Detached A4 WatHeat Wood  (E)|</v>
      </c>
      <c r="D261" s="41"/>
      <c r="E261" s="138" t="str">
        <f>Commodities!$AA$29</f>
        <v>RSD_DTA4_WH</v>
      </c>
      <c r="F261" s="179">
        <v>30</v>
      </c>
    </row>
    <row r="262" spans="2:6" hidden="1">
      <c r="B262" s="41" t="s">
        <v>147</v>
      </c>
      <c r="C262" s="152" t="str">
        <f t="shared" si="36"/>
        <v>Detached A4 WatHeat Electric  (E)|</v>
      </c>
      <c r="D262" s="152"/>
      <c r="E262" s="153" t="str">
        <f>Commodities!$AA$29</f>
        <v>RSD_DTA4_WH</v>
      </c>
      <c r="F262" s="224">
        <v>20</v>
      </c>
    </row>
    <row r="263" spans="2:6" hidden="1">
      <c r="B263" s="41" t="s">
        <v>147</v>
      </c>
      <c r="C263" s="41" t="str">
        <f t="shared" si="36"/>
        <v>Apartment A4 WatHeat Coal  (E)|</v>
      </c>
      <c r="D263" s="41"/>
      <c r="E263" s="138" t="str">
        <f>Commodities!$AA$30</f>
        <v>RSD_APA4_WH</v>
      </c>
      <c r="F263" s="179">
        <v>10</v>
      </c>
    </row>
    <row r="264" spans="2:6" hidden="1">
      <c r="B264" s="41" t="s">
        <v>147</v>
      </c>
      <c r="C264" s="41" t="str">
        <f t="shared" si="36"/>
        <v>Apartment A4 WatHeat Gas  (E)|</v>
      </c>
      <c r="D264" s="41"/>
      <c r="E264" s="138" t="str">
        <f>Commodities!$AA$30</f>
        <v>RSD_APA4_WH</v>
      </c>
      <c r="F264" s="179">
        <v>15</v>
      </c>
    </row>
    <row r="265" spans="2:6" hidden="1">
      <c r="B265" s="41" t="s">
        <v>147</v>
      </c>
      <c r="C265" s="41" t="str">
        <f t="shared" si="36"/>
        <v>Apartment A4 WatHeat Dist. Heat (E)|</v>
      </c>
      <c r="D265" s="41"/>
      <c r="E265" s="138" t="str">
        <f>Commodities!$AA$30</f>
        <v>RSD_APA4_WH</v>
      </c>
      <c r="F265" s="179">
        <v>20</v>
      </c>
    </row>
    <row r="266" spans="2:6" hidden="1">
      <c r="B266" s="41" t="s">
        <v>147</v>
      </c>
      <c r="C266" s="41" t="str">
        <f t="shared" si="36"/>
        <v>Apartment A4 WatHeat LPG  (E)|</v>
      </c>
      <c r="D266" s="41"/>
      <c r="E266" s="138" t="str">
        <f>Commodities!$AA$30</f>
        <v>RSD_APA4_WH</v>
      </c>
      <c r="F266" s="179">
        <v>15</v>
      </c>
    </row>
    <row r="267" spans="2:6" hidden="1">
      <c r="B267" s="41" t="s">
        <v>147</v>
      </c>
      <c r="C267" s="41" t="str">
        <f t="shared" si="36"/>
        <v>Apartment A4 WatHeat Wood  (E)|</v>
      </c>
      <c r="D267" s="41"/>
      <c r="E267" s="138" t="str">
        <f>Commodities!$AA$30</f>
        <v>RSD_APA4_WH</v>
      </c>
      <c r="F267" s="179">
        <v>30</v>
      </c>
    </row>
    <row r="268" spans="2:6" hidden="1">
      <c r="B268" s="41" t="s">
        <v>147</v>
      </c>
      <c r="C268" s="152" t="str">
        <f t="shared" si="36"/>
        <v>Apartment A4 WatHeat Electric  (E)|</v>
      </c>
      <c r="D268" s="152"/>
      <c r="E268" s="153" t="str">
        <f>Commodities!$AA$30</f>
        <v>RSD_APA4_WH</v>
      </c>
      <c r="F268" s="224">
        <v>20</v>
      </c>
    </row>
  </sheetData>
  <conditionalFormatting sqref="I167:I202">
    <cfRule type="cellIs" dxfId="8" priority="9" stopIfTrue="1" operator="greaterThan">
      <formula>1</formula>
    </cfRule>
  </conditionalFormatting>
  <conditionalFormatting sqref="I203:I214">
    <cfRule type="cellIs" dxfId="7" priority="4" stopIfTrue="1" operator="greaterThan">
      <formula>1</formula>
    </cfRule>
  </conditionalFormatting>
  <conditionalFormatting sqref="F167:F214">
    <cfRule type="cellIs" dxfId="6" priority="2" stopIfTrue="1" operator="greaterThan">
      <formula>1</formula>
    </cfRule>
  </conditionalFormatting>
  <conditionalFormatting sqref="F203:F214">
    <cfRule type="cellIs" dxfId="5" priority="1" stopIfTrue="1" operator="greaterThan">
      <formula>1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Z69"/>
  <sheetViews>
    <sheetView zoomScale="70" zoomScaleNormal="70" workbookViewId="0">
      <selection sqref="A1:XFD1048576"/>
    </sheetView>
  </sheetViews>
  <sheetFormatPr defaultRowHeight="13.2"/>
  <cols>
    <col min="1" max="1" width="2.88671875" style="51" customWidth="1"/>
    <col min="2" max="2" width="31" style="51" customWidth="1"/>
    <col min="3" max="3" width="46.109375" style="51" customWidth="1"/>
    <col min="4" max="4" width="18.109375" style="51" customWidth="1"/>
    <col min="5" max="5" width="25.5546875" style="51" customWidth="1"/>
    <col min="6" max="6" width="15.5546875" style="44" customWidth="1"/>
    <col min="7" max="7" width="4" style="51" customWidth="1"/>
    <col min="8" max="8" width="28.5546875" style="51" bestFit="1" customWidth="1"/>
    <col min="9" max="9" width="17.44140625" style="51" bestFit="1" customWidth="1"/>
    <col min="10" max="10" width="29.33203125" style="51" bestFit="1" customWidth="1"/>
    <col min="11" max="11" width="29.5546875" style="51" customWidth="1"/>
    <col min="12" max="15" width="8.88671875" style="51"/>
    <col min="16" max="16" width="25.33203125" style="51" customWidth="1"/>
    <col min="17" max="17" width="18.33203125" style="51" customWidth="1"/>
    <col min="18" max="18" width="32.5546875" style="51" customWidth="1"/>
    <col min="19" max="19" width="94.44140625" style="51" bestFit="1" customWidth="1"/>
    <col min="20" max="20" width="12.109375" style="51" bestFit="1" customWidth="1"/>
    <col min="21" max="21" width="9.6640625" style="51" bestFit="1" customWidth="1"/>
    <col min="22" max="22" width="35" style="51" bestFit="1" customWidth="1"/>
    <col min="23" max="23" width="27.6640625" style="51" bestFit="1" customWidth="1"/>
    <col min="24" max="24" width="17.44140625" style="51" bestFit="1" customWidth="1"/>
    <col min="25" max="25" width="8.88671875" style="51"/>
    <col min="26" max="26" width="59.109375" style="51" bestFit="1" customWidth="1"/>
    <col min="27" max="16384" width="8.88671875" style="51"/>
  </cols>
  <sheetData>
    <row r="1" spans="1:26" ht="17.399999999999999">
      <c r="A1" s="36" t="s">
        <v>364</v>
      </c>
      <c r="B1" s="36"/>
      <c r="C1" s="36"/>
      <c r="D1" s="36"/>
      <c r="E1" s="36"/>
      <c r="F1" s="199"/>
      <c r="O1" s="5"/>
      <c r="P1" s="5" t="s">
        <v>145</v>
      </c>
      <c r="Q1" s="5"/>
      <c r="R1" s="85"/>
      <c r="S1" s="85"/>
      <c r="T1" s="85"/>
      <c r="U1" s="85"/>
      <c r="V1" s="85"/>
      <c r="W1" s="5"/>
      <c r="X1" s="5"/>
    </row>
    <row r="2" spans="1:26" ht="13.8">
      <c r="F2" s="190">
        <v>3</v>
      </c>
      <c r="P2" s="87" t="s">
        <v>39</v>
      </c>
      <c r="Q2" s="87"/>
      <c r="R2" s="87" t="s">
        <v>317</v>
      </c>
      <c r="S2" s="87"/>
      <c r="T2" s="120"/>
      <c r="U2" s="120"/>
      <c r="V2" s="120"/>
      <c r="W2" s="120"/>
      <c r="X2" s="120"/>
      <c r="Y2" s="5"/>
    </row>
    <row r="3" spans="1:26" ht="23.25" customHeight="1">
      <c r="E3" s="86" t="s">
        <v>350</v>
      </c>
      <c r="H3" s="119" t="s">
        <v>360</v>
      </c>
      <c r="I3" s="119"/>
      <c r="J3" s="119"/>
      <c r="K3" s="119"/>
      <c r="L3" s="119"/>
      <c r="P3" s="106" t="s">
        <v>19</v>
      </c>
      <c r="Q3" s="106"/>
      <c r="R3" s="87"/>
      <c r="S3" s="87"/>
      <c r="T3" s="120"/>
      <c r="U3" s="120"/>
      <c r="V3" s="120"/>
      <c r="W3" s="120"/>
      <c r="X3" s="120"/>
      <c r="Y3" s="5"/>
    </row>
    <row r="4" spans="1:26" ht="13.8">
      <c r="B4" s="88" t="s">
        <v>1</v>
      </c>
      <c r="C4" s="88" t="s">
        <v>42</v>
      </c>
      <c r="D4" s="88" t="s">
        <v>7</v>
      </c>
      <c r="E4" s="89" t="s">
        <v>8</v>
      </c>
      <c r="F4" s="121" t="s">
        <v>999</v>
      </c>
      <c r="H4" s="169" t="s">
        <v>357</v>
      </c>
      <c r="I4" s="191" t="s">
        <v>359</v>
      </c>
      <c r="J4" s="191" t="s">
        <v>361</v>
      </c>
      <c r="K4" s="31" t="s">
        <v>362</v>
      </c>
      <c r="L4" s="89" t="s">
        <v>358</v>
      </c>
      <c r="P4" s="91" t="s">
        <v>13</v>
      </c>
      <c r="Q4" s="91" t="s">
        <v>34</v>
      </c>
      <c r="R4" s="91" t="s">
        <v>1</v>
      </c>
      <c r="S4" s="91" t="s">
        <v>2</v>
      </c>
      <c r="T4" s="126" t="s">
        <v>20</v>
      </c>
      <c r="U4" s="126" t="s">
        <v>21</v>
      </c>
      <c r="V4" s="126" t="s">
        <v>22</v>
      </c>
      <c r="W4" s="126" t="s">
        <v>23</v>
      </c>
      <c r="X4" s="126" t="s">
        <v>24</v>
      </c>
      <c r="Y4" s="5"/>
    </row>
    <row r="5" spans="1:26" s="200" customFormat="1" ht="18.75" customHeight="1" thickBot="1">
      <c r="B5" s="124" t="s">
        <v>356</v>
      </c>
      <c r="C5" s="124" t="s">
        <v>26</v>
      </c>
      <c r="D5" s="124" t="s">
        <v>36</v>
      </c>
      <c r="E5" s="192" t="s">
        <v>37</v>
      </c>
      <c r="F5" s="193"/>
      <c r="H5" s="89"/>
      <c r="I5" s="121" t="s">
        <v>999</v>
      </c>
      <c r="J5" s="121" t="s">
        <v>999</v>
      </c>
      <c r="K5" s="121" t="s">
        <v>999</v>
      </c>
      <c r="L5" s="194"/>
      <c r="P5" s="195" t="s">
        <v>44</v>
      </c>
      <c r="Q5" s="195" t="s">
        <v>35</v>
      </c>
      <c r="R5" s="195" t="s">
        <v>25</v>
      </c>
      <c r="S5" s="195" t="s">
        <v>26</v>
      </c>
      <c r="T5" s="196" t="s">
        <v>27</v>
      </c>
      <c r="U5" s="196" t="s">
        <v>28</v>
      </c>
      <c r="V5" s="196" t="s">
        <v>48</v>
      </c>
      <c r="W5" s="196" t="s">
        <v>47</v>
      </c>
      <c r="X5" s="196" t="s">
        <v>29</v>
      </c>
      <c r="Y5" s="172"/>
      <c r="Z5" s="51"/>
    </row>
    <row r="6" spans="1:26" ht="14.4" thickBot="1">
      <c r="B6" s="127" t="s">
        <v>269</v>
      </c>
      <c r="C6" s="127"/>
      <c r="D6" s="127"/>
      <c r="E6" s="128"/>
      <c r="F6" s="130" t="str">
        <f>General!$B$5</f>
        <v>GW</v>
      </c>
      <c r="H6" s="171" t="s">
        <v>378</v>
      </c>
      <c r="I6" s="197" t="str">
        <f>General!$B$2</f>
        <v>PJ</v>
      </c>
      <c r="J6" s="197" t="str">
        <f>General!$B$2</f>
        <v>PJ</v>
      </c>
      <c r="K6" s="197" t="str">
        <f>General!$B$2</f>
        <v>PJ</v>
      </c>
      <c r="L6" s="171"/>
      <c r="P6" s="5" t="s">
        <v>270</v>
      </c>
      <c r="Q6" s="5"/>
      <c r="R6" s="5" t="str">
        <f>Commodities!$AA$31&amp;"_"&amp;RIGHT(Commodities!$D$48,3)&amp;"_"&amp;$AE$3&amp;"E01"</f>
        <v>RSD_DTA1_SC_ELC_E01</v>
      </c>
      <c r="S6" s="5" t="s">
        <v>780</v>
      </c>
      <c r="T6" s="85" t="str">
        <f>General!$B$2</f>
        <v>PJ</v>
      </c>
      <c r="U6" s="85" t="str">
        <f>General!$B$5</f>
        <v>GW</v>
      </c>
      <c r="V6" s="85" t="s">
        <v>125</v>
      </c>
      <c r="W6" s="85"/>
      <c r="X6" s="85"/>
      <c r="Y6" s="5"/>
    </row>
    <row r="7" spans="1:26" ht="13.8">
      <c r="B7" s="51" t="str">
        <f t="shared" ref="B7:C12" si="0">R6</f>
        <v>RSD_DTA1_SC_ELC_E01</v>
      </c>
      <c r="C7" s="51" t="str">
        <f t="shared" si="0"/>
        <v>Detached A1 SpCool A/C (E)</v>
      </c>
      <c r="D7" s="41" t="str">
        <f>Commodities!$D$48</f>
        <v>RSDELC</v>
      </c>
      <c r="E7" s="41" t="str">
        <f>Commodities!$AA$31</f>
        <v>RSD_DTA1_SC</v>
      </c>
      <c r="F7" s="201">
        <f>($H7*VLOOKUP(LEFT($B7,8),RSD_Stock!$H$21:$L$28,F$2,FALSE)*VLOOKUP($B7,RSD_Demands!$H$95:$I$102,2,FALSE)/1000)*(Stk_Mult)</f>
        <v>0.15833564999999999</v>
      </c>
      <c r="H7" s="202">
        <v>5</v>
      </c>
      <c r="I7" s="203">
        <f t="shared" ref="I7:I14" si="1">F7*F34*F48</f>
        <v>3.3891036497999995E-2</v>
      </c>
      <c r="J7" s="203">
        <f>F7*F34*F48/F20</f>
        <v>1.4735233259999999E-2</v>
      </c>
      <c r="K7" s="203">
        <f>VLOOKUP(LEFT($B7,11),RSD_En_Balance!$C$109:$R$190,MATCH($D7,RSD_En_Balance!$D$109:$R$109,0)+1,FALSE)</f>
        <v>1.4735233259999998E-2</v>
      </c>
      <c r="L7" s="204">
        <f t="shared" ref="L7:L14" si="2">SUM(J7:J7)-SUM(K7:K7)</f>
        <v>0</v>
      </c>
      <c r="P7" s="5"/>
      <c r="Q7" s="5"/>
      <c r="R7" s="5" t="str">
        <f>Commodities!$AA$32&amp;"_"&amp;RIGHT(Commodities!$D$48,3)&amp;"_"&amp;$AE$3&amp;"E01"</f>
        <v>RSD_APA1_SC_ELC_E01</v>
      </c>
      <c r="S7" s="5" t="s">
        <v>781</v>
      </c>
      <c r="T7" s="85" t="str">
        <f>General!$B$2</f>
        <v>PJ</v>
      </c>
      <c r="U7" s="85" t="str">
        <f>General!$B$5</f>
        <v>GW</v>
      </c>
      <c r="V7" s="85" t="s">
        <v>125</v>
      </c>
      <c r="W7" s="85"/>
      <c r="X7" s="85"/>
      <c r="Y7" s="5"/>
    </row>
    <row r="8" spans="1:26" ht="13.8">
      <c r="B8" s="51" t="str">
        <f t="shared" si="0"/>
        <v>RSD_APA1_SC_ELC_E01</v>
      </c>
      <c r="C8" s="51" t="str">
        <f t="shared" si="0"/>
        <v>Apartment A1 SpCool A/C (E)</v>
      </c>
      <c r="D8" s="41" t="str">
        <f>Commodities!$D$48</f>
        <v>RSDELC</v>
      </c>
      <c r="E8" s="41" t="str">
        <f>Commodities!$AA$32</f>
        <v>RSD_APA1_SC</v>
      </c>
      <c r="F8" s="201">
        <f>($H8*VLOOKUP(LEFT($B8,8),RSD_Stock!$H$22:$L$28,F$2,FALSE)*VLOOKUP($B8,RSD_Demands!$H$95:$I$102,2,FALSE)/1000)*(Stk_Mult)</f>
        <v>8.076717500000001E-2</v>
      </c>
      <c r="H8" s="202">
        <v>2.5</v>
      </c>
      <c r="I8" s="203">
        <f t="shared" si="1"/>
        <v>3.4575703902000002E-2</v>
      </c>
      <c r="J8" s="203">
        <f t="shared" ref="J8:J14" si="3">F8*F35*F49/F21</f>
        <v>1.5032914740000002E-2</v>
      </c>
      <c r="K8" s="203">
        <f>VLOOKUP(LEFT($B8,11),RSD_En_Balance!$C$109:$R$190,MATCH($D8,RSD_En_Balance!$D$109:$R$109,0)+1,FALSE)</f>
        <v>1.5032914740000002E-2</v>
      </c>
      <c r="L8" s="204">
        <f t="shared" si="2"/>
        <v>0</v>
      </c>
      <c r="P8" s="5" t="s">
        <v>147</v>
      </c>
      <c r="Q8" s="5"/>
      <c r="R8" s="5"/>
      <c r="S8" s="5"/>
      <c r="T8" s="85"/>
      <c r="U8" s="85"/>
      <c r="V8" s="85"/>
      <c r="W8" s="85"/>
      <c r="X8" s="85"/>
      <c r="Y8" s="5"/>
    </row>
    <row r="9" spans="1:26" ht="13.8" hidden="1">
      <c r="B9" s="51" t="s">
        <v>147</v>
      </c>
      <c r="C9" s="51">
        <f t="shared" si="0"/>
        <v>0</v>
      </c>
      <c r="D9" s="41" t="str">
        <f>Commodities!$D$48</f>
        <v>RSDELC</v>
      </c>
      <c r="E9" s="41" t="str">
        <f>Commodities!$AA$33</f>
        <v>RSD_DTA2_SC</v>
      </c>
      <c r="F9" s="201">
        <f>($H9*VLOOKUP(LEFT($B9,8),RSD_Stock!$H$22:$L$28,F$2,FALSE)*VLOOKUP($B9,RSD_Demands!$H$95:$I$102,2,FALSE)/1000)*(Stk_Mult)</f>
        <v>0.16153435000000002</v>
      </c>
      <c r="H9" s="202">
        <v>5</v>
      </c>
      <c r="I9" s="203">
        <f t="shared" si="1"/>
        <v>0</v>
      </c>
      <c r="J9" s="203" t="e">
        <f t="shared" si="3"/>
        <v>#DIV/0!</v>
      </c>
      <c r="K9" s="203">
        <f>VLOOKUP(LEFT($B9,11),RSD_En_Balance!$C$109:$R$190,MATCH($D9,RSD_En_Balance!$D$109:$R$109,0)+1,FALSE)</f>
        <v>9.8234888399999984E-2</v>
      </c>
      <c r="L9" s="204" t="e">
        <f t="shared" si="2"/>
        <v>#DIV/0!</v>
      </c>
      <c r="P9" s="5" t="s">
        <v>147</v>
      </c>
      <c r="Q9" s="8"/>
      <c r="R9" s="5" t="str">
        <f>Commodities!$AA$34&amp;"_"&amp;RIGHT(Commodities!$D$48,3)&amp;"_"&amp;$AE$3&amp;"E01"</f>
        <v>RSD_APA2_SC_ELC_E01</v>
      </c>
      <c r="S9" s="5" t="s">
        <v>784</v>
      </c>
      <c r="T9" s="85" t="str">
        <f>General!$B$2</f>
        <v>PJ</v>
      </c>
      <c r="U9" s="85" t="str">
        <f>General!$B$5</f>
        <v>GW</v>
      </c>
      <c r="V9" s="85" t="s">
        <v>125</v>
      </c>
      <c r="W9" s="11"/>
      <c r="X9" s="11"/>
      <c r="Y9" s="5"/>
    </row>
    <row r="10" spans="1:26" ht="13.8" hidden="1">
      <c r="B10" s="51" t="s">
        <v>147</v>
      </c>
      <c r="C10" s="51" t="str">
        <f t="shared" si="0"/>
        <v>Apartment A2 SpCool A/C  (E)</v>
      </c>
      <c r="D10" s="41" t="str">
        <f>Commodities!$D$48</f>
        <v>RSDELC</v>
      </c>
      <c r="E10" s="41" t="str">
        <f>Commodities!$AA$34</f>
        <v>RSD_APA2_SC</v>
      </c>
      <c r="F10" s="201">
        <f>($H10*VLOOKUP(LEFT($B10,8),RSD_Stock!$H$22:$L$28,F$2,FALSE)*VLOOKUP($B10,RSD_Demands!$H$95:$I$102,2,FALSE)/1000)*(Stk_Mult)</f>
        <v>8.076717500000001E-2</v>
      </c>
      <c r="H10" s="202">
        <v>2.5</v>
      </c>
      <c r="I10" s="203">
        <f t="shared" si="1"/>
        <v>0</v>
      </c>
      <c r="J10" s="203" t="e">
        <f t="shared" si="3"/>
        <v>#DIV/0!</v>
      </c>
      <c r="K10" s="203">
        <f>VLOOKUP(LEFT($B10,11),RSD_En_Balance!$C$109:$R$190,MATCH($D10,RSD_En_Balance!$D$109:$R$109,0)+1,FALSE)</f>
        <v>9.8234888399999984E-2</v>
      </c>
      <c r="L10" s="204" t="e">
        <f t="shared" si="2"/>
        <v>#DIV/0!</v>
      </c>
      <c r="P10" s="5" t="s">
        <v>147</v>
      </c>
      <c r="Q10" s="8"/>
      <c r="R10" s="5" t="str">
        <f>Commodities!$AA$35&amp;"_"&amp;RIGHT(Commodities!$D$48,3)&amp;"_"&amp;$AE$3&amp;"E01"</f>
        <v>RSD_DTA3_SC_ELC_E01</v>
      </c>
      <c r="S10" s="5" t="s">
        <v>785</v>
      </c>
      <c r="T10" s="85" t="str">
        <f>General!$B$2</f>
        <v>PJ</v>
      </c>
      <c r="U10" s="85" t="str">
        <f>General!$B$5</f>
        <v>GW</v>
      </c>
      <c r="V10" s="85" t="s">
        <v>125</v>
      </c>
      <c r="W10" s="11"/>
      <c r="X10" s="11"/>
      <c r="Y10" s="5"/>
    </row>
    <row r="11" spans="1:26" ht="13.8" hidden="1">
      <c r="B11" s="51" t="s">
        <v>147</v>
      </c>
      <c r="C11" s="51" t="str">
        <f t="shared" si="0"/>
        <v>Detached A3 SpCool A/C (E)</v>
      </c>
      <c r="D11" s="41" t="str">
        <f>Commodities!$D$48</f>
        <v>RSDELC</v>
      </c>
      <c r="E11" s="41" t="str">
        <f>Commodities!$AA$35</f>
        <v>RSD_DTA3_SC</v>
      </c>
      <c r="F11" s="201">
        <f>($H11*VLOOKUP(LEFT($B11,8),RSD_Stock!$H$22:$L$28,F$2,FALSE)*VLOOKUP($B11,RSD_Demands!$H$95:$I$102,2,FALSE)/1000)*(Stk_Mult)</f>
        <v>0.16153435000000002</v>
      </c>
      <c r="H11" s="202">
        <v>5</v>
      </c>
      <c r="I11" s="203">
        <f t="shared" si="1"/>
        <v>0</v>
      </c>
      <c r="J11" s="203" t="e">
        <f t="shared" si="3"/>
        <v>#DIV/0!</v>
      </c>
      <c r="K11" s="203">
        <f>VLOOKUP(LEFT($B11,11),RSD_En_Balance!$C$109:$R$190,MATCH($D11,RSD_En_Balance!$D$109:$R$109,0)+1,FALSE)</f>
        <v>9.8234888399999984E-2</v>
      </c>
      <c r="L11" s="204" t="e">
        <f t="shared" si="2"/>
        <v>#DIV/0!</v>
      </c>
      <c r="P11" s="5" t="s">
        <v>147</v>
      </c>
      <c r="Q11" s="8"/>
      <c r="R11" s="5" t="str">
        <f>Commodities!$AA$36&amp;"_"&amp;RIGHT(Commodities!$D$48,3)&amp;"_"&amp;$AE$3&amp;"E01"</f>
        <v>RSD_APA3_SC_ELC_E01</v>
      </c>
      <c r="S11" s="5" t="s">
        <v>786</v>
      </c>
      <c r="T11" s="85" t="str">
        <f>General!$B$2</f>
        <v>PJ</v>
      </c>
      <c r="U11" s="85" t="str">
        <f>General!$B$5</f>
        <v>GW</v>
      </c>
      <c r="V11" s="85" t="s">
        <v>125</v>
      </c>
      <c r="W11" s="11"/>
      <c r="X11" s="11"/>
      <c r="Y11" s="5"/>
    </row>
    <row r="12" spans="1:26" ht="13.8" hidden="1">
      <c r="B12" s="51" t="s">
        <v>147</v>
      </c>
      <c r="C12" s="51" t="str">
        <f t="shared" si="0"/>
        <v>Apartment A3 SpCool A/C  (E)</v>
      </c>
      <c r="D12" s="41" t="str">
        <f>Commodities!$D$48</f>
        <v>RSDELC</v>
      </c>
      <c r="E12" s="41" t="str">
        <f>Commodities!$AA$36</f>
        <v>RSD_APA3_SC</v>
      </c>
      <c r="F12" s="201">
        <f>($H12*VLOOKUP(LEFT($B12,8),RSD_Stock!$H$22:$L$28,F$2,FALSE)*VLOOKUP($B12,RSD_Demands!$H$95:$I$102,2,FALSE)/1000)*(Stk_Mult)</f>
        <v>8.076717500000001E-2</v>
      </c>
      <c r="H12" s="202">
        <v>2.5</v>
      </c>
      <c r="I12" s="203">
        <f t="shared" si="1"/>
        <v>0</v>
      </c>
      <c r="J12" s="203" t="e">
        <f t="shared" si="3"/>
        <v>#DIV/0!</v>
      </c>
      <c r="K12" s="203">
        <f>VLOOKUP(LEFT($B12,11),RSD_En_Balance!$C$109:$R$190,MATCH($D12,RSD_En_Balance!$D$109:$R$109,0)+1,FALSE)</f>
        <v>9.8234888399999984E-2</v>
      </c>
      <c r="L12" s="204" t="e">
        <f t="shared" si="2"/>
        <v>#DIV/0!</v>
      </c>
      <c r="P12" s="5" t="s">
        <v>147</v>
      </c>
      <c r="Q12" s="8"/>
      <c r="R12" s="5" t="str">
        <f>Commodities!$AA$37&amp;"_"&amp;RIGHT(Commodities!$D$48,3)&amp;"_"&amp;$AE$3&amp;"E01"</f>
        <v>RSD_DTA4_SC_ELC_E01</v>
      </c>
      <c r="S12" s="5" t="s">
        <v>782</v>
      </c>
      <c r="T12" s="85" t="str">
        <f>General!$B$2</f>
        <v>PJ</v>
      </c>
      <c r="U12" s="85" t="str">
        <f>General!$B$5</f>
        <v>GW</v>
      </c>
      <c r="V12" s="85" t="s">
        <v>125</v>
      </c>
      <c r="W12" s="11"/>
      <c r="X12" s="11"/>
    </row>
    <row r="13" spans="1:26" ht="13.8" hidden="1">
      <c r="B13" s="51" t="s">
        <v>147</v>
      </c>
      <c r="C13" s="51" t="str">
        <f t="shared" ref="C13:C14" si="4">S12</f>
        <v>Detached A4 SpCool A/C (E)</v>
      </c>
      <c r="D13" s="41" t="str">
        <f>Commodities!$D$48</f>
        <v>RSDELC</v>
      </c>
      <c r="E13" s="41" t="str">
        <f>Commodities!$AA$37</f>
        <v>RSD_DTA4_SC</v>
      </c>
      <c r="F13" s="201">
        <f>($H13*VLOOKUP(LEFT($B13,8),RSD_Stock!$H$22:$L$28,F$2,FALSE)*VLOOKUP($B13,RSD_Demands!$H$95:$I$102,2,FALSE)/1000)*(Stk_Mult)</f>
        <v>0.16153435000000002</v>
      </c>
      <c r="H13" s="202">
        <v>5</v>
      </c>
      <c r="I13" s="203">
        <f>F13*F40*F54</f>
        <v>0</v>
      </c>
      <c r="J13" s="203" t="e">
        <f t="shared" si="3"/>
        <v>#DIV/0!</v>
      </c>
      <c r="K13" s="203">
        <f>VLOOKUP(LEFT($B13,11),RSD_En_Balance!$C$109:$R$190,MATCH($D13,RSD_En_Balance!$D$109:$R$109,0)+1,FALSE)</f>
        <v>9.8234888399999984E-2</v>
      </c>
      <c r="L13" s="204" t="e">
        <f t="shared" si="2"/>
        <v>#DIV/0!</v>
      </c>
      <c r="P13" s="5" t="s">
        <v>147</v>
      </c>
      <c r="Q13" s="8"/>
      <c r="R13" s="5" t="str">
        <f>Commodities!$AA$38&amp;"_"&amp;RIGHT(Commodities!$D$48,3)&amp;"_"&amp;$AE$3&amp;"E01"</f>
        <v>RSD_APA4_SC_ELC_E01</v>
      </c>
      <c r="S13" s="5" t="s">
        <v>783</v>
      </c>
      <c r="T13" s="85" t="str">
        <f>General!$B$2</f>
        <v>PJ</v>
      </c>
      <c r="U13" s="85" t="str">
        <f>General!$B$5</f>
        <v>GW</v>
      </c>
      <c r="V13" s="85" t="s">
        <v>125</v>
      </c>
      <c r="W13" s="11"/>
      <c r="X13" s="11"/>
    </row>
    <row r="14" spans="1:26" hidden="1">
      <c r="B14" s="51" t="s">
        <v>147</v>
      </c>
      <c r="C14" s="51" t="str">
        <f t="shared" si="4"/>
        <v>Apartment A4 SpCool A/C  (E)</v>
      </c>
      <c r="D14" s="41" t="str">
        <f>Commodities!$D$48</f>
        <v>RSDELC</v>
      </c>
      <c r="E14" s="41" t="str">
        <f>Commodities!$AA$38</f>
        <v>RSD_APA4_SC</v>
      </c>
      <c r="F14" s="201">
        <f>($H14*VLOOKUP(LEFT($B14,8),RSD_Stock!$H$22:$L$28,F$2,FALSE)*VLOOKUP($B14,RSD_Demands!$H$95:$I$102,2,FALSE)/1000)*(Stk_Mult)</f>
        <v>8.076717500000001E-2</v>
      </c>
      <c r="H14" s="202">
        <v>2.5</v>
      </c>
      <c r="I14" s="203">
        <f t="shared" si="1"/>
        <v>0</v>
      </c>
      <c r="J14" s="203" t="e">
        <f t="shared" si="3"/>
        <v>#DIV/0!</v>
      </c>
      <c r="K14" s="203">
        <f>VLOOKUP(LEFT($B14,11),RSD_En_Balance!$C$109:$R$190,MATCH($D14,RSD_En_Balance!$D$109:$R$109,0)+1,FALSE)</f>
        <v>9.8234888399999984E-2</v>
      </c>
      <c r="L14" s="204" t="e">
        <f t="shared" si="2"/>
        <v>#DIV/0!</v>
      </c>
    </row>
    <row r="15" spans="1:26">
      <c r="F15" s="144"/>
      <c r="H15" s="41"/>
      <c r="I15" s="41"/>
      <c r="J15" s="41"/>
      <c r="K15" s="41"/>
      <c r="L15" s="41"/>
    </row>
    <row r="16" spans="1:26" ht="13.8">
      <c r="E16" s="86" t="s">
        <v>351</v>
      </c>
    </row>
    <row r="17" spans="2:11" ht="13.8">
      <c r="B17" s="88" t="s">
        <v>1</v>
      </c>
      <c r="C17" s="88" t="s">
        <v>42</v>
      </c>
      <c r="D17" s="88" t="s">
        <v>7</v>
      </c>
      <c r="E17" s="88" t="s">
        <v>0</v>
      </c>
      <c r="F17" s="121" t="s">
        <v>999</v>
      </c>
    </row>
    <row r="18" spans="2:11" ht="14.4" thickBot="1">
      <c r="B18" s="92" t="s">
        <v>356</v>
      </c>
      <c r="C18" s="92" t="s">
        <v>26</v>
      </c>
      <c r="D18" s="124" t="s">
        <v>36</v>
      </c>
      <c r="E18" s="123" t="s">
        <v>37</v>
      </c>
      <c r="F18" s="93"/>
    </row>
    <row r="19" spans="2:11" ht="14.4" thickBot="1">
      <c r="B19" s="92" t="s">
        <v>269</v>
      </c>
      <c r="C19" s="92"/>
      <c r="D19" s="92"/>
      <c r="E19" s="123"/>
      <c r="F19" s="132"/>
    </row>
    <row r="20" spans="2:11">
      <c r="B20" s="51" t="str">
        <f>R6</f>
        <v>RSD_DTA1_SC_ELC_E01</v>
      </c>
      <c r="C20" s="51" t="str">
        <f>S6</f>
        <v>Detached A1 SpCool A/C (E)</v>
      </c>
      <c r="E20" s="41" t="str">
        <f>Commodities!$AA$31</f>
        <v>RSD_DTA1_SC</v>
      </c>
      <c r="F20" s="136">
        <v>2.2999999999999998</v>
      </c>
    </row>
    <row r="21" spans="2:11">
      <c r="B21" s="51" t="str">
        <f t="shared" ref="B21:C21" si="5">R7</f>
        <v>RSD_APA1_SC_ELC_E01</v>
      </c>
      <c r="C21" s="51" t="str">
        <f t="shared" si="5"/>
        <v>Apartment A1 SpCool A/C (E)</v>
      </c>
      <c r="E21" s="41" t="str">
        <f>Commodities!$AA$32</f>
        <v>RSD_APA1_SC</v>
      </c>
      <c r="F21" s="136">
        <v>2.2999999999999998</v>
      </c>
      <c r="H21" s="198"/>
      <c r="I21" s="205"/>
      <c r="J21" s="206"/>
      <c r="K21" s="157"/>
    </row>
    <row r="22" spans="2:11" hidden="1">
      <c r="B22" s="51" t="s">
        <v>147</v>
      </c>
      <c r="E22" s="41"/>
      <c r="F22" s="136"/>
      <c r="H22" s="198"/>
      <c r="I22" s="207"/>
      <c r="J22" s="41"/>
      <c r="K22" s="138"/>
    </row>
    <row r="23" spans="2:11" hidden="1">
      <c r="B23" s="51" t="s">
        <v>147</v>
      </c>
      <c r="D23" s="41"/>
      <c r="E23" s="41"/>
      <c r="F23" s="136"/>
      <c r="H23" s="198"/>
      <c r="I23" s="207"/>
      <c r="J23" s="41"/>
      <c r="K23" s="138"/>
    </row>
    <row r="24" spans="2:11" hidden="1">
      <c r="B24" s="51" t="s">
        <v>147</v>
      </c>
      <c r="E24" s="41"/>
      <c r="F24" s="136"/>
      <c r="H24" s="198"/>
      <c r="I24" s="207"/>
      <c r="J24" s="41"/>
      <c r="K24" s="138"/>
    </row>
    <row r="25" spans="2:11" hidden="1">
      <c r="B25" s="51" t="s">
        <v>147</v>
      </c>
      <c r="E25" s="41"/>
      <c r="F25" s="136"/>
      <c r="H25" s="198"/>
      <c r="I25" s="207"/>
      <c r="J25" s="41"/>
      <c r="K25" s="138"/>
    </row>
    <row r="26" spans="2:11" hidden="1">
      <c r="B26" s="51" t="s">
        <v>147</v>
      </c>
      <c r="E26" s="41"/>
      <c r="F26" s="136"/>
      <c r="H26" s="198"/>
      <c r="I26" s="207"/>
      <c r="J26" s="41"/>
      <c r="K26" s="138"/>
    </row>
    <row r="27" spans="2:11" hidden="1">
      <c r="B27" s="51" t="s">
        <v>147</v>
      </c>
      <c r="E27" s="41"/>
      <c r="F27" s="136"/>
      <c r="H27" s="198"/>
      <c r="I27" s="207"/>
      <c r="J27" s="41"/>
      <c r="K27" s="138"/>
    </row>
    <row r="28" spans="2:11">
      <c r="F28" s="136"/>
      <c r="H28" s="198"/>
      <c r="I28" s="208"/>
      <c r="J28" s="152"/>
      <c r="K28" s="153"/>
    </row>
    <row r="29" spans="2:11">
      <c r="H29" s="198"/>
      <c r="I29" s="209"/>
    </row>
    <row r="30" spans="2:11" ht="13.8">
      <c r="E30" s="86" t="s">
        <v>352</v>
      </c>
      <c r="H30" s="198"/>
      <c r="I30" s="209"/>
    </row>
    <row r="31" spans="2:11" ht="13.8">
      <c r="B31" s="88" t="s">
        <v>1</v>
      </c>
      <c r="C31" s="88" t="s">
        <v>42</v>
      </c>
      <c r="D31" s="88" t="s">
        <v>7</v>
      </c>
      <c r="E31" s="88" t="s">
        <v>0</v>
      </c>
      <c r="F31" s="121" t="s">
        <v>999</v>
      </c>
      <c r="H31" s="198"/>
      <c r="I31" s="209"/>
    </row>
    <row r="32" spans="2:11" ht="14.4" thickBot="1">
      <c r="B32" s="92" t="s">
        <v>356</v>
      </c>
      <c r="C32" s="92" t="s">
        <v>26</v>
      </c>
      <c r="D32" s="124" t="s">
        <v>36</v>
      </c>
      <c r="E32" s="123"/>
      <c r="F32" s="93"/>
    </row>
    <row r="33" spans="2:9" ht="14.4" thickBot="1">
      <c r="B33" s="92" t="s">
        <v>269</v>
      </c>
      <c r="C33" s="92"/>
      <c r="D33" s="92"/>
      <c r="E33" s="123"/>
      <c r="F33" s="193"/>
    </row>
    <row r="34" spans="2:9">
      <c r="B34" s="51" t="str">
        <f t="shared" ref="B34:C39" si="6">R6</f>
        <v>RSD_DTA1_SC_ELC_E01</v>
      </c>
      <c r="C34" s="51" t="str">
        <f t="shared" si="6"/>
        <v>Detached A1 SpCool A/C (E)</v>
      </c>
      <c r="E34" s="41" t="str">
        <f>Commodities!$AA$31</f>
        <v>RSD_DTA1_SC</v>
      </c>
      <c r="F34" s="136">
        <v>31.536000000000001</v>
      </c>
    </row>
    <row r="35" spans="2:9">
      <c r="B35" s="51" t="str">
        <f t="shared" si="6"/>
        <v>RSD_APA1_SC_ELC_E01</v>
      </c>
      <c r="C35" s="51" t="str">
        <f t="shared" si="6"/>
        <v>Apartment A1 SpCool A/C (E)</v>
      </c>
      <c r="E35" s="41" t="str">
        <f>Commodities!$AA$32</f>
        <v>RSD_APA1_SC</v>
      </c>
      <c r="F35" s="136">
        <v>31.536000000000001</v>
      </c>
    </row>
    <row r="36" spans="2:9" hidden="1">
      <c r="B36" s="51" t="s">
        <v>147</v>
      </c>
      <c r="C36" s="51">
        <f t="shared" si="6"/>
        <v>0</v>
      </c>
      <c r="E36" s="41" t="str">
        <f>Commodities!$AA$33</f>
        <v>RSD_DTA2_SC</v>
      </c>
      <c r="F36" s="136">
        <v>31.536000000000001</v>
      </c>
    </row>
    <row r="37" spans="2:9" hidden="1">
      <c r="B37" s="51" t="s">
        <v>147</v>
      </c>
      <c r="C37" s="51" t="str">
        <f t="shared" si="6"/>
        <v>Apartment A2 SpCool A/C  (E)</v>
      </c>
      <c r="D37" s="41"/>
      <c r="E37" s="41" t="str">
        <f>Commodities!$AA$34</f>
        <v>RSD_APA2_SC</v>
      </c>
      <c r="F37" s="210">
        <v>31.536000000000001</v>
      </c>
    </row>
    <row r="38" spans="2:9" hidden="1">
      <c r="B38" s="51" t="s">
        <v>147</v>
      </c>
      <c r="C38" s="51" t="str">
        <f t="shared" si="6"/>
        <v>Detached A3 SpCool A/C (E)</v>
      </c>
      <c r="E38" s="41" t="str">
        <f>Commodities!$AA$35</f>
        <v>RSD_DTA3_SC</v>
      </c>
      <c r="F38" s="136">
        <v>31.536000000000001</v>
      </c>
    </row>
    <row r="39" spans="2:9" hidden="1">
      <c r="B39" s="51" t="s">
        <v>147</v>
      </c>
      <c r="C39" s="51" t="str">
        <f t="shared" si="6"/>
        <v>Apartment A3 SpCool A/C  (E)</v>
      </c>
      <c r="E39" s="41" t="str">
        <f>Commodities!$AA$36</f>
        <v>RSD_APA3_SC</v>
      </c>
      <c r="F39" s="136">
        <v>31.536000000000001</v>
      </c>
    </row>
    <row r="40" spans="2:9" hidden="1">
      <c r="B40" s="51" t="s">
        <v>147</v>
      </c>
      <c r="C40" s="51" t="str">
        <f t="shared" ref="C40:C41" si="7">S12</f>
        <v>Detached A4 SpCool A/C (E)</v>
      </c>
      <c r="E40" s="41" t="str">
        <f>Commodities!$AA$37</f>
        <v>RSD_DTA4_SC</v>
      </c>
      <c r="F40" s="136">
        <v>31.536000000000001</v>
      </c>
    </row>
    <row r="41" spans="2:9" hidden="1">
      <c r="B41" s="51" t="s">
        <v>147</v>
      </c>
      <c r="C41" s="51" t="str">
        <f t="shared" si="7"/>
        <v>Apartment A4 SpCool A/C  (E)</v>
      </c>
      <c r="E41" s="41" t="str">
        <f>Commodities!$AA$38</f>
        <v>RSD_APA4_SC</v>
      </c>
      <c r="F41" s="136">
        <v>31.536000000000001</v>
      </c>
    </row>
    <row r="42" spans="2:9">
      <c r="F42" s="210"/>
    </row>
    <row r="44" spans="2:9" ht="13.8">
      <c r="E44" s="86" t="s">
        <v>353</v>
      </c>
      <c r="H44" s="86" t="s">
        <v>697</v>
      </c>
      <c r="I44" s="28"/>
    </row>
    <row r="45" spans="2:9" ht="13.8">
      <c r="B45" s="88" t="s">
        <v>1</v>
      </c>
      <c r="C45" s="88" t="s">
        <v>42</v>
      </c>
      <c r="D45" s="88" t="s">
        <v>7</v>
      </c>
      <c r="E45" s="88" t="s">
        <v>0</v>
      </c>
      <c r="F45" s="121" t="s">
        <v>999</v>
      </c>
      <c r="H45" s="88" t="s">
        <v>1</v>
      </c>
      <c r="I45" s="121" t="s">
        <v>999</v>
      </c>
    </row>
    <row r="46" spans="2:9" ht="14.4" thickBot="1">
      <c r="B46" s="92" t="s">
        <v>356</v>
      </c>
      <c r="C46" s="92" t="s">
        <v>26</v>
      </c>
      <c r="D46" s="124" t="s">
        <v>36</v>
      </c>
      <c r="E46" s="123"/>
      <c r="F46" s="93"/>
      <c r="H46" s="92" t="s">
        <v>356</v>
      </c>
      <c r="I46" s="93"/>
    </row>
    <row r="47" spans="2:9" ht="14.4" thickBot="1">
      <c r="B47" s="92" t="s">
        <v>269</v>
      </c>
      <c r="C47" s="92"/>
      <c r="D47" s="92"/>
      <c r="E47" s="123"/>
      <c r="F47" s="193"/>
      <c r="H47" s="92" t="s">
        <v>269</v>
      </c>
      <c r="I47" s="93"/>
    </row>
    <row r="48" spans="2:9">
      <c r="B48" s="51" t="str">
        <f t="shared" ref="B48:C53" si="8">R6</f>
        <v>RSD_DTA1_SC_ELC_E01</v>
      </c>
      <c r="C48" s="51" t="str">
        <f t="shared" si="8"/>
        <v>Detached A1 SpCool A/C (E)</v>
      </c>
      <c r="E48" s="41" t="str">
        <f>Commodities!$AA$31</f>
        <v>RSD_DTA1_SC</v>
      </c>
      <c r="F48" s="136">
        <f>IF(F7&gt;0,K7*F20/(F7*F34),0.03)</f>
        <v>6.787338906088132E-3</v>
      </c>
      <c r="H48" s="51" t="str">
        <f t="shared" ref="H48:H53" si="9">B48</f>
        <v>RSD_DTA1_SC_ELC_E01</v>
      </c>
      <c r="I48" s="136">
        <f t="shared" ref="I48:I55" si="10">IF(F48*Stk_Mult&gt;1,1,F48*Stk_Mult)</f>
        <v>6.787338906088132E-3</v>
      </c>
    </row>
    <row r="49" spans="2:9">
      <c r="B49" s="51" t="str">
        <f t="shared" si="8"/>
        <v>RSD_APA1_SC_ELC_E01</v>
      </c>
      <c r="C49" s="51" t="str">
        <f t="shared" si="8"/>
        <v>Apartment A1 SpCool A/C (E)</v>
      </c>
      <c r="E49" s="41" t="str">
        <f>Commodities!$AA$32</f>
        <v>RSD_APA1_SC</v>
      </c>
      <c r="F49" s="136">
        <f t="shared" ref="F49:F55" si="11">IF(F8&gt;0,K8*F21/(F8*F35),0.03)</f>
        <v>1.3574677812176264E-2</v>
      </c>
      <c r="H49" s="51" t="str">
        <f t="shared" si="9"/>
        <v>RSD_APA1_SC_ELC_E01</v>
      </c>
      <c r="I49" s="136">
        <f t="shared" si="10"/>
        <v>1.3574677812176264E-2</v>
      </c>
    </row>
    <row r="50" spans="2:9" hidden="1">
      <c r="B50" s="51" t="s">
        <v>147</v>
      </c>
      <c r="C50" s="51">
        <f t="shared" si="8"/>
        <v>0</v>
      </c>
      <c r="E50" s="41" t="str">
        <f>Commodities!$AA$33</f>
        <v>RSD_DTA2_SC</v>
      </c>
      <c r="F50" s="136">
        <f t="shared" si="11"/>
        <v>0</v>
      </c>
      <c r="H50" s="51" t="str">
        <f t="shared" si="9"/>
        <v>*</v>
      </c>
      <c r="I50" s="136">
        <f t="shared" si="10"/>
        <v>0</v>
      </c>
    </row>
    <row r="51" spans="2:9" hidden="1">
      <c r="B51" s="51" t="s">
        <v>147</v>
      </c>
      <c r="C51" s="51" t="str">
        <f t="shared" si="8"/>
        <v>Apartment A2 SpCool A/C  (E)</v>
      </c>
      <c r="D51" s="41"/>
      <c r="E51" s="41" t="str">
        <f>Commodities!$AA$34</f>
        <v>RSD_APA2_SC</v>
      </c>
      <c r="F51" s="136">
        <f t="shared" si="11"/>
        <v>0</v>
      </c>
      <c r="H51" s="51" t="str">
        <f t="shared" si="9"/>
        <v>*</v>
      </c>
      <c r="I51" s="136">
        <f t="shared" si="10"/>
        <v>0</v>
      </c>
    </row>
    <row r="52" spans="2:9" hidden="1">
      <c r="B52" s="51" t="s">
        <v>147</v>
      </c>
      <c r="C52" s="51" t="str">
        <f t="shared" si="8"/>
        <v>Detached A3 SpCool A/C (E)</v>
      </c>
      <c r="E52" s="41" t="str">
        <f>Commodities!$AA$35</f>
        <v>RSD_DTA3_SC</v>
      </c>
      <c r="F52" s="136">
        <f t="shared" si="11"/>
        <v>0</v>
      </c>
      <c r="H52" s="51" t="str">
        <f t="shared" si="9"/>
        <v>*</v>
      </c>
      <c r="I52" s="136">
        <f t="shared" si="10"/>
        <v>0</v>
      </c>
    </row>
    <row r="53" spans="2:9" hidden="1">
      <c r="B53" s="51" t="s">
        <v>147</v>
      </c>
      <c r="C53" s="51" t="str">
        <f t="shared" si="8"/>
        <v>Apartment A3 SpCool A/C  (E)</v>
      </c>
      <c r="E53" s="41" t="str">
        <f>Commodities!$AA$36</f>
        <v>RSD_APA3_SC</v>
      </c>
      <c r="F53" s="136">
        <f t="shared" si="11"/>
        <v>0</v>
      </c>
      <c r="H53" s="51" t="str">
        <f t="shared" si="9"/>
        <v>*</v>
      </c>
      <c r="I53" s="136">
        <f t="shared" si="10"/>
        <v>0</v>
      </c>
    </row>
    <row r="54" spans="2:9" hidden="1">
      <c r="B54" s="51" t="s">
        <v>147</v>
      </c>
      <c r="C54" s="51" t="str">
        <f t="shared" ref="C54:C55" si="12">S12</f>
        <v>Detached A4 SpCool A/C (E)</v>
      </c>
      <c r="E54" s="41" t="str">
        <f>Commodities!$AA$37</f>
        <v>RSD_DTA4_SC</v>
      </c>
      <c r="F54" s="136">
        <f t="shared" si="11"/>
        <v>0</v>
      </c>
      <c r="H54" s="51" t="str">
        <f t="shared" ref="H54:H55" si="13">B54</f>
        <v>*</v>
      </c>
      <c r="I54" s="136">
        <f t="shared" si="10"/>
        <v>0</v>
      </c>
    </row>
    <row r="55" spans="2:9" hidden="1">
      <c r="B55" s="51" t="s">
        <v>147</v>
      </c>
      <c r="C55" s="51" t="str">
        <f t="shared" si="12"/>
        <v>Apartment A4 SpCool A/C  (E)</v>
      </c>
      <c r="E55" s="41" t="str">
        <f>Commodities!$AA$38</f>
        <v>RSD_APA4_SC</v>
      </c>
      <c r="F55" s="136">
        <f t="shared" si="11"/>
        <v>0</v>
      </c>
      <c r="H55" s="51" t="str">
        <f t="shared" si="13"/>
        <v>*</v>
      </c>
      <c r="I55" s="136">
        <f t="shared" si="10"/>
        <v>0</v>
      </c>
    </row>
    <row r="56" spans="2:9">
      <c r="I56" s="44"/>
    </row>
    <row r="57" spans="2:9">
      <c r="I57" s="44"/>
    </row>
    <row r="58" spans="2:9" ht="13.8">
      <c r="E58" s="86" t="s">
        <v>354</v>
      </c>
      <c r="I58" s="44"/>
    </row>
    <row r="59" spans="2:9" ht="13.8">
      <c r="B59" s="88" t="s">
        <v>1</v>
      </c>
      <c r="C59" s="88" t="s">
        <v>42</v>
      </c>
      <c r="D59" s="88" t="s">
        <v>7</v>
      </c>
      <c r="E59" s="88" t="s">
        <v>0</v>
      </c>
      <c r="F59" s="121" t="s">
        <v>999</v>
      </c>
    </row>
    <row r="60" spans="2:9" ht="14.4" thickBot="1">
      <c r="B60" s="92" t="s">
        <v>356</v>
      </c>
      <c r="C60" s="92" t="s">
        <v>26</v>
      </c>
      <c r="D60" s="124" t="s">
        <v>36</v>
      </c>
      <c r="E60" s="123"/>
      <c r="F60" s="93"/>
    </row>
    <row r="61" spans="2:9" ht="14.4" thickBot="1">
      <c r="B61" s="92" t="s">
        <v>269</v>
      </c>
      <c r="C61" s="92"/>
      <c r="D61" s="92"/>
      <c r="E61" s="123"/>
      <c r="F61" s="193"/>
    </row>
    <row r="62" spans="2:9">
      <c r="B62" s="51" t="str">
        <f t="shared" ref="B62:C67" si="14">R6</f>
        <v>RSD_DTA1_SC_ELC_E01</v>
      </c>
      <c r="C62" s="51" t="str">
        <f t="shared" si="14"/>
        <v>Detached A1 SpCool A/C (E)</v>
      </c>
      <c r="E62" s="41" t="str">
        <f>Commodities!$AA$31</f>
        <v>RSD_DTA1_SC</v>
      </c>
      <c r="F62" s="136">
        <v>15</v>
      </c>
    </row>
    <row r="63" spans="2:9">
      <c r="B63" s="51" t="str">
        <f t="shared" si="14"/>
        <v>RSD_APA1_SC_ELC_E01</v>
      </c>
      <c r="C63" s="51" t="str">
        <f t="shared" si="14"/>
        <v>Apartment A1 SpCool A/C (E)</v>
      </c>
      <c r="E63" s="41" t="str">
        <f>Commodities!$AA$32</f>
        <v>RSD_APA1_SC</v>
      </c>
      <c r="F63" s="136">
        <v>15</v>
      </c>
    </row>
    <row r="64" spans="2:9" hidden="1">
      <c r="B64" s="51" t="s">
        <v>147</v>
      </c>
      <c r="C64" s="51">
        <f t="shared" si="14"/>
        <v>0</v>
      </c>
      <c r="E64" s="41" t="str">
        <f>Commodities!$AA$33</f>
        <v>RSD_DTA2_SC</v>
      </c>
      <c r="F64" s="136">
        <v>15</v>
      </c>
    </row>
    <row r="65" spans="2:6" hidden="1">
      <c r="B65" s="51" t="s">
        <v>147</v>
      </c>
      <c r="C65" s="51" t="str">
        <f t="shared" si="14"/>
        <v>Apartment A2 SpCool A/C  (E)</v>
      </c>
      <c r="D65" s="41"/>
      <c r="E65" s="41" t="str">
        <f>Commodities!$AA$34</f>
        <v>RSD_APA2_SC</v>
      </c>
      <c r="F65" s="210">
        <v>15</v>
      </c>
    </row>
    <row r="66" spans="2:6" hidden="1">
      <c r="B66" s="51" t="s">
        <v>147</v>
      </c>
      <c r="C66" s="51" t="str">
        <f t="shared" si="14"/>
        <v>Detached A3 SpCool A/C (E)</v>
      </c>
      <c r="E66" s="41" t="str">
        <f>Commodities!$AA$35</f>
        <v>RSD_DTA3_SC</v>
      </c>
      <c r="F66" s="136">
        <v>15</v>
      </c>
    </row>
    <row r="67" spans="2:6" hidden="1">
      <c r="B67" s="51" t="s">
        <v>147</v>
      </c>
      <c r="C67" s="51" t="str">
        <f t="shared" si="14"/>
        <v>Apartment A3 SpCool A/C  (E)</v>
      </c>
      <c r="E67" s="41" t="str">
        <f>Commodities!$AA$36</f>
        <v>RSD_APA3_SC</v>
      </c>
      <c r="F67" s="136">
        <v>15</v>
      </c>
    </row>
    <row r="68" spans="2:6" hidden="1">
      <c r="B68" s="51" t="s">
        <v>147</v>
      </c>
      <c r="C68" s="51" t="str">
        <f t="shared" ref="C68:C69" si="15">S12</f>
        <v>Detached A4 SpCool A/C (E)</v>
      </c>
      <c r="E68" s="41" t="str">
        <f>Commodities!$AA$37</f>
        <v>RSD_DTA4_SC</v>
      </c>
      <c r="F68" s="136">
        <v>15</v>
      </c>
    </row>
    <row r="69" spans="2:6" hidden="1">
      <c r="B69" s="51" t="s">
        <v>147</v>
      </c>
      <c r="C69" s="51" t="str">
        <f t="shared" si="15"/>
        <v>Apartment A4 SpCool A/C  (E)</v>
      </c>
      <c r="E69" s="41" t="str">
        <f>Commodities!$AA$38</f>
        <v>RSD_APA4_SC</v>
      </c>
      <c r="F69" s="136">
        <v>15</v>
      </c>
    </row>
  </sheetData>
  <conditionalFormatting sqref="F48:F55">
    <cfRule type="cellIs" dxfId="4" priority="1" operator="greaterThan">
      <formula>1</formula>
    </cfRule>
    <cfRule type="cellIs" dxfId="3" priority="4" operator="greaterThan">
      <formula>1</formula>
    </cfRule>
    <cfRule type="cellIs" dxfId="2" priority="8" operator="greaterThan">
      <formula>1</formula>
    </cfRule>
  </conditionalFormatting>
  <conditionalFormatting sqref="I48:I55">
    <cfRule type="cellIs" dxfId="1" priority="2" operator="greater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X227"/>
  <sheetViews>
    <sheetView topLeftCell="A6" zoomScale="70" zoomScaleNormal="70" workbookViewId="0">
      <selection activeCell="A6" sqref="A1:XFD1048576"/>
    </sheetView>
  </sheetViews>
  <sheetFormatPr defaultColWidth="9.33203125" defaultRowHeight="13.2"/>
  <cols>
    <col min="1" max="1" width="6.44140625" style="51" customWidth="1"/>
    <col min="2" max="2" width="41.88671875" style="51" customWidth="1"/>
    <col min="3" max="3" width="37.6640625" style="51" bestFit="1" customWidth="1"/>
    <col min="4" max="4" width="18" style="51" bestFit="1" customWidth="1"/>
    <col min="5" max="5" width="25.44140625" style="51" bestFit="1" customWidth="1"/>
    <col min="6" max="6" width="12.88671875" style="51" bestFit="1" customWidth="1"/>
    <col min="7" max="7" width="9.33203125" style="51" customWidth="1"/>
    <col min="8" max="8" width="23.88671875" style="51" customWidth="1"/>
    <col min="9" max="9" width="30.5546875" style="44" customWidth="1"/>
    <col min="10" max="10" width="37.33203125" style="44" bestFit="1" customWidth="1"/>
    <col min="11" max="11" width="15.33203125" style="44" customWidth="1"/>
    <col min="12" max="13" width="9.33203125" style="51" customWidth="1"/>
    <col min="14" max="14" width="17.33203125" style="51" customWidth="1"/>
    <col min="15" max="15" width="14.33203125" style="51" bestFit="1" customWidth="1"/>
    <col min="16" max="16" width="34.5546875" style="51" customWidth="1"/>
    <col min="17" max="17" width="87.6640625" style="51" bestFit="1" customWidth="1"/>
    <col min="18" max="18" width="12.109375" style="51" bestFit="1" customWidth="1"/>
    <col min="19" max="19" width="14" style="51" bestFit="1" customWidth="1"/>
    <col min="20" max="20" width="33.88671875" style="44" bestFit="1" customWidth="1"/>
    <col min="21" max="21" width="26.44140625" style="51" bestFit="1" customWidth="1"/>
    <col min="22" max="22" width="17.44140625" style="51" bestFit="1" customWidth="1"/>
    <col min="23" max="23" width="9.33203125" style="51" customWidth="1"/>
    <col min="24" max="24" width="24.33203125" style="51" bestFit="1" customWidth="1"/>
    <col min="25" max="16384" width="9.33203125" style="51"/>
  </cols>
  <sheetData>
    <row r="1" spans="1:24" ht="17.399999999999999">
      <c r="A1" s="36" t="s">
        <v>376</v>
      </c>
      <c r="B1" s="36"/>
      <c r="C1" s="36"/>
      <c r="D1" s="36"/>
      <c r="E1" s="36"/>
      <c r="F1" s="36"/>
      <c r="O1" s="5"/>
      <c r="P1" s="5"/>
      <c r="Q1" s="5"/>
      <c r="R1" s="85"/>
      <c r="S1" s="85"/>
      <c r="T1" s="85"/>
      <c r="U1" s="85"/>
      <c r="V1" s="85"/>
      <c r="W1" s="5"/>
      <c r="X1" s="5"/>
    </row>
    <row r="2" spans="1:24" ht="12.75" customHeight="1">
      <c r="A2" s="86"/>
      <c r="D2" s="41"/>
      <c r="F2" s="32">
        <v>3</v>
      </c>
      <c r="L2" s="173"/>
      <c r="N2" s="5" t="s">
        <v>145</v>
      </c>
      <c r="O2" s="5"/>
      <c r="P2" s="5"/>
      <c r="Q2" s="5"/>
      <c r="R2" s="85"/>
      <c r="S2" s="85"/>
      <c r="T2" s="85"/>
      <c r="U2" s="85"/>
      <c r="V2" s="85"/>
      <c r="W2" s="5"/>
      <c r="X2" s="5"/>
    </row>
    <row r="3" spans="1:24" ht="22.5" customHeight="1">
      <c r="E3" s="86" t="s">
        <v>350</v>
      </c>
      <c r="G3" s="51">
        <f>Stk_Mult</f>
        <v>1</v>
      </c>
      <c r="H3" s="119" t="s">
        <v>980</v>
      </c>
      <c r="I3" s="119"/>
      <c r="J3" s="119"/>
      <c r="K3" s="119"/>
      <c r="N3" s="87" t="s">
        <v>39</v>
      </c>
      <c r="O3" s="87"/>
      <c r="P3" s="87" t="s">
        <v>317</v>
      </c>
      <c r="Q3" s="87"/>
      <c r="R3" s="120"/>
      <c r="S3" s="120"/>
      <c r="T3" s="120"/>
      <c r="U3" s="120"/>
      <c r="V3" s="120"/>
      <c r="W3" s="5"/>
      <c r="X3" s="5"/>
    </row>
    <row r="4" spans="1:24" ht="13.5" customHeight="1">
      <c r="B4" s="88" t="s">
        <v>1</v>
      </c>
      <c r="C4" s="89" t="s">
        <v>42</v>
      </c>
      <c r="D4" s="88" t="s">
        <v>7</v>
      </c>
      <c r="E4" s="89" t="s">
        <v>8</v>
      </c>
      <c r="F4" s="121" t="s">
        <v>999</v>
      </c>
      <c r="H4" s="169"/>
      <c r="I4" s="30" t="s">
        <v>361</v>
      </c>
      <c r="J4" s="30" t="s">
        <v>362</v>
      </c>
      <c r="K4" s="122" t="s">
        <v>358</v>
      </c>
      <c r="N4" s="106" t="s">
        <v>19</v>
      </c>
      <c r="O4" s="106"/>
      <c r="P4" s="87"/>
      <c r="Q4" s="87"/>
      <c r="R4" s="120"/>
      <c r="S4" s="120"/>
      <c r="T4" s="120"/>
      <c r="U4" s="120"/>
      <c r="V4" s="120"/>
      <c r="W4" s="5"/>
      <c r="X4" s="5"/>
    </row>
    <row r="5" spans="1:24" ht="19.5" customHeight="1" thickBot="1">
      <c r="B5" s="92" t="s">
        <v>356</v>
      </c>
      <c r="C5" s="123" t="s">
        <v>26</v>
      </c>
      <c r="D5" s="124" t="s">
        <v>36</v>
      </c>
      <c r="E5" s="123" t="s">
        <v>37</v>
      </c>
      <c r="F5" s="92"/>
      <c r="H5" s="89" t="s">
        <v>377</v>
      </c>
      <c r="I5" s="121" t="s">
        <v>999</v>
      </c>
      <c r="J5" s="121" t="s">
        <v>999</v>
      </c>
      <c r="K5" s="125"/>
      <c r="N5" s="91" t="s">
        <v>13</v>
      </c>
      <c r="O5" s="91" t="s">
        <v>34</v>
      </c>
      <c r="P5" s="91" t="s">
        <v>1</v>
      </c>
      <c r="Q5" s="91" t="s">
        <v>2</v>
      </c>
      <c r="R5" s="126" t="s">
        <v>20</v>
      </c>
      <c r="S5" s="126" t="s">
        <v>21</v>
      </c>
      <c r="T5" s="126" t="s">
        <v>22</v>
      </c>
      <c r="U5" s="126" t="s">
        <v>23</v>
      </c>
      <c r="V5" s="126" t="s">
        <v>24</v>
      </c>
      <c r="W5" s="5"/>
      <c r="X5" s="91"/>
    </row>
    <row r="6" spans="1:24" s="134" customFormat="1" ht="19.5" customHeight="1" thickBot="1">
      <c r="B6" s="127" t="s">
        <v>269</v>
      </c>
      <c r="C6" s="128"/>
      <c r="D6" s="127"/>
      <c r="E6" s="128"/>
      <c r="F6" s="170" t="str">
        <f>General!$D$18</f>
        <v>000s_Units</v>
      </c>
      <c r="H6" s="171" t="s">
        <v>379</v>
      </c>
      <c r="I6" s="130" t="str">
        <f>General!$B$2</f>
        <v>PJ</v>
      </c>
      <c r="J6" s="130" t="str">
        <f>General!$B$2</f>
        <v>PJ</v>
      </c>
      <c r="K6" s="146"/>
      <c r="N6" s="131" t="s">
        <v>44</v>
      </c>
      <c r="O6" s="131" t="s">
        <v>35</v>
      </c>
      <c r="P6" s="131" t="s">
        <v>25</v>
      </c>
      <c r="Q6" s="131" t="s">
        <v>26</v>
      </c>
      <c r="R6" s="110" t="s">
        <v>27</v>
      </c>
      <c r="S6" s="110" t="s">
        <v>28</v>
      </c>
      <c r="T6" s="110" t="s">
        <v>48</v>
      </c>
      <c r="U6" s="110" t="s">
        <v>47</v>
      </c>
      <c r="V6" s="110" t="s">
        <v>29</v>
      </c>
      <c r="W6" s="172"/>
      <c r="X6" s="131"/>
    </row>
    <row r="7" spans="1:24" ht="15" customHeight="1">
      <c r="B7" s="41" t="str">
        <f t="shared" ref="B7:B11" si="0">P7</f>
        <v>RSD_DTA1_CK_LOG_E01</v>
      </c>
      <c r="C7" s="41" t="str">
        <f t="shared" ref="C7:C11" si="1">Q7</f>
        <v>Detached A1 Cook Wood  (E)|</v>
      </c>
      <c r="D7" s="41" t="str">
        <f>Commodities!$D$38</f>
        <v>RSDBIOLOG</v>
      </c>
      <c r="E7" s="138" t="str">
        <f>Commodities!$AA$39</f>
        <v>RSD_DTA1_CK</v>
      </c>
      <c r="F7" s="174">
        <f>($H7*VLOOKUP(LEFT($B7,8),RSD_Stock!$H$21:$L$28,F$2,FALSE)*VLOOKUP($B7,RSD_Demands!$H$106:$J$145,F$2,FALSE))</f>
        <v>0</v>
      </c>
      <c r="H7" s="143">
        <v>1</v>
      </c>
      <c r="I7" s="174">
        <f>F7*F98*F53*F143</f>
        <v>0</v>
      </c>
      <c r="J7" s="174">
        <f>VLOOKUP(LEFT($B7,11),RSD_En_Balance!$C$109:$R$190,MATCH($D7,RSD_En_Balance!$D$109:$R$109,0)+1,FALSE)</f>
        <v>0</v>
      </c>
      <c r="K7" s="175">
        <f>SUM(I7:I7)-SUM(J7:J7)</f>
        <v>0</v>
      </c>
      <c r="N7" s="5" t="s">
        <v>270</v>
      </c>
      <c r="O7" s="8"/>
      <c r="P7" s="5" t="str">
        <f>Commodities!$AA$39&amp;"_"&amp;RIGHT(Commodities!$D$38,3)&amp;"_"&amp;$P$3&amp;"01"</f>
        <v>RSD_DTA1_CK_LOG_E01</v>
      </c>
      <c r="Q7" s="5" t="str">
        <f>"Detached A1 Cook Wood  (E)|"&amp;X7</f>
        <v>Detached A1 Cook Wood  (E)|</v>
      </c>
      <c r="R7" s="85" t="str">
        <f>General!$B$2</f>
        <v>PJ</v>
      </c>
      <c r="S7" s="85" t="str">
        <f>General!$D$18</f>
        <v>000s_Units</v>
      </c>
      <c r="T7" s="44" t="s">
        <v>125</v>
      </c>
      <c r="U7" s="11"/>
      <c r="V7" s="11"/>
      <c r="W7" s="5"/>
      <c r="X7" s="5"/>
    </row>
    <row r="8" spans="1:24" ht="15" customHeight="1">
      <c r="B8" s="41" t="str">
        <f t="shared" ref="B8" si="2">P8</f>
        <v>RSD_DTA1_CK_BIC_E01</v>
      </c>
      <c r="C8" s="41" t="str">
        <f t="shared" ref="C8" si="3">Q8</f>
        <v>Detached A1 Cook BituminousCoal  (E)|</v>
      </c>
      <c r="D8" s="41" t="str">
        <f>Commodities!$D$31</f>
        <v>RSDCOABIC</v>
      </c>
      <c r="E8" s="138" t="str">
        <f>Commodities!$AA$39</f>
        <v>RSD_DTA1_CK</v>
      </c>
      <c r="F8" s="174">
        <f>($H8*VLOOKUP(LEFT($B8,8),RSD_Stock!$H$21:$L$28,F$2,FALSE)*VLOOKUP($B8,RSD_Demands!$H$106:$J$145,F$2,FALSE))</f>
        <v>0</v>
      </c>
      <c r="H8" s="143">
        <v>1</v>
      </c>
      <c r="I8" s="174">
        <f>F8*F98*F53*F143</f>
        <v>0</v>
      </c>
      <c r="J8" s="174">
        <f>VLOOKUP(LEFT($B8,11),RSD_En_Balance!$C$109:$R$190,MATCH($D8,RSD_En_Balance!$D$109:$R$109,0)+1,FALSE)</f>
        <v>0</v>
      </c>
      <c r="K8" s="175">
        <f t="shared" ref="K8" si="4">SUM(I8:I8)-SUM(J8:J8)</f>
        <v>0</v>
      </c>
      <c r="N8" s="5"/>
      <c r="O8" s="8"/>
      <c r="P8" s="5" t="str">
        <f>Commodities!$AA$39&amp;"_"&amp;RIGHT(Commodities!$D$31,3)&amp;"_"&amp;$P$3&amp;"01"</f>
        <v>RSD_DTA1_CK_BIC_E01</v>
      </c>
      <c r="Q8" s="5" t="str">
        <f>"Detached A1 Cook BituminousCoal  (E)|"&amp;X8</f>
        <v>Detached A1 Cook BituminousCoal  (E)|</v>
      </c>
      <c r="R8" s="85" t="str">
        <f>General!$B$2</f>
        <v>PJ</v>
      </c>
      <c r="S8" s="85" t="str">
        <f>General!$D$18</f>
        <v>000s_Units</v>
      </c>
      <c r="T8" s="44" t="s">
        <v>125</v>
      </c>
      <c r="U8" s="11"/>
      <c r="V8" s="11"/>
      <c r="W8" s="5"/>
      <c r="X8" s="5"/>
    </row>
    <row r="9" spans="1:24" ht="15" customHeight="1">
      <c r="B9" s="41" t="str">
        <f t="shared" si="0"/>
        <v>RSD_DTA1_CK_GAS_E01</v>
      </c>
      <c r="C9" s="41" t="str">
        <f t="shared" si="1"/>
        <v>Detached A1 Cook N Gas  (E)|</v>
      </c>
      <c r="D9" s="41" t="str">
        <f>Commodities!$D$37</f>
        <v>RSDGASNAT</v>
      </c>
      <c r="E9" s="138" t="str">
        <f>Commodities!$AA$39</f>
        <v>RSD_DTA1_CK</v>
      </c>
      <c r="F9" s="174">
        <f>($H9*VLOOKUP(LEFT($B9,8),RSD_Stock!$H$21:$L$28,F$2,FALSE)*VLOOKUP($B9,RSD_Demands!$H$106:$J$145,F$2,FALSE))</f>
        <v>0</v>
      </c>
      <c r="H9" s="143">
        <v>1</v>
      </c>
      <c r="I9" s="174">
        <f>F9*F100*F55*F145</f>
        <v>0</v>
      </c>
      <c r="J9" s="174">
        <f>VLOOKUP(LEFT($B9,11),RSD_En_Balance!$C$109:$R$190,MATCH($D9,RSD_En_Balance!$D$109:$R$109,0)+1,FALSE)</f>
        <v>0</v>
      </c>
      <c r="K9" s="175">
        <f t="shared" ref="K9:K46" si="5">SUM(I9:I9)-SUM(J9:J9)</f>
        <v>0</v>
      </c>
      <c r="L9" s="84">
        <f>SUM(I7:I11)/(SUM(F7:F11)/1000)</f>
        <v>6.5911595531707476</v>
      </c>
      <c r="N9" s="8"/>
      <c r="O9" s="8"/>
      <c r="P9" s="5" t="str">
        <f>Commodities!$AA$39&amp;"_"&amp;LEFT(RIGHT(Commodities!$D$37,6),3)&amp;"_"&amp;$P$3&amp;"01"</f>
        <v>RSD_DTA1_CK_GAS_E01</v>
      </c>
      <c r="Q9" s="5" t="str">
        <f>"Detached A1 Cook N Gas  (E)|"&amp;X9</f>
        <v>Detached A1 Cook N Gas  (E)|</v>
      </c>
      <c r="R9" s="85" t="str">
        <f>General!$B$2</f>
        <v>PJ</v>
      </c>
      <c r="S9" s="85" t="str">
        <f>General!$D$18</f>
        <v>000s_Units</v>
      </c>
      <c r="T9" s="85" t="s">
        <v>125</v>
      </c>
      <c r="U9" s="11"/>
      <c r="V9" s="11"/>
      <c r="W9" s="5"/>
      <c r="X9" s="5"/>
    </row>
    <row r="10" spans="1:24" ht="13.8">
      <c r="B10" s="41" t="str">
        <f t="shared" si="0"/>
        <v>RSD_DTA1_CK_LPG_E01</v>
      </c>
      <c r="C10" s="41" t="str">
        <f t="shared" si="1"/>
        <v>Detached A1 Cook LPG  (E)|</v>
      </c>
      <c r="D10" s="41" t="str">
        <f>Commodities!$D$35</f>
        <v>RSDOILLPG</v>
      </c>
      <c r="E10" s="138" t="str">
        <f>Commodities!$AA$39</f>
        <v>RSD_DTA1_CK</v>
      </c>
      <c r="F10" s="174">
        <f>($H10*VLOOKUP(LEFT($B10,8),RSD_Stock!$H$21:$L$28,F$2,FALSE)*VLOOKUP($B10,RSD_Demands!$H$106:$J$145,F$2,FALSE))</f>
        <v>443.33981999999992</v>
      </c>
      <c r="H10" s="143">
        <v>1</v>
      </c>
      <c r="I10" s="174">
        <f>F10*F101*F56*F146</f>
        <v>3.1872014999999996</v>
      </c>
      <c r="J10" s="174">
        <f>VLOOKUP(LEFT($B10,11),RSD_En_Balance!$C$109:$R$190,MATCH($D10,RSD_En_Balance!$D$109:$R$109,0)+1,FALSE)</f>
        <v>3.1872014999999996</v>
      </c>
      <c r="K10" s="175">
        <f t="shared" si="5"/>
        <v>0</v>
      </c>
      <c r="L10" s="84"/>
      <c r="N10" s="8"/>
      <c r="O10" s="8"/>
      <c r="P10" s="5" t="str">
        <f>Commodities!$AA$39&amp;"_"&amp;RIGHT(Commodities!$D$35,3)&amp;"_"&amp;$P$3&amp;"01"</f>
        <v>RSD_DTA1_CK_LPG_E01</v>
      </c>
      <c r="Q10" s="5" t="str">
        <f>"Detached A1 Cook LPG  (E)|"&amp;X10</f>
        <v>Detached A1 Cook LPG  (E)|</v>
      </c>
      <c r="R10" s="85" t="str">
        <f>General!$B$2</f>
        <v>PJ</v>
      </c>
      <c r="S10" s="85" t="str">
        <f>General!$D$18</f>
        <v>000s_Units</v>
      </c>
      <c r="T10" s="85" t="s">
        <v>125</v>
      </c>
      <c r="U10" s="11"/>
      <c r="V10" s="11"/>
      <c r="W10" s="5"/>
      <c r="X10" s="5"/>
    </row>
    <row r="11" spans="1:24" ht="15.75" customHeight="1">
      <c r="B11" s="152" t="str">
        <f t="shared" si="0"/>
        <v>RSD_DTA1_CK_ELC_E01</v>
      </c>
      <c r="C11" s="152" t="str">
        <f t="shared" si="1"/>
        <v>Detached A1 Cook Electric  (E)|</v>
      </c>
      <c r="D11" s="152" t="str">
        <f>Commodities!$D$48</f>
        <v>RSDELC</v>
      </c>
      <c r="E11" s="153" t="str">
        <f>Commodities!$AA$39</f>
        <v>RSD_DTA1_CK</v>
      </c>
      <c r="F11" s="176">
        <f>($H11*VLOOKUP(LEFT($B11,8),RSD_Stock!$H$21:$L$28,F$2,FALSE)*VLOOKUP($B11,RSD_Demands!$H$106:$J$145,F$2,FALSE))</f>
        <v>190.00278</v>
      </c>
      <c r="H11" s="177">
        <v>1</v>
      </c>
      <c r="I11" s="176">
        <f>F11*F102*F57*F147</f>
        <v>0.98726062841999984</v>
      </c>
      <c r="J11" s="176">
        <f>VLOOKUP(LEFT($B11,11),RSD_En_Balance!$C$109:$R$190,MATCH($D11,RSD_En_Balance!$D$109:$R$109,0)+1,FALSE)</f>
        <v>0.73676166299999979</v>
      </c>
      <c r="K11" s="178">
        <f t="shared" si="5"/>
        <v>0.25049896542000005</v>
      </c>
      <c r="L11" s="84"/>
      <c r="N11" s="100"/>
      <c r="O11" s="100"/>
      <c r="P11" s="100" t="str">
        <f>Commodities!$AA$39&amp;"_"&amp;RIGHT(Commodities!$D$48,3)&amp;"_"&amp;$P$3&amp;"01"</f>
        <v>RSD_DTA1_CK_ELC_E01</v>
      </c>
      <c r="Q11" s="100" t="str">
        <f>"Detached A1 Cook Electric  (E)|"&amp;X11</f>
        <v>Detached A1 Cook Electric  (E)|</v>
      </c>
      <c r="R11" s="101" t="str">
        <f>General!$B$2</f>
        <v>PJ</v>
      </c>
      <c r="S11" s="101" t="str">
        <f>General!$D$18</f>
        <v>000s_Units</v>
      </c>
      <c r="T11" s="101" t="s">
        <v>125</v>
      </c>
      <c r="U11" s="101"/>
      <c r="V11" s="101"/>
      <c r="W11" s="100"/>
      <c r="X11" s="5"/>
    </row>
    <row r="12" spans="1:24" ht="13.8">
      <c r="B12" s="41" t="str">
        <f t="shared" ref="B12:B16" si="6">P12</f>
        <v>RSD_APA1_CK_LOG_E01</v>
      </c>
      <c r="C12" s="41" t="str">
        <f t="shared" ref="C12:C46" si="7">Q12</f>
        <v>Apartment A1 Cook Wood  (E)|</v>
      </c>
      <c r="D12" s="41" t="str">
        <f>Commodities!$D$38</f>
        <v>RSDBIOLOG</v>
      </c>
      <c r="E12" s="138" t="str">
        <f>Commodities!$AA$40</f>
        <v>RSD_APA1_CK</v>
      </c>
      <c r="F12" s="174">
        <f>($H12*VLOOKUP(LEFT($B12,8),RSD_Stock!$H$22:$L$28,F$2,FALSE)*VLOOKUP($B12,RSD_Demands!$H$106:$J$145,F$2,FALSE))</f>
        <v>0</v>
      </c>
      <c r="G12" s="41"/>
      <c r="H12" s="143">
        <v>1</v>
      </c>
      <c r="I12" s="174">
        <f>F12*F103*F58*F148</f>
        <v>0</v>
      </c>
      <c r="J12" s="174">
        <f>VLOOKUP(LEFT($B12,11),RSD_En_Balance!$C$109:$R$190,MATCH($D12,RSD_En_Balance!$D$109:$R$109,0)+1,FALSE)</f>
        <v>0</v>
      </c>
      <c r="K12" s="175">
        <f t="shared" si="5"/>
        <v>0</v>
      </c>
      <c r="L12" s="84"/>
      <c r="N12" s="8"/>
      <c r="O12" s="8"/>
      <c r="P12" s="5" t="str">
        <f>Commodities!$AA$40&amp;"_"&amp;RIGHT(Commodities!$D$38,3)&amp;"_"&amp;$P$3&amp;"01"</f>
        <v>RSD_APA1_CK_LOG_E01</v>
      </c>
      <c r="Q12" s="5" t="str">
        <f>"Apartment A1 Cook Wood  (E)|"&amp;X12</f>
        <v>Apartment A1 Cook Wood  (E)|</v>
      </c>
      <c r="R12" s="85" t="str">
        <f>General!$B$2</f>
        <v>PJ</v>
      </c>
      <c r="S12" s="85" t="str">
        <f>General!$D$18</f>
        <v>000s_Units</v>
      </c>
      <c r="T12" s="44" t="s">
        <v>125</v>
      </c>
      <c r="U12" s="11"/>
      <c r="V12" s="11"/>
      <c r="W12" s="5"/>
      <c r="X12" s="5"/>
    </row>
    <row r="13" spans="1:24" ht="13.8">
      <c r="B13" s="41" t="str">
        <f t="shared" ref="B13" si="8">P13</f>
        <v>RSD_APA1_CK_BIC_E01</v>
      </c>
      <c r="C13" s="41" t="str">
        <f t="shared" ref="C13" si="9">Q13</f>
        <v>Apartment A1 Cook BituminousCoal  (E)|</v>
      </c>
      <c r="D13" s="41" t="str">
        <f>Commodities!$D$31</f>
        <v>RSDCOABIC</v>
      </c>
      <c r="E13" s="138" t="str">
        <f>Commodities!$AA$40</f>
        <v>RSD_APA1_CK</v>
      </c>
      <c r="F13" s="174">
        <f>($H13*VLOOKUP(LEFT($B13,8),RSD_Stock!$H$22:$L$28,F$2,FALSE)*VLOOKUP($B13,RSD_Demands!$H$106:$J$145,F$2,FALSE))</f>
        <v>0</v>
      </c>
      <c r="G13" s="41"/>
      <c r="H13" s="143">
        <v>1</v>
      </c>
      <c r="I13" s="174">
        <f>F13*F103*F58*F148</f>
        <v>0</v>
      </c>
      <c r="J13" s="174">
        <f>VLOOKUP(LEFT($B13,11),RSD_En_Balance!$C$109:$R$190,MATCH($D13,RSD_En_Balance!$D$109:$R$109,0)+1,FALSE)</f>
        <v>0</v>
      </c>
      <c r="K13" s="175">
        <f t="shared" ref="K13" si="10">SUM(I13:I13)-SUM(J13:J13)</f>
        <v>0</v>
      </c>
      <c r="L13" s="84"/>
      <c r="N13" s="8"/>
      <c r="O13" s="8"/>
      <c r="P13" s="5" t="str">
        <f>Commodities!$AA$40&amp;"_"&amp;RIGHT(Commodities!$D$31,3)&amp;"_"&amp;$P$3&amp;"01"</f>
        <v>RSD_APA1_CK_BIC_E01</v>
      </c>
      <c r="Q13" s="5" t="str">
        <f>"Apartment A1 Cook BituminousCoal  (E)|"&amp;X13</f>
        <v>Apartment A1 Cook BituminousCoal  (E)|</v>
      </c>
      <c r="R13" s="85" t="str">
        <f>General!$B$2</f>
        <v>PJ</v>
      </c>
      <c r="S13" s="85" t="str">
        <f>General!$D$18</f>
        <v>000s_Units</v>
      </c>
      <c r="T13" s="44" t="s">
        <v>125</v>
      </c>
      <c r="U13" s="11"/>
      <c r="V13" s="11"/>
      <c r="W13" s="5"/>
      <c r="X13" s="5"/>
    </row>
    <row r="14" spans="1:24" ht="13.8">
      <c r="B14" s="41" t="str">
        <f t="shared" si="6"/>
        <v>RSD_APA1_CK_LPG_E01</v>
      </c>
      <c r="C14" s="41" t="str">
        <f t="shared" si="7"/>
        <v>Apartment A1 Cook LPG  (E)|</v>
      </c>
      <c r="D14" s="41" t="str">
        <f>Commodities!$D$35</f>
        <v>RSDOILLPG</v>
      </c>
      <c r="E14" s="138" t="str">
        <f>Commodities!$AA$40</f>
        <v>RSD_APA1_CK</v>
      </c>
      <c r="F14" s="174">
        <f>($H14*VLOOKUP(LEFT($B14,8),RSD_Stock!$H$22:$L$28,F$2,FALSE)*VLOOKUP($B14,RSD_Demands!$H$106:$J$145,F$2,FALSE))</f>
        <v>0</v>
      </c>
      <c r="G14" s="41"/>
      <c r="H14" s="143">
        <v>1</v>
      </c>
      <c r="I14" s="174">
        <f>F14*F105*F60*F150</f>
        <v>0</v>
      </c>
      <c r="J14" s="174">
        <f>VLOOKUP(LEFT($B14,11),RSD_En_Balance!$C$109:$R$190,MATCH($D14,RSD_En_Balance!$D$109:$R$109,0)+1,FALSE)</f>
        <v>0</v>
      </c>
      <c r="K14" s="175">
        <f t="shared" si="5"/>
        <v>0</v>
      </c>
      <c r="L14" s="84">
        <f>SUM(I12:I16)/(SUM(F12:F16)/1000)</f>
        <v>5.6469337462589246</v>
      </c>
      <c r="N14" s="8"/>
      <c r="O14" s="8"/>
      <c r="P14" s="5" t="str">
        <f>Commodities!$AA$40&amp;"_"&amp;RIGHT(Commodities!$D$35,3)&amp;"_"&amp;$P$3&amp;"01"</f>
        <v>RSD_APA1_CK_LPG_E01</v>
      </c>
      <c r="Q14" s="5" t="str">
        <f>"Apartment A1 Cook LPG  (E)|"&amp;X14</f>
        <v>Apartment A1 Cook LPG  (E)|</v>
      </c>
      <c r="R14" s="85" t="str">
        <f>General!$B$2</f>
        <v>PJ</v>
      </c>
      <c r="S14" s="85" t="str">
        <f>General!$D$18</f>
        <v>000s_Units</v>
      </c>
      <c r="T14" s="85" t="s">
        <v>125</v>
      </c>
      <c r="U14" s="11"/>
      <c r="V14" s="11"/>
      <c r="W14" s="5"/>
      <c r="X14" s="5"/>
    </row>
    <row r="15" spans="1:24" ht="13.8">
      <c r="B15" s="41" t="str">
        <f t="shared" si="6"/>
        <v>RSD_APA1_CK_GAS_E01</v>
      </c>
      <c r="C15" s="41" t="str">
        <f t="shared" si="7"/>
        <v>Apartment A1 Cook Gas  (E)|</v>
      </c>
      <c r="D15" s="41" t="str">
        <f>Commodities!$D$37</f>
        <v>RSDGASNAT</v>
      </c>
      <c r="E15" s="138" t="str">
        <f>Commodities!$AA$40</f>
        <v>RSD_APA1_CK</v>
      </c>
      <c r="F15" s="174">
        <f>($H15*VLOOKUP(LEFT($B15,8),RSD_Stock!$H$22:$L$28,F$2,FALSE)*VLOOKUP($B15,RSD_Demands!$H$106:$J$145,F$2,FALSE))</f>
        <v>452.29617999999999</v>
      </c>
      <c r="G15" s="41"/>
      <c r="H15" s="143">
        <v>1</v>
      </c>
      <c r="I15" s="174">
        <f>F15*F106*F61*F151</f>
        <v>2.6414898012000023</v>
      </c>
      <c r="J15" s="174">
        <f>VLOOKUP(LEFT($B15,11),RSD_En_Balance!$C$109:$R$190,MATCH($D15,RSD_En_Balance!$D$109:$R$109,0)+1,FALSE)</f>
        <v>2.6414898012000023</v>
      </c>
      <c r="K15" s="175">
        <f t="shared" si="5"/>
        <v>0</v>
      </c>
      <c r="L15" s="84"/>
      <c r="N15" s="8"/>
      <c r="O15" s="8"/>
      <c r="P15" s="5" t="str">
        <f>Commodities!$AA$40&amp;"_"&amp;LEFT(RIGHT(Commodities!$D$37,6),3)&amp;"_"&amp;$P$3&amp;"01"</f>
        <v>RSD_APA1_CK_GAS_E01</v>
      </c>
      <c r="Q15" s="5" t="str">
        <f>"Apartment A1 Cook Gas  (E)|"&amp;X15</f>
        <v>Apartment A1 Cook Gas  (E)|</v>
      </c>
      <c r="R15" s="85" t="str">
        <f>General!$B$2</f>
        <v>PJ</v>
      </c>
      <c r="S15" s="85" t="str">
        <f>General!$D$18</f>
        <v>000s_Units</v>
      </c>
      <c r="T15" s="85" t="s">
        <v>125</v>
      </c>
      <c r="U15" s="11"/>
      <c r="V15" s="11"/>
      <c r="W15" s="5"/>
      <c r="X15" s="5"/>
    </row>
    <row r="16" spans="1:24" ht="13.8">
      <c r="B16" s="152" t="str">
        <f t="shared" si="6"/>
        <v>RSD_APA1_CK_ELC_E01</v>
      </c>
      <c r="C16" s="152" t="str">
        <f t="shared" si="7"/>
        <v>Apartment A1 Cook Electric  (E)|</v>
      </c>
      <c r="D16" s="152" t="str">
        <f>Commodities!$D$48</f>
        <v>RSDELC</v>
      </c>
      <c r="E16" s="153" t="str">
        <f>Commodities!$AA$40</f>
        <v>RSD_APA1_CK</v>
      </c>
      <c r="F16" s="176">
        <f>($H16*VLOOKUP(LEFT($B16,8),RSD_Stock!$H$22:$L$28,F$2,FALSE)*VLOOKUP($B16,RSD_Demands!$H$106:$J$145,F$2,FALSE))</f>
        <v>193.84122000000005</v>
      </c>
      <c r="G16" s="41"/>
      <c r="H16" s="177">
        <v>1</v>
      </c>
      <c r="I16" s="176">
        <f>F16*F107*F62*F152</f>
        <v>1.0072052875799999</v>
      </c>
      <c r="J16" s="176">
        <f>VLOOKUP(LEFT($B16,11),RSD_En_Balance!$C$109:$R$190,MATCH($D16,RSD_En_Balance!$D$109:$R$109,0)+1,FALSE)</f>
        <v>0.75164573700000004</v>
      </c>
      <c r="K16" s="178">
        <f t="shared" si="5"/>
        <v>0.25555955057999991</v>
      </c>
      <c r="L16" s="84"/>
      <c r="N16" s="100"/>
      <c r="O16" s="100"/>
      <c r="P16" s="100" t="str">
        <f>Commodities!$AA$40&amp;"_"&amp;RIGHT(Commodities!$D$48,3)&amp;"_"&amp;$P$3&amp;"01"</f>
        <v>RSD_APA1_CK_ELC_E01</v>
      </c>
      <c r="Q16" s="100" t="str">
        <f>"Apartment A1 Cook Electric  (E)|"&amp;X16</f>
        <v>Apartment A1 Cook Electric  (E)|</v>
      </c>
      <c r="R16" s="101" t="str">
        <f>General!$B$2</f>
        <v>PJ</v>
      </c>
      <c r="S16" s="101" t="str">
        <f>General!$D$18</f>
        <v>000s_Units</v>
      </c>
      <c r="T16" s="101" t="s">
        <v>125</v>
      </c>
      <c r="U16" s="101"/>
      <c r="V16" s="101"/>
      <c r="W16" s="100"/>
      <c r="X16" s="5"/>
    </row>
    <row r="17" spans="2:24" ht="13.8" hidden="1">
      <c r="B17" s="41" t="s">
        <v>147</v>
      </c>
      <c r="C17" s="41" t="str">
        <f t="shared" si="7"/>
        <v>Detached A2 Cook Gas  (E)|</v>
      </c>
      <c r="D17" s="41" t="str">
        <f>Commodities!$D$37</f>
        <v>RSDGASNAT</v>
      </c>
      <c r="E17" s="138" t="str">
        <f>Commodities!$AA$41</f>
        <v>RSD_DTA2_CK</v>
      </c>
      <c r="F17" s="174">
        <f>($H17*VLOOKUP(LEFT($B17,8),RSD_Stock!$H$22:$L$28,F$2,FALSE)*VLOOKUP($B17,RSD_Demands!$H$106:$J$145,F$2,FALSE))</f>
        <v>0</v>
      </c>
      <c r="G17" s="41"/>
      <c r="H17" s="143">
        <v>1</v>
      </c>
      <c r="I17" s="174">
        <f>F17*F108*F63*F153</f>
        <v>0</v>
      </c>
      <c r="J17" s="174">
        <f>VLOOKUP(LEFT($B17,11),RSD_En_Balance!$C$109:$R$190,MATCH($D17,RSD_En_Balance!$D$109:$R$109,0)+1,FALSE)</f>
        <v>6.8483068920000001</v>
      </c>
      <c r="K17" s="175">
        <f t="shared" si="5"/>
        <v>-6.8483068920000001</v>
      </c>
      <c r="L17" s="84"/>
      <c r="N17" s="8" t="s">
        <v>147</v>
      </c>
      <c r="O17" s="8"/>
      <c r="P17" s="5" t="str">
        <f>Commodities!$AA$41&amp;"_"&amp;LEFT(RIGHT(Commodities!$D$37,6),3)&amp;"_"&amp;$P$3&amp;"01"</f>
        <v>RSD_DTA2_CK_GAS_E01</v>
      </c>
      <c r="Q17" s="5" t="str">
        <f>"Detached A2 Cook Gas  (E)|"&amp;X17</f>
        <v>Detached A2 Cook Gas  (E)|</v>
      </c>
      <c r="R17" s="85" t="str">
        <f>General!$B$2</f>
        <v>PJ</v>
      </c>
      <c r="S17" s="85" t="str">
        <f>General!$D$18</f>
        <v>000s_Units</v>
      </c>
      <c r="T17" s="85"/>
      <c r="U17" s="11"/>
      <c r="V17" s="11"/>
      <c r="W17" s="8"/>
      <c r="X17" s="8"/>
    </row>
    <row r="18" spans="2:24" ht="13.8" hidden="1">
      <c r="B18" s="41" t="s">
        <v>147</v>
      </c>
      <c r="C18" s="41" t="str">
        <f t="shared" ref="C18" si="11">Q18</f>
        <v>Detached A2 Cook BituminousCoal  (E)|</v>
      </c>
      <c r="D18" s="41" t="str">
        <f>Commodities!$D$31</f>
        <v>RSDCOABIC</v>
      </c>
      <c r="E18" s="138" t="str">
        <f>Commodities!$AA$41</f>
        <v>RSD_DTA2_CK</v>
      </c>
      <c r="F18" s="174">
        <f>($H18*VLOOKUP(LEFT($B18,8),RSD_Stock!$H$22:$L$28,F$2,FALSE)*VLOOKUP($B18,RSD_Demands!$H$106:$J$145,F$2,FALSE))</f>
        <v>0</v>
      </c>
      <c r="G18" s="41"/>
      <c r="H18" s="143">
        <v>1</v>
      </c>
      <c r="I18" s="174">
        <f>F18*F108*F63*F153</f>
        <v>0</v>
      </c>
      <c r="J18" s="174">
        <f>VLOOKUP(LEFT($B18,11),RSD_En_Balance!$C$109:$R$190,MATCH($D18,RSD_En_Balance!$D$109:$R$109,0)+1,FALSE)</f>
        <v>0</v>
      </c>
      <c r="K18" s="175">
        <f t="shared" ref="K18" si="12">SUM(I18:I18)-SUM(J18:J18)</f>
        <v>0</v>
      </c>
      <c r="L18" s="84"/>
      <c r="N18" s="8" t="s">
        <v>147</v>
      </c>
      <c r="O18" s="8"/>
      <c r="P18" s="5" t="str">
        <f>Commodities!$AA$41&amp;"_"&amp;RIGHT(Commodities!$D$31,3)&amp;"_"&amp;$P$3&amp;"01"</f>
        <v>RSD_DTA2_CK_BIC_E01</v>
      </c>
      <c r="Q18" s="5" t="str">
        <f>"Detached A2 Cook BituminousCoal  (E)|"&amp;X18</f>
        <v>Detached A2 Cook BituminousCoal  (E)|</v>
      </c>
      <c r="R18" s="85" t="str">
        <f>General!$B$2</f>
        <v>PJ</v>
      </c>
      <c r="S18" s="85" t="str">
        <f>General!$D$18</f>
        <v>000s_Units</v>
      </c>
      <c r="T18" s="85"/>
      <c r="U18" s="11"/>
      <c r="V18" s="11"/>
      <c r="W18" s="8"/>
      <c r="X18" s="8"/>
    </row>
    <row r="19" spans="2:24" ht="13.8" hidden="1">
      <c r="B19" s="41" t="s">
        <v>147</v>
      </c>
      <c r="C19" s="41" t="str">
        <f t="shared" si="7"/>
        <v>Detached A2 Cook LPG  (E)|</v>
      </c>
      <c r="D19" s="41" t="str">
        <f>Commodities!$D$35</f>
        <v>RSDOILLPG</v>
      </c>
      <c r="E19" s="138" t="str">
        <f>Commodities!$AA$41</f>
        <v>RSD_DTA2_CK</v>
      </c>
      <c r="F19" s="174">
        <f>($H19*VLOOKUP(LEFT($B19,8),RSD_Stock!$H$22:$L$28,F$2,FALSE)*VLOOKUP($B19,RSD_Demands!$H$106:$J$145,F$2,FALSE))</f>
        <v>0</v>
      </c>
      <c r="G19" s="41"/>
      <c r="H19" s="143">
        <v>1</v>
      </c>
      <c r="I19" s="174">
        <f>F19*F110*F65*F155</f>
        <v>0</v>
      </c>
      <c r="J19" s="174">
        <f>VLOOKUP(LEFT($B19,11),RSD_En_Balance!$C$109:$R$190,MATCH($D19,RSD_En_Balance!$D$109:$R$109,0)+1,FALSE)</f>
        <v>0</v>
      </c>
      <c r="K19" s="175">
        <f t="shared" si="5"/>
        <v>0</v>
      </c>
      <c r="L19" s="84" t="e">
        <f>SUM(I17:I21)/(SUM(F17:F21)/1000)</f>
        <v>#DIV/0!</v>
      </c>
      <c r="N19" s="8" t="s">
        <v>147</v>
      </c>
      <c r="O19" s="8"/>
      <c r="P19" s="5" t="str">
        <f>Commodities!$AA$41&amp;"_"&amp;RIGHT(Commodities!$D$35,3)&amp;"_"&amp;$P$3&amp;"01"</f>
        <v>RSD_DTA2_CK_LPG_E01</v>
      </c>
      <c r="Q19" s="5" t="str">
        <f>"Detached A2 Cook LPG  (E)|"&amp;X19</f>
        <v>Detached A2 Cook LPG  (E)|</v>
      </c>
      <c r="R19" s="85" t="str">
        <f>General!$B$2</f>
        <v>PJ</v>
      </c>
      <c r="S19" s="85" t="str">
        <f>General!$D$18</f>
        <v>000s_Units</v>
      </c>
      <c r="U19" s="11"/>
      <c r="V19" s="11"/>
      <c r="W19" s="5"/>
      <c r="X19" s="5"/>
    </row>
    <row r="20" spans="2:24" ht="13.8" hidden="1">
      <c r="B20" s="41" t="s">
        <v>147</v>
      </c>
      <c r="C20" s="41" t="str">
        <f t="shared" si="7"/>
        <v>Detached A2 Cook Wood (E)|</v>
      </c>
      <c r="D20" s="41" t="str">
        <f>Commodities!$D$38</f>
        <v>RSDBIOLOG</v>
      </c>
      <c r="E20" s="138" t="str">
        <f>Commodities!$AA$41</f>
        <v>RSD_DTA2_CK</v>
      </c>
      <c r="F20" s="174">
        <f>($H20*VLOOKUP(LEFT($B20,8),RSD_Stock!$H$22:$L$28,F$2,FALSE)*VLOOKUP($B20,RSD_Demands!$H$106:$J$145,F$2,FALSE))</f>
        <v>0</v>
      </c>
      <c r="G20" s="41"/>
      <c r="H20" s="143">
        <v>1</v>
      </c>
      <c r="I20" s="174">
        <f>F20*F111*F66*F156</f>
        <v>0</v>
      </c>
      <c r="J20" s="174">
        <f>VLOOKUP(LEFT($B20,11),RSD_En_Balance!$C$109:$R$190,MATCH($D20,RSD_En_Balance!$D$109:$R$109,0)+1,FALSE)</f>
        <v>0.21980700000000003</v>
      </c>
      <c r="K20" s="175">
        <f t="shared" si="5"/>
        <v>-0.21980700000000003</v>
      </c>
      <c r="L20" s="84"/>
      <c r="N20" s="8" t="s">
        <v>147</v>
      </c>
      <c r="O20" s="8"/>
      <c r="P20" s="5" t="str">
        <f>Commodities!$AA$41&amp;"_"&amp;RIGHT(Commodities!$D$38,3)&amp;"_"&amp;$P$3&amp;"01"</f>
        <v>RSD_DTA2_CK_LOG_E01</v>
      </c>
      <c r="Q20" s="5" t="str">
        <f>"Detached A2 Cook Wood (E)|"&amp;X20</f>
        <v>Detached A2 Cook Wood (E)|</v>
      </c>
      <c r="R20" s="85" t="str">
        <f>General!$B$2</f>
        <v>PJ</v>
      </c>
      <c r="S20" s="85" t="str">
        <f>General!$D$18</f>
        <v>000s_Units</v>
      </c>
      <c r="T20" s="85"/>
      <c r="U20" s="11"/>
      <c r="V20" s="11"/>
      <c r="W20" s="5"/>
      <c r="X20" s="5"/>
    </row>
    <row r="21" spans="2:24" ht="13.8" hidden="1">
      <c r="B21" s="41" t="s">
        <v>147</v>
      </c>
      <c r="C21" s="152" t="str">
        <f t="shared" si="7"/>
        <v>Detached A2 Cook Electric  (E)|</v>
      </c>
      <c r="D21" s="152" t="str">
        <f>Commodities!$D$48</f>
        <v>RSDELC</v>
      </c>
      <c r="E21" s="153" t="str">
        <f>Commodities!$AA$41</f>
        <v>RSD_DTA2_CK</v>
      </c>
      <c r="F21" s="176">
        <f>($H21*VLOOKUP(LEFT($B21,8),RSD_Stock!$H$22:$L$28,F$2,FALSE)*VLOOKUP($B21,RSD_Demands!$H$106:$J$145,F$2,FALSE))</f>
        <v>0</v>
      </c>
      <c r="G21" s="41"/>
      <c r="H21" s="177">
        <v>1</v>
      </c>
      <c r="I21" s="176">
        <f>F21*F112*F67*F157</f>
        <v>0</v>
      </c>
      <c r="J21" s="176">
        <f>VLOOKUP(LEFT($B21,11),RSD_En_Balance!$C$109:$R$190,MATCH($D21,RSD_En_Balance!$D$109:$R$109,0)+1,FALSE)</f>
        <v>9.8234888399999984E-2</v>
      </c>
      <c r="K21" s="178">
        <f t="shared" si="5"/>
        <v>-9.8234888399999984E-2</v>
      </c>
      <c r="L21" s="84"/>
      <c r="N21" s="8" t="s">
        <v>147</v>
      </c>
      <c r="O21" s="100"/>
      <c r="P21" s="100" t="str">
        <f>Commodities!$AA$41&amp;"_"&amp;RIGHT(Commodities!$D$48,3)&amp;"_"&amp;$P$3&amp;"01"</f>
        <v>RSD_DTA2_CK_ELC_E01</v>
      </c>
      <c r="Q21" s="100" t="str">
        <f>"Detached A2 Cook Electric  (E)|"&amp;X21</f>
        <v>Detached A2 Cook Electric  (E)|</v>
      </c>
      <c r="R21" s="101" t="str">
        <f>General!$B$2</f>
        <v>PJ</v>
      </c>
      <c r="S21" s="101" t="str">
        <f>General!$D$18</f>
        <v>000s_Units</v>
      </c>
      <c r="T21" s="101"/>
      <c r="U21" s="101"/>
      <c r="V21" s="101"/>
      <c r="W21" s="100"/>
      <c r="X21" s="5"/>
    </row>
    <row r="22" spans="2:24" ht="13.8" hidden="1">
      <c r="B22" s="41" t="s">
        <v>147</v>
      </c>
      <c r="C22" s="41" t="str">
        <f t="shared" si="7"/>
        <v>Apartment A2 Cook Gas  (E)|</v>
      </c>
      <c r="D22" s="41" t="str">
        <f>Commodities!$D$37</f>
        <v>RSDGASNAT</v>
      </c>
      <c r="E22" s="138" t="str">
        <f>Commodities!$AA$42</f>
        <v>RSD_APA2_CK</v>
      </c>
      <c r="F22" s="174">
        <f>($H22*VLOOKUP(LEFT($B22,8),RSD_Stock!$H$22:$L$28,F$2,FALSE)*VLOOKUP($B22,RSD_Demands!$H$106:$J$145,F$2,FALSE))</f>
        <v>0</v>
      </c>
      <c r="G22" s="41"/>
      <c r="H22" s="143">
        <v>1</v>
      </c>
      <c r="I22" s="174">
        <f>F22*F113*F68*F158</f>
        <v>0</v>
      </c>
      <c r="J22" s="174">
        <f>VLOOKUP(LEFT($B22,11),RSD_En_Balance!$C$109:$R$190,MATCH($D22,RSD_En_Balance!$D$109:$R$109,0)+1,FALSE)</f>
        <v>6.8483068920000001</v>
      </c>
      <c r="K22" s="175">
        <f t="shared" si="5"/>
        <v>-6.8483068920000001</v>
      </c>
      <c r="L22" s="84"/>
      <c r="N22" s="8" t="s">
        <v>147</v>
      </c>
      <c r="O22" s="8"/>
      <c r="P22" s="5" t="str">
        <f>Commodities!$AA$42&amp;"_"&amp;LEFT(RIGHT(Commodities!$D$37,6),3)&amp;"_"&amp;$P$3&amp;"01"</f>
        <v>RSD_APA2_CK_GAS_E01</v>
      </c>
      <c r="Q22" s="5" t="str">
        <f>"Apartment A2 Cook Gas  (E)|"&amp;X22</f>
        <v>Apartment A2 Cook Gas  (E)|</v>
      </c>
      <c r="R22" s="85" t="str">
        <f>General!$B$2</f>
        <v>PJ</v>
      </c>
      <c r="S22" s="85" t="str">
        <f>General!$D$18</f>
        <v>000s_Units</v>
      </c>
      <c r="T22" s="85"/>
      <c r="U22" s="11"/>
      <c r="V22" s="11"/>
      <c r="W22" s="8"/>
      <c r="X22" s="8"/>
    </row>
    <row r="23" spans="2:24" ht="13.8" hidden="1">
      <c r="B23" s="41" t="s">
        <v>147</v>
      </c>
      <c r="C23" s="41" t="str">
        <f t="shared" ref="C23" si="13">Q23</f>
        <v>Apartment A2 Cook BituminousCoal  (E)|</v>
      </c>
      <c r="D23" s="41" t="str">
        <f>Commodities!$D$31</f>
        <v>RSDCOABIC</v>
      </c>
      <c r="E23" s="138" t="str">
        <f>Commodities!$AA$42</f>
        <v>RSD_APA2_CK</v>
      </c>
      <c r="F23" s="174">
        <f>($H23*VLOOKUP(LEFT($B23,8),RSD_Stock!$H$22:$L$28,F$2,FALSE)*VLOOKUP($B23,RSD_Demands!$H$106:$J$145,F$2,FALSE))</f>
        <v>0</v>
      </c>
      <c r="G23" s="41"/>
      <c r="H23" s="143">
        <v>1</v>
      </c>
      <c r="I23" s="174">
        <f>F23*F113*F68*F158</f>
        <v>0</v>
      </c>
      <c r="J23" s="174">
        <f>VLOOKUP(LEFT($B23,11),RSD_En_Balance!$C$109:$R$190,MATCH($D23,RSD_En_Balance!$D$109:$R$109,0)+1,FALSE)</f>
        <v>0</v>
      </c>
      <c r="K23" s="175">
        <f t="shared" ref="K23" si="14">SUM(I23:I23)-SUM(J23:J23)</f>
        <v>0</v>
      </c>
      <c r="L23" s="84"/>
      <c r="N23" s="8" t="s">
        <v>147</v>
      </c>
      <c r="O23" s="8"/>
      <c r="P23" s="5" t="str">
        <f>Commodities!$AA$42&amp;"_"&amp;RIGHT(Commodities!$D$31,3)&amp;"_"&amp;$P$3&amp;"01"</f>
        <v>RSD_APA2_CK_BIC_E01</v>
      </c>
      <c r="Q23" s="5" t="str">
        <f>"Apartment A2 Cook BituminousCoal  (E)|"&amp;X23</f>
        <v>Apartment A2 Cook BituminousCoal  (E)|</v>
      </c>
      <c r="R23" s="85" t="str">
        <f>General!$B$2</f>
        <v>PJ</v>
      </c>
      <c r="S23" s="85" t="str">
        <f>General!$D$18</f>
        <v>000s_Units</v>
      </c>
      <c r="T23" s="85"/>
      <c r="U23" s="11"/>
      <c r="V23" s="11"/>
      <c r="W23" s="8"/>
      <c r="X23" s="8"/>
    </row>
    <row r="24" spans="2:24" ht="13.8" hidden="1">
      <c r="B24" s="41" t="s">
        <v>147</v>
      </c>
      <c r="C24" s="41" t="str">
        <f t="shared" si="7"/>
        <v>Apartment A2 Cook LPG  (E)|</v>
      </c>
      <c r="D24" s="41" t="str">
        <f>Commodities!$D$35</f>
        <v>RSDOILLPG</v>
      </c>
      <c r="E24" s="138" t="str">
        <f>Commodities!$AA$42</f>
        <v>RSD_APA2_CK</v>
      </c>
      <c r="F24" s="174">
        <f>($H24*VLOOKUP(LEFT($B24,8),RSD_Stock!$H$22:$L$28,F$2,FALSE)*VLOOKUP($B24,RSD_Demands!$H$106:$J$145,F$2,FALSE))</f>
        <v>0</v>
      </c>
      <c r="G24" s="41"/>
      <c r="H24" s="143">
        <v>1</v>
      </c>
      <c r="I24" s="174">
        <f>F24*F115*F70*F160</f>
        <v>0</v>
      </c>
      <c r="J24" s="174">
        <f>VLOOKUP(LEFT($B24,11),RSD_En_Balance!$C$109:$R$190,MATCH($D24,RSD_En_Balance!$D$109:$R$109,0)+1,FALSE)</f>
        <v>0</v>
      </c>
      <c r="K24" s="175">
        <f t="shared" si="5"/>
        <v>0</v>
      </c>
      <c r="L24" s="84" t="e">
        <f>SUM(I22:I26)/(SUM(F22:F26)/1000)</f>
        <v>#DIV/0!</v>
      </c>
      <c r="N24" s="8" t="s">
        <v>147</v>
      </c>
      <c r="O24" s="8"/>
      <c r="P24" s="5" t="str">
        <f>Commodities!$AA$42&amp;"_"&amp;RIGHT(Commodities!$D$35,3)&amp;"_"&amp;$P$3&amp;"01"</f>
        <v>RSD_APA2_CK_LPG_E01</v>
      </c>
      <c r="Q24" s="5" t="str">
        <f>"Apartment A2 Cook LPG  (E)|"&amp;X24</f>
        <v>Apartment A2 Cook LPG  (E)|</v>
      </c>
      <c r="R24" s="85" t="str">
        <f>General!$B$2</f>
        <v>PJ</v>
      </c>
      <c r="S24" s="85" t="str">
        <f>General!$D$18</f>
        <v>000s_Units</v>
      </c>
      <c r="T24" s="85"/>
      <c r="U24" s="85"/>
      <c r="V24" s="11"/>
      <c r="W24" s="8"/>
      <c r="X24" s="8"/>
    </row>
    <row r="25" spans="2:24" ht="13.8" hidden="1">
      <c r="B25" s="41" t="s">
        <v>147</v>
      </c>
      <c r="C25" s="41" t="str">
        <f t="shared" si="7"/>
        <v>Apartment A2 Cook Wood  (E)|</v>
      </c>
      <c r="D25" s="41" t="str">
        <f>Commodities!$D$38</f>
        <v>RSDBIOLOG</v>
      </c>
      <c r="E25" s="138" t="str">
        <f>Commodities!$AA$42</f>
        <v>RSD_APA2_CK</v>
      </c>
      <c r="F25" s="174">
        <f>($H25*VLOOKUP(LEFT($B25,8),RSD_Stock!$H$22:$L$28,F$2,FALSE)*VLOOKUP($B25,RSD_Demands!$H$106:$J$145,F$2,FALSE))</f>
        <v>0</v>
      </c>
      <c r="G25" s="41"/>
      <c r="H25" s="143">
        <v>1</v>
      </c>
      <c r="I25" s="174">
        <f>F25*F116*F71*F161</f>
        <v>0</v>
      </c>
      <c r="J25" s="174">
        <f>VLOOKUP(LEFT($B25,11),RSD_En_Balance!$C$109:$R$190,MATCH($D25,RSD_En_Balance!$D$109:$R$109,0)+1,FALSE)</f>
        <v>0.21980700000000003</v>
      </c>
      <c r="K25" s="175">
        <f t="shared" si="5"/>
        <v>-0.21980700000000003</v>
      </c>
      <c r="L25" s="84"/>
      <c r="N25" s="8" t="s">
        <v>147</v>
      </c>
      <c r="O25" s="8"/>
      <c r="P25" s="5" t="str">
        <f>Commodities!$AA$42&amp;"_"&amp;RIGHT(Commodities!$D$38,3)&amp;"_"&amp;$P$3&amp;"01"</f>
        <v>RSD_APA2_CK_LOG_E01</v>
      </c>
      <c r="Q25" s="5" t="str">
        <f>"Apartment A2 Cook Wood  (E)|"&amp;X25</f>
        <v>Apartment A2 Cook Wood  (E)|</v>
      </c>
      <c r="R25" s="85" t="str">
        <f>General!$B$2</f>
        <v>PJ</v>
      </c>
      <c r="S25" s="85" t="str">
        <f>General!$D$18</f>
        <v>000s_Units</v>
      </c>
      <c r="U25" s="11"/>
      <c r="V25" s="11"/>
      <c r="W25" s="5"/>
      <c r="X25" s="5"/>
    </row>
    <row r="26" spans="2:24" ht="13.8" hidden="1">
      <c r="B26" s="41" t="s">
        <v>147</v>
      </c>
      <c r="C26" s="152" t="str">
        <f t="shared" si="7"/>
        <v>Apartment A2 Cook Electric  (E)|</v>
      </c>
      <c r="D26" s="152" t="str">
        <f>Commodities!$D$48</f>
        <v>RSDELC</v>
      </c>
      <c r="E26" s="153" t="str">
        <f>Commodities!$AA$42</f>
        <v>RSD_APA2_CK</v>
      </c>
      <c r="F26" s="176">
        <f>($H26*VLOOKUP(LEFT($B26,8),RSD_Stock!$H$22:$L$28,F$2,FALSE)*VLOOKUP($B26,RSD_Demands!$H$106:$J$145,F$2,FALSE))</f>
        <v>0</v>
      </c>
      <c r="G26" s="41"/>
      <c r="H26" s="177">
        <v>1</v>
      </c>
      <c r="I26" s="176">
        <f>F26*F117*F72*F162</f>
        <v>0</v>
      </c>
      <c r="J26" s="176">
        <f>VLOOKUP(LEFT($B26,11),RSD_En_Balance!$C$109:$R$190,MATCH($D26,RSD_En_Balance!$D$109:$R$109,0)+1,FALSE)</f>
        <v>9.8234888399999984E-2</v>
      </c>
      <c r="K26" s="178">
        <f t="shared" si="5"/>
        <v>-9.8234888399999984E-2</v>
      </c>
      <c r="L26" s="84"/>
      <c r="N26" s="8" t="s">
        <v>147</v>
      </c>
      <c r="O26" s="100"/>
      <c r="P26" s="100" t="str">
        <f>Commodities!$AA$42&amp;"_"&amp;RIGHT(Commodities!$D$48,3)&amp;"_"&amp;$P$3&amp;"01"</f>
        <v>RSD_APA2_CK_ELC_E01</v>
      </c>
      <c r="Q26" s="100" t="str">
        <f>"Apartment A2 Cook Electric  (E)|"&amp;X26</f>
        <v>Apartment A2 Cook Electric  (E)|</v>
      </c>
      <c r="R26" s="101" t="str">
        <f>General!$B$2</f>
        <v>PJ</v>
      </c>
      <c r="S26" s="101" t="str">
        <f>General!$D$18</f>
        <v>000s_Units</v>
      </c>
      <c r="T26" s="101"/>
      <c r="U26" s="101"/>
      <c r="V26" s="101"/>
      <c r="W26" s="100"/>
      <c r="X26" s="100"/>
    </row>
    <row r="27" spans="2:24" ht="13.8" hidden="1">
      <c r="B27" s="41" t="s">
        <v>147</v>
      </c>
      <c r="C27" s="41" t="str">
        <f t="shared" si="7"/>
        <v>Detached A3 Cook Gas  (E)|</v>
      </c>
      <c r="D27" s="41" t="str">
        <f>Commodities!$D$37</f>
        <v>RSDGASNAT</v>
      </c>
      <c r="E27" s="138" t="str">
        <f>Commodities!$AA$43</f>
        <v>RSD_DTA3_CK</v>
      </c>
      <c r="F27" s="174">
        <f>($H27*VLOOKUP(LEFT($B27,8),RSD_Stock!$H$22:$L$28,F$2,FALSE)*VLOOKUP($B27,RSD_Demands!$H$106:$J$145,F$2,FALSE))</f>
        <v>0</v>
      </c>
      <c r="G27" s="41"/>
      <c r="H27" s="143">
        <v>1</v>
      </c>
      <c r="I27" s="174">
        <f>F27*F118*F73*F163</f>
        <v>0</v>
      </c>
      <c r="J27" s="174">
        <f>VLOOKUP(LEFT($B27,11),RSD_En_Balance!$C$109:$R$190,MATCH($D27,RSD_En_Balance!$D$109:$R$109,0)+1,FALSE)</f>
        <v>6.8483068920000001</v>
      </c>
      <c r="K27" s="175">
        <f t="shared" si="5"/>
        <v>-6.8483068920000001</v>
      </c>
      <c r="L27" s="84"/>
      <c r="N27" s="8" t="s">
        <v>147</v>
      </c>
      <c r="O27" s="8"/>
      <c r="P27" s="5" t="str">
        <f>Commodities!$AA$43&amp;"_"&amp;LEFT(RIGHT(Commodities!$D$37,6),3)&amp;"_"&amp;$P$3&amp;"01"</f>
        <v>RSD_DTA3_CK_GAS_E01</v>
      </c>
      <c r="Q27" s="5" t="str">
        <f>"Detached A3 Cook Gas  (E)|"&amp;X27</f>
        <v>Detached A3 Cook Gas  (E)|</v>
      </c>
      <c r="R27" s="85" t="str">
        <f>General!$B$2</f>
        <v>PJ</v>
      </c>
      <c r="S27" s="85" t="str">
        <f>General!$D$18</f>
        <v>000s_Units</v>
      </c>
      <c r="U27" s="11"/>
      <c r="V27" s="11"/>
      <c r="W27" s="5"/>
      <c r="X27" s="5"/>
    </row>
    <row r="28" spans="2:24" ht="13.8" hidden="1">
      <c r="B28" s="41" t="s">
        <v>147</v>
      </c>
      <c r="C28" s="41" t="str">
        <f t="shared" ref="C28" si="15">Q28</f>
        <v>Detached A3 Cook ButuminousCoal (E)|</v>
      </c>
      <c r="D28" s="41" t="str">
        <f>Commodities!$D$31</f>
        <v>RSDCOABIC</v>
      </c>
      <c r="E28" s="138" t="str">
        <f>Commodities!$AA$43</f>
        <v>RSD_DTA3_CK</v>
      </c>
      <c r="F28" s="174">
        <f>($H28*VLOOKUP(LEFT($B28,8),RSD_Stock!$H$22:$L$28,F$2,FALSE)*VLOOKUP($B28,RSD_Demands!$H$106:$J$145,F$2,FALSE))</f>
        <v>0</v>
      </c>
      <c r="G28" s="41"/>
      <c r="H28" s="143">
        <v>1</v>
      </c>
      <c r="I28" s="174">
        <f>F28*F118*F73*F163</f>
        <v>0</v>
      </c>
      <c r="J28" s="174">
        <f>VLOOKUP(LEFT($B28,11),RSD_En_Balance!$C$109:$R$190,MATCH($D28,RSD_En_Balance!$D$109:$R$109,0)+1,FALSE)</f>
        <v>0</v>
      </c>
      <c r="K28" s="175">
        <f t="shared" ref="K28" si="16">SUM(I28:I28)-SUM(J28:J28)</f>
        <v>0</v>
      </c>
      <c r="L28" s="84"/>
      <c r="N28" s="8" t="s">
        <v>147</v>
      </c>
      <c r="O28" s="8"/>
      <c r="P28" s="5" t="str">
        <f>Commodities!$AA$43&amp;"_"&amp;RIGHT(Commodities!$D$31,3)&amp;"_"&amp;$P$3&amp;"01"</f>
        <v>RSD_DTA3_CK_BIC_E01</v>
      </c>
      <c r="Q28" s="5" t="str">
        <f>"Detached A3 Cook ButuminousCoal (E)|"&amp;X28</f>
        <v>Detached A3 Cook ButuminousCoal (E)|</v>
      </c>
      <c r="R28" s="85" t="str">
        <f>General!$B$2</f>
        <v>PJ</v>
      </c>
      <c r="S28" s="85" t="str">
        <f>General!$D$18</f>
        <v>000s_Units</v>
      </c>
      <c r="U28" s="11"/>
      <c r="V28" s="11"/>
      <c r="W28" s="5"/>
      <c r="X28" s="5"/>
    </row>
    <row r="29" spans="2:24" ht="13.8" hidden="1">
      <c r="B29" s="41" t="s">
        <v>147</v>
      </c>
      <c r="C29" s="41" t="str">
        <f t="shared" si="7"/>
        <v>Detached A3 Cook LPG (E)|</v>
      </c>
      <c r="D29" s="41" t="str">
        <f>Commodities!$D$35</f>
        <v>RSDOILLPG</v>
      </c>
      <c r="E29" s="138" t="str">
        <f>Commodities!$AA$43</f>
        <v>RSD_DTA3_CK</v>
      </c>
      <c r="F29" s="174">
        <f>($H29*VLOOKUP(LEFT($B29,8),RSD_Stock!$H$22:$L$28,F$2,FALSE)*VLOOKUP($B29,RSD_Demands!$H$106:$J$145,F$2,FALSE))</f>
        <v>0</v>
      </c>
      <c r="G29" s="41"/>
      <c r="H29" s="143">
        <v>1</v>
      </c>
      <c r="I29" s="174">
        <f>F29*F120*F75*F165</f>
        <v>0</v>
      </c>
      <c r="J29" s="174">
        <f>VLOOKUP(LEFT($B29,11),RSD_En_Balance!$C$109:$R$190,MATCH($D29,RSD_En_Balance!$D$109:$R$109,0)+1,FALSE)</f>
        <v>0</v>
      </c>
      <c r="K29" s="175">
        <f t="shared" si="5"/>
        <v>0</v>
      </c>
      <c r="L29" s="84" t="e">
        <f>SUM(I27:I31)/(SUM(F27:F31)/1000)</f>
        <v>#DIV/0!</v>
      </c>
      <c r="N29" s="8" t="s">
        <v>147</v>
      </c>
      <c r="O29" s="8"/>
      <c r="P29" s="5" t="str">
        <f>Commodities!$AA$43&amp;"_"&amp;RIGHT(Commodities!$D$35,3)&amp;"_"&amp;$P$3&amp;"01"</f>
        <v>RSD_DTA3_CK_LPG_E01</v>
      </c>
      <c r="Q29" s="5" t="str">
        <f>"Detached A3 Cook LPG (E)|"&amp;X29</f>
        <v>Detached A3 Cook LPG (E)|</v>
      </c>
      <c r="R29" s="85" t="str">
        <f>General!$B$2</f>
        <v>PJ</v>
      </c>
      <c r="S29" s="85" t="str">
        <f>General!$D$18</f>
        <v>000s_Units</v>
      </c>
      <c r="T29" s="85"/>
      <c r="U29" s="11"/>
      <c r="V29" s="11"/>
      <c r="W29" s="5"/>
      <c r="X29" s="5"/>
    </row>
    <row r="30" spans="2:24" ht="13.8" hidden="1">
      <c r="B30" s="41" t="s">
        <v>147</v>
      </c>
      <c r="C30" s="41" t="str">
        <f t="shared" si="7"/>
        <v>Detached A3 Cook  Wood (E)|</v>
      </c>
      <c r="D30" s="41" t="str">
        <f>Commodities!$D$38</f>
        <v>RSDBIOLOG</v>
      </c>
      <c r="E30" s="138" t="str">
        <f>Commodities!$AA$43</f>
        <v>RSD_DTA3_CK</v>
      </c>
      <c r="F30" s="174">
        <f>($H30*VLOOKUP(LEFT($B30,8),RSD_Stock!$H$22:$L$28,F$2,FALSE)*VLOOKUP($B30,RSD_Demands!$H$106:$J$145,F$2,FALSE))</f>
        <v>0</v>
      </c>
      <c r="G30" s="41"/>
      <c r="H30" s="143">
        <v>1</v>
      </c>
      <c r="I30" s="174">
        <f>F30*F121*F76*F166</f>
        <v>0</v>
      </c>
      <c r="J30" s="174">
        <f>VLOOKUP(LEFT($B30,11),RSD_En_Balance!$C$109:$R$190,MATCH($D30,RSD_En_Balance!$D$109:$R$109,0)+1,FALSE)</f>
        <v>0.21980700000000003</v>
      </c>
      <c r="K30" s="175">
        <f t="shared" si="5"/>
        <v>-0.21980700000000003</v>
      </c>
      <c r="L30" s="84"/>
      <c r="N30" s="8" t="s">
        <v>147</v>
      </c>
      <c r="O30" s="8"/>
      <c r="P30" s="5" t="str">
        <f>Commodities!$AA$43&amp;"_"&amp;RIGHT(Commodities!$D$38,3)&amp;"_"&amp;$P$3&amp;"01"</f>
        <v>RSD_DTA3_CK_LOG_E01</v>
      </c>
      <c r="Q30" s="5" t="str">
        <f>"Detached A3 Cook  Wood (E)|"&amp;X30</f>
        <v>Detached A3 Cook  Wood (E)|</v>
      </c>
      <c r="R30" s="85" t="str">
        <f>General!$B$2</f>
        <v>PJ</v>
      </c>
      <c r="S30" s="85" t="str">
        <f>General!$D$18</f>
        <v>000s_Units</v>
      </c>
      <c r="T30" s="85"/>
      <c r="U30" s="11"/>
      <c r="V30" s="11"/>
      <c r="W30" s="5"/>
      <c r="X30" s="5"/>
    </row>
    <row r="31" spans="2:24" ht="13.8" hidden="1">
      <c r="B31" s="41" t="s">
        <v>147</v>
      </c>
      <c r="C31" s="152" t="str">
        <f t="shared" si="7"/>
        <v>Detached A3 Cook Electric  (E)|</v>
      </c>
      <c r="D31" s="152" t="str">
        <f>Commodities!$D$48</f>
        <v>RSDELC</v>
      </c>
      <c r="E31" s="153" t="str">
        <f>Commodities!$AA$43</f>
        <v>RSD_DTA3_CK</v>
      </c>
      <c r="F31" s="176">
        <f>($H31*VLOOKUP(LEFT($B31,8),RSD_Stock!$H$22:$L$28,F$2,FALSE)*VLOOKUP($B31,RSD_Demands!$H$106:$J$145,F$2,FALSE))</f>
        <v>0</v>
      </c>
      <c r="G31" s="41"/>
      <c r="H31" s="177">
        <v>1</v>
      </c>
      <c r="I31" s="176">
        <f>F31*F122*F77*F167</f>
        <v>0</v>
      </c>
      <c r="J31" s="176">
        <f>VLOOKUP(LEFT($B31,11),RSD_En_Balance!$C$109:$R$190,MATCH($D31,RSD_En_Balance!$D$109:$R$109,0)+1,FALSE)</f>
        <v>9.8234888399999984E-2</v>
      </c>
      <c r="K31" s="178">
        <f t="shared" si="5"/>
        <v>-9.8234888399999984E-2</v>
      </c>
      <c r="L31" s="84"/>
      <c r="N31" s="8" t="s">
        <v>147</v>
      </c>
      <c r="O31" s="100"/>
      <c r="P31" s="100" t="str">
        <f>Commodities!$AA$43&amp;"_"&amp;RIGHT(Commodities!$D$48,3)&amp;"_"&amp;$P$3&amp;"01"</f>
        <v>RSD_DTA3_CK_ELC_E01</v>
      </c>
      <c r="Q31" s="100" t="str">
        <f>"Detached A3 Cook Electric  (E)|"&amp;X31</f>
        <v>Detached A3 Cook Electric  (E)|</v>
      </c>
      <c r="R31" s="101" t="str">
        <f>General!$B$2</f>
        <v>PJ</v>
      </c>
      <c r="S31" s="101" t="str">
        <f>General!$D$18</f>
        <v>000s_Units</v>
      </c>
      <c r="T31" s="101"/>
      <c r="U31" s="101"/>
      <c r="V31" s="101"/>
      <c r="W31" s="100"/>
      <c r="X31" s="100"/>
    </row>
    <row r="32" spans="2:24" ht="13.8" hidden="1">
      <c r="B32" s="41" t="s">
        <v>147</v>
      </c>
      <c r="C32" s="41" t="str">
        <f t="shared" si="7"/>
        <v>Apartment A3 Cook Gas(E)|</v>
      </c>
      <c r="D32" s="41" t="str">
        <f>Commodities!$D$37</f>
        <v>RSDGASNAT</v>
      </c>
      <c r="E32" s="138" t="str">
        <f>Commodities!$AA$44</f>
        <v>RSD_APA3_CK</v>
      </c>
      <c r="F32" s="174">
        <f>($H32*VLOOKUP(LEFT($B32,8),RSD_Stock!$H$22:$L$28,F$2,FALSE)*VLOOKUP($B32,RSD_Demands!$H$106:$J$145,F$2,FALSE))</f>
        <v>0</v>
      </c>
      <c r="G32" s="41"/>
      <c r="H32" s="143">
        <v>1</v>
      </c>
      <c r="I32" s="174">
        <f>F32*F123*F78*F168</f>
        <v>0</v>
      </c>
      <c r="J32" s="174">
        <f>VLOOKUP(LEFT($B32,11),RSD_En_Balance!$C$109:$R$190,MATCH($D32,RSD_En_Balance!$D$109:$R$109,0)+1,FALSE)</f>
        <v>6.8483068920000001</v>
      </c>
      <c r="K32" s="175">
        <f t="shared" si="5"/>
        <v>-6.8483068920000001</v>
      </c>
      <c r="L32" s="84"/>
      <c r="N32" s="8" t="s">
        <v>147</v>
      </c>
      <c r="O32" s="8"/>
      <c r="P32" s="5" t="str">
        <f>Commodities!$AA$44&amp;"_"&amp;LEFT(RIGHT(Commodities!$D$37,6),3)&amp;"_"&amp;$P$3&amp;"01"</f>
        <v>RSD_APA3_CK_GAS_E01</v>
      </c>
      <c r="Q32" s="5" t="str">
        <f>"Apartment A3 Cook Gas(E)|"&amp;X32</f>
        <v>Apartment A3 Cook Gas(E)|</v>
      </c>
      <c r="R32" s="85" t="str">
        <f>General!$B$2</f>
        <v>PJ</v>
      </c>
      <c r="S32" s="85" t="str">
        <f>General!$D$18</f>
        <v>000s_Units</v>
      </c>
      <c r="U32" s="11"/>
      <c r="V32" s="11"/>
      <c r="W32" s="5"/>
      <c r="X32" s="5"/>
    </row>
    <row r="33" spans="2:24" ht="13.8" hidden="1">
      <c r="B33" s="41" t="s">
        <v>147</v>
      </c>
      <c r="C33" s="41" t="str">
        <f t="shared" ref="C33" si="17">Q33</f>
        <v>Apartment A3 Cook BituminouCoal  (E)|</v>
      </c>
      <c r="D33" s="41" t="str">
        <f>Commodities!$D$31</f>
        <v>RSDCOABIC</v>
      </c>
      <c r="E33" s="138" t="str">
        <f>Commodities!$AA$44</f>
        <v>RSD_APA3_CK</v>
      </c>
      <c r="F33" s="174">
        <f>($H33*VLOOKUP(LEFT($B33,8),RSD_Stock!$H$22:$L$28,F$2,FALSE)*VLOOKUP($B33,RSD_Demands!$H$106:$J$145,F$2,FALSE))</f>
        <v>0</v>
      </c>
      <c r="G33" s="41"/>
      <c r="H33" s="143">
        <v>1</v>
      </c>
      <c r="I33" s="174">
        <f>F33*F123*F78*F168</f>
        <v>0</v>
      </c>
      <c r="J33" s="174">
        <f>VLOOKUP(LEFT($B33,11),RSD_En_Balance!$C$109:$R$190,MATCH($D33,RSD_En_Balance!$D$109:$R$109,0)+1,FALSE)</f>
        <v>0</v>
      </c>
      <c r="K33" s="175">
        <f t="shared" ref="K33" si="18">SUM(I33:I33)-SUM(J33:J33)</f>
        <v>0</v>
      </c>
      <c r="L33" s="84"/>
      <c r="N33" s="8" t="s">
        <v>147</v>
      </c>
      <c r="O33" s="8"/>
      <c r="P33" s="5" t="str">
        <f>Commodities!$AA$44&amp;"_"&amp;RIGHT(Commodities!$D$31,3)&amp;"_"&amp;$P$3&amp;"01"</f>
        <v>RSD_APA3_CK_BIC_E01</v>
      </c>
      <c r="Q33" s="5" t="str">
        <f>"Apartment A3 Cook BituminouCoal  (E)|"&amp;X33</f>
        <v>Apartment A3 Cook BituminouCoal  (E)|</v>
      </c>
      <c r="R33" s="85" t="str">
        <f>General!$B$2</f>
        <v>PJ</v>
      </c>
      <c r="S33" s="85" t="str">
        <f>General!$D$18</f>
        <v>000s_Units</v>
      </c>
      <c r="U33" s="11"/>
      <c r="V33" s="11"/>
      <c r="W33" s="5"/>
      <c r="X33" s="5"/>
    </row>
    <row r="34" spans="2:24" ht="13.8" hidden="1">
      <c r="B34" s="41" t="s">
        <v>147</v>
      </c>
      <c r="C34" s="41" t="str">
        <f t="shared" si="7"/>
        <v>Apartment A3 Cook LPG  (E)|</v>
      </c>
      <c r="D34" s="41" t="str">
        <f>Commodities!$D$35</f>
        <v>RSDOILLPG</v>
      </c>
      <c r="E34" s="138" t="str">
        <f>Commodities!$AA$44</f>
        <v>RSD_APA3_CK</v>
      </c>
      <c r="F34" s="174">
        <f>($H34*VLOOKUP(LEFT($B34,8),RSD_Stock!$H$22:$L$28,F$2,FALSE)*VLOOKUP($B34,RSD_Demands!$H$106:$J$145,F$2,FALSE))</f>
        <v>0</v>
      </c>
      <c r="G34" s="41"/>
      <c r="H34" s="143">
        <v>1</v>
      </c>
      <c r="I34" s="174">
        <f>F34*F125*F80*F170</f>
        <v>0</v>
      </c>
      <c r="J34" s="174">
        <f>VLOOKUP(LEFT($B34,11),RSD_En_Balance!$C$109:$R$190,MATCH($D34,RSD_En_Balance!$D$109:$R$109,0)+1,FALSE)</f>
        <v>0</v>
      </c>
      <c r="K34" s="175">
        <f t="shared" si="5"/>
        <v>0</v>
      </c>
      <c r="L34" s="84" t="e">
        <f>SUM(I32:I36)/(SUM(F32:F36)/1000)</f>
        <v>#DIV/0!</v>
      </c>
      <c r="N34" s="8" t="s">
        <v>147</v>
      </c>
      <c r="O34" s="8"/>
      <c r="P34" s="5" t="str">
        <f>Commodities!$AA$44&amp;"_"&amp;RIGHT(Commodities!$D$35,3)&amp;"_"&amp;$P$3&amp;"01"</f>
        <v>RSD_APA3_CK_LPG_E01</v>
      </c>
      <c r="Q34" s="5" t="str">
        <f>"Apartment A3 Cook LPG  (E)|"&amp;X34</f>
        <v>Apartment A3 Cook LPG  (E)|</v>
      </c>
      <c r="R34" s="85" t="str">
        <f>General!$B$2</f>
        <v>PJ</v>
      </c>
      <c r="S34" s="85" t="str">
        <f>General!$D$18</f>
        <v>000s_Units</v>
      </c>
      <c r="T34" s="85"/>
      <c r="U34" s="11"/>
      <c r="V34" s="11"/>
      <c r="W34" s="5"/>
      <c r="X34" s="5"/>
    </row>
    <row r="35" spans="2:24" ht="13.8" hidden="1">
      <c r="B35" s="41" t="s">
        <v>147</v>
      </c>
      <c r="C35" s="41" t="str">
        <f t="shared" si="7"/>
        <v>Apartment A3 Cook Wood  (E)|</v>
      </c>
      <c r="D35" s="41" t="str">
        <f>Commodities!$D$38</f>
        <v>RSDBIOLOG</v>
      </c>
      <c r="E35" s="138" t="str">
        <f>Commodities!$AA$44</f>
        <v>RSD_APA3_CK</v>
      </c>
      <c r="F35" s="174">
        <f>($H35*VLOOKUP(LEFT($B35,8),RSD_Stock!$H$22:$L$28,F$2,FALSE)*VLOOKUP($B35,RSD_Demands!$H$106:$J$145,F$2,FALSE))</f>
        <v>0</v>
      </c>
      <c r="G35" s="41"/>
      <c r="H35" s="143">
        <v>1</v>
      </c>
      <c r="I35" s="174">
        <f>F35*F126*F81*F171</f>
        <v>0</v>
      </c>
      <c r="J35" s="174">
        <f>VLOOKUP(LEFT($B35,11),RSD_En_Balance!$C$109:$R$190,MATCH($D35,RSD_En_Balance!$D$109:$R$109,0)+1,FALSE)</f>
        <v>0.21980700000000003</v>
      </c>
      <c r="K35" s="175">
        <f t="shared" si="5"/>
        <v>-0.21980700000000003</v>
      </c>
      <c r="L35" s="84"/>
      <c r="N35" s="8" t="s">
        <v>147</v>
      </c>
      <c r="O35" s="8"/>
      <c r="P35" s="5" t="str">
        <f>Commodities!$AA$44&amp;"_"&amp;RIGHT(Commodities!$D$38,3)&amp;"_"&amp;$P$3&amp;"01"</f>
        <v>RSD_APA3_CK_LOG_E01</v>
      </c>
      <c r="Q35" s="5" t="str">
        <f>"Apartment A3 Cook Wood  (E)|"&amp;X35</f>
        <v>Apartment A3 Cook Wood  (E)|</v>
      </c>
      <c r="R35" s="85" t="str">
        <f>General!$B$2</f>
        <v>PJ</v>
      </c>
      <c r="S35" s="85" t="str">
        <f>General!$D$18</f>
        <v>000s_Units</v>
      </c>
      <c r="T35" s="85"/>
      <c r="U35" s="11"/>
      <c r="V35" s="11"/>
      <c r="W35" s="5"/>
      <c r="X35" s="5"/>
    </row>
    <row r="36" spans="2:24" ht="13.8" hidden="1">
      <c r="B36" s="41" t="s">
        <v>147</v>
      </c>
      <c r="C36" s="152" t="str">
        <f t="shared" si="7"/>
        <v>Apartment A3 Cook Electric  (E)|</v>
      </c>
      <c r="D36" s="152" t="str">
        <f>Commodities!$D$48</f>
        <v>RSDELC</v>
      </c>
      <c r="E36" s="153" t="str">
        <f>Commodities!$AA$44</f>
        <v>RSD_APA3_CK</v>
      </c>
      <c r="F36" s="176">
        <f>($H36*VLOOKUP(LEFT($B36,8),RSD_Stock!$H$22:$L$28,F$2,FALSE)*VLOOKUP($B36,RSD_Demands!$H$106:$J$145,F$2,FALSE))</f>
        <v>0</v>
      </c>
      <c r="G36" s="41"/>
      <c r="H36" s="177">
        <v>1</v>
      </c>
      <c r="I36" s="176">
        <f>F36*F127*F82*F172</f>
        <v>0</v>
      </c>
      <c r="J36" s="176">
        <f>VLOOKUP(LEFT($B36,11),RSD_En_Balance!$C$109:$R$190,MATCH($D36,RSD_En_Balance!$D$109:$R$109,0)+1,FALSE)</f>
        <v>9.8234888399999984E-2</v>
      </c>
      <c r="K36" s="178">
        <f t="shared" si="5"/>
        <v>-9.8234888399999984E-2</v>
      </c>
      <c r="L36" s="84"/>
      <c r="N36" s="8" t="s">
        <v>147</v>
      </c>
      <c r="O36" s="100"/>
      <c r="P36" s="100" t="str">
        <f>Commodities!$AA$44&amp;"_"&amp;RIGHT(Commodities!$D$48,3)&amp;"_"&amp;$P$3&amp;"01"</f>
        <v>RSD_APA3_CK_ELC_E01</v>
      </c>
      <c r="Q36" s="100" t="str">
        <f>"Apartment A3 Cook Electric  (E)|"&amp;X36</f>
        <v>Apartment A3 Cook Electric  (E)|</v>
      </c>
      <c r="R36" s="101" t="str">
        <f>General!$B$2</f>
        <v>PJ</v>
      </c>
      <c r="S36" s="101" t="str">
        <f>General!$D$18</f>
        <v>000s_Units</v>
      </c>
      <c r="T36" s="101"/>
      <c r="U36" s="101"/>
      <c r="V36" s="101"/>
      <c r="W36" s="100"/>
      <c r="X36" s="100"/>
    </row>
    <row r="37" spans="2:24" ht="13.8" hidden="1">
      <c r="B37" s="41" t="s">
        <v>147</v>
      </c>
      <c r="C37" s="41" t="str">
        <f t="shared" si="7"/>
        <v>Detached A4 Cook Gas  (E)|</v>
      </c>
      <c r="D37" s="41" t="str">
        <f>Commodities!$D$37</f>
        <v>RSDGASNAT</v>
      </c>
      <c r="E37" s="138" t="str">
        <f>Commodities!$AA$45</f>
        <v>RSD_DTA4_CK</v>
      </c>
      <c r="F37" s="174">
        <f>($H37*VLOOKUP(LEFT($B37,8),RSD_Stock!$H$22:$L$28,F$2,FALSE)*VLOOKUP($B37,RSD_Demands!$H$106:$J$145,F$2,FALSE))</f>
        <v>0</v>
      </c>
      <c r="G37" s="41"/>
      <c r="H37" s="143">
        <v>1</v>
      </c>
      <c r="I37" s="174">
        <f>F37*F128*F83*F173</f>
        <v>0</v>
      </c>
      <c r="J37" s="174">
        <f>VLOOKUP(LEFT($B37,11),RSD_En_Balance!$C$109:$R$190,MATCH($D37,RSD_En_Balance!$D$109:$R$109,0)+1,FALSE)</f>
        <v>6.8483068920000001</v>
      </c>
      <c r="K37" s="175">
        <f t="shared" si="5"/>
        <v>-6.8483068920000001</v>
      </c>
      <c r="L37" s="84"/>
      <c r="N37" s="8" t="s">
        <v>147</v>
      </c>
      <c r="O37" s="8"/>
      <c r="P37" s="5" t="str">
        <f>Commodities!$AA$45&amp;"_"&amp;LEFT(RIGHT(Commodities!$D$37,6),3)&amp;"_"&amp;$P$3&amp;"01"</f>
        <v>RSD_DTA4_CK_GAS_E01</v>
      </c>
      <c r="Q37" s="5" t="str">
        <f>"Detached A4 Cook Gas  (E)|"&amp;X37</f>
        <v>Detached A4 Cook Gas  (E)|</v>
      </c>
      <c r="R37" s="85" t="str">
        <f>General!$B$2</f>
        <v>PJ</v>
      </c>
      <c r="S37" s="85" t="str">
        <f>General!$D$18</f>
        <v>000s_Units</v>
      </c>
      <c r="U37" s="11"/>
      <c r="V37" s="11"/>
      <c r="W37" s="5"/>
      <c r="X37" s="5"/>
    </row>
    <row r="38" spans="2:24" ht="13.8" hidden="1">
      <c r="B38" s="41" t="s">
        <v>147</v>
      </c>
      <c r="C38" s="41" t="str">
        <f t="shared" ref="C38" si="19">Q38</f>
        <v>Detached A4 Cook BituminousCoal (E)|</v>
      </c>
      <c r="D38" s="41" t="str">
        <f>Commodities!$D$31</f>
        <v>RSDCOABIC</v>
      </c>
      <c r="E38" s="138" t="str">
        <f>Commodities!$AA$45</f>
        <v>RSD_DTA4_CK</v>
      </c>
      <c r="F38" s="174">
        <f>($H38*VLOOKUP(LEFT($B38,8),RSD_Stock!$H$22:$L$28,F$2,FALSE)*VLOOKUP($B38,RSD_Demands!$H$106:$J$145,F$2,FALSE))</f>
        <v>0</v>
      </c>
      <c r="G38" s="41"/>
      <c r="H38" s="143">
        <v>1</v>
      </c>
      <c r="I38" s="174">
        <f>F38*F128*F83*F173</f>
        <v>0</v>
      </c>
      <c r="J38" s="174">
        <f>VLOOKUP(LEFT($B38,11),RSD_En_Balance!$C$109:$R$190,MATCH($D38,RSD_En_Balance!$D$109:$R$109,0)+1,FALSE)</f>
        <v>0</v>
      </c>
      <c r="K38" s="175">
        <f t="shared" ref="K38" si="20">SUM(I38:I38)-SUM(J38:J38)</f>
        <v>0</v>
      </c>
      <c r="L38" s="84"/>
      <c r="N38" s="8" t="s">
        <v>147</v>
      </c>
      <c r="O38" s="8"/>
      <c r="P38" s="5" t="str">
        <f>Commodities!$AA$45&amp;"_"&amp;RIGHT(Commodities!$D$31,3)&amp;"_"&amp;$P$3&amp;"01"</f>
        <v>RSD_DTA4_CK_BIC_E01</v>
      </c>
      <c r="Q38" s="5" t="str">
        <f>"Detached A4 Cook BituminousCoal (E)|"&amp;X38</f>
        <v>Detached A4 Cook BituminousCoal (E)|</v>
      </c>
      <c r="R38" s="85" t="str">
        <f>General!$B$2</f>
        <v>PJ</v>
      </c>
      <c r="S38" s="85" t="str">
        <f>General!$D$18</f>
        <v>000s_Units</v>
      </c>
      <c r="U38" s="11"/>
      <c r="V38" s="11"/>
      <c r="W38" s="5"/>
      <c r="X38" s="5"/>
    </row>
    <row r="39" spans="2:24" ht="13.8" hidden="1">
      <c r="B39" s="41" t="s">
        <v>147</v>
      </c>
      <c r="C39" s="41" t="str">
        <f t="shared" si="7"/>
        <v>Detached A4 Cook LPG (E)|</v>
      </c>
      <c r="D39" s="41" t="str">
        <f>Commodities!$D$35</f>
        <v>RSDOILLPG</v>
      </c>
      <c r="E39" s="138" t="str">
        <f>Commodities!$AA$45</f>
        <v>RSD_DTA4_CK</v>
      </c>
      <c r="F39" s="174">
        <f>($H39*VLOOKUP(LEFT($B39,8),RSD_Stock!$H$22:$L$28,F$2,FALSE)*VLOOKUP($B39,RSD_Demands!$H$106:$J$145,F$2,FALSE))</f>
        <v>0</v>
      </c>
      <c r="G39" s="41"/>
      <c r="H39" s="143">
        <v>1</v>
      </c>
      <c r="I39" s="174">
        <f>F39*F130*F85*F175</f>
        <v>0</v>
      </c>
      <c r="J39" s="174">
        <f>VLOOKUP(LEFT($B39,11),RSD_En_Balance!$C$109:$R$190,MATCH($D39,RSD_En_Balance!$D$109:$R$109,0)+1,FALSE)</f>
        <v>0</v>
      </c>
      <c r="K39" s="175">
        <f t="shared" si="5"/>
        <v>0</v>
      </c>
      <c r="L39" s="84" t="e">
        <f>SUM(I37:I41)/(SUM(F37:F41)/1000)</f>
        <v>#DIV/0!</v>
      </c>
      <c r="N39" s="8" t="s">
        <v>147</v>
      </c>
      <c r="O39" s="8"/>
      <c r="P39" s="5" t="str">
        <f>Commodities!$AA$45&amp;"_"&amp;RIGHT(Commodities!$D$35,3)&amp;"_"&amp;$P$3&amp;"01"</f>
        <v>RSD_DTA4_CK_LPG_E01</v>
      </c>
      <c r="Q39" s="5" t="str">
        <f>"Detached A4 Cook LPG (E)|"&amp;X39</f>
        <v>Detached A4 Cook LPG (E)|</v>
      </c>
      <c r="R39" s="85" t="str">
        <f>General!$B$2</f>
        <v>PJ</v>
      </c>
      <c r="S39" s="85" t="str">
        <f>General!$D$18</f>
        <v>000s_Units</v>
      </c>
      <c r="T39" s="85"/>
      <c r="U39" s="11"/>
      <c r="V39" s="11"/>
      <c r="W39" s="5"/>
      <c r="X39" s="5"/>
    </row>
    <row r="40" spans="2:24" ht="13.8" hidden="1">
      <c r="B40" s="41" t="s">
        <v>147</v>
      </c>
      <c r="C40" s="41" t="str">
        <f t="shared" si="7"/>
        <v>Detached A4 Cook  Wood (E)|</v>
      </c>
      <c r="D40" s="41" t="str">
        <f>Commodities!$D$38</f>
        <v>RSDBIOLOG</v>
      </c>
      <c r="E40" s="138" t="str">
        <f>Commodities!$AA$45</f>
        <v>RSD_DTA4_CK</v>
      </c>
      <c r="F40" s="174">
        <f>($H40*VLOOKUP(LEFT($B40,8),RSD_Stock!$H$22:$L$28,F$2,FALSE)*VLOOKUP($B40,RSD_Demands!$H$106:$J$145,F$2,FALSE))</f>
        <v>0</v>
      </c>
      <c r="G40" s="41"/>
      <c r="H40" s="143">
        <v>1</v>
      </c>
      <c r="I40" s="174">
        <f>F40*F131*F86*F176</f>
        <v>0</v>
      </c>
      <c r="J40" s="174">
        <f>VLOOKUP(LEFT($B40,11),RSD_En_Balance!$C$109:$R$190,MATCH($D40,RSD_En_Balance!$D$109:$R$109,0)+1,FALSE)</f>
        <v>0.21980700000000003</v>
      </c>
      <c r="K40" s="175">
        <f t="shared" si="5"/>
        <v>-0.21980700000000003</v>
      </c>
      <c r="L40" s="84"/>
      <c r="N40" s="8" t="s">
        <v>147</v>
      </c>
      <c r="O40" s="8"/>
      <c r="P40" s="5" t="str">
        <f>Commodities!$AA$45&amp;"_"&amp;RIGHT(Commodities!$D$38,3)&amp;"_"&amp;$P$3&amp;"01"</f>
        <v>RSD_DTA4_CK_LOG_E01</v>
      </c>
      <c r="Q40" s="5" t="str">
        <f>"Detached A4 Cook  Wood (E)|"&amp;X40</f>
        <v>Detached A4 Cook  Wood (E)|</v>
      </c>
      <c r="R40" s="85" t="str">
        <f>General!$B$2</f>
        <v>PJ</v>
      </c>
      <c r="S40" s="85" t="str">
        <f>General!$D$18</f>
        <v>000s_Units</v>
      </c>
      <c r="T40" s="85"/>
      <c r="U40" s="11"/>
      <c r="V40" s="11"/>
      <c r="W40" s="5"/>
      <c r="X40" s="5"/>
    </row>
    <row r="41" spans="2:24" ht="13.8" hidden="1">
      <c r="B41" s="41" t="s">
        <v>147</v>
      </c>
      <c r="C41" s="152" t="str">
        <f t="shared" si="7"/>
        <v>Detached A4 Cook Electric  (E)|</v>
      </c>
      <c r="D41" s="152" t="str">
        <f>Commodities!$D$48</f>
        <v>RSDELC</v>
      </c>
      <c r="E41" s="153" t="str">
        <f>Commodities!$AA$45</f>
        <v>RSD_DTA4_CK</v>
      </c>
      <c r="F41" s="176">
        <f>($H41*VLOOKUP(LEFT($B41,8),RSD_Stock!$H$22:$L$28,F$2,FALSE)*VLOOKUP($B41,RSD_Demands!$H$106:$J$145,F$2,FALSE))</f>
        <v>0</v>
      </c>
      <c r="G41" s="41"/>
      <c r="H41" s="177">
        <v>1</v>
      </c>
      <c r="I41" s="176">
        <f>F41*F132*F87*F177</f>
        <v>0</v>
      </c>
      <c r="J41" s="176">
        <f>VLOOKUP(LEFT($B41,11),RSD_En_Balance!$C$109:$R$190,MATCH($D41,RSD_En_Balance!$D$109:$R$109,0)+1,FALSE)</f>
        <v>9.8234888399999984E-2</v>
      </c>
      <c r="K41" s="178">
        <f t="shared" si="5"/>
        <v>-9.8234888399999984E-2</v>
      </c>
      <c r="L41" s="84"/>
      <c r="N41" s="8" t="s">
        <v>147</v>
      </c>
      <c r="O41" s="100"/>
      <c r="P41" s="100" t="str">
        <f>Commodities!$AA$45&amp;"_"&amp;RIGHT(Commodities!$D$48,3)&amp;"_"&amp;$P$3&amp;"01"</f>
        <v>RSD_DTA4_CK_ELC_E01</v>
      </c>
      <c r="Q41" s="100" t="str">
        <f>"Detached A4 Cook Electric  (E)|"&amp;X41</f>
        <v>Detached A4 Cook Electric  (E)|</v>
      </c>
      <c r="R41" s="101" t="str">
        <f>General!$B$2</f>
        <v>PJ</v>
      </c>
      <c r="S41" s="101" t="str">
        <f>General!$D$18</f>
        <v>000s_Units</v>
      </c>
      <c r="T41" s="101"/>
      <c r="U41" s="101"/>
      <c r="V41" s="101"/>
      <c r="W41" s="100"/>
      <c r="X41" s="100"/>
    </row>
    <row r="42" spans="2:24" ht="13.8" hidden="1">
      <c r="B42" s="41" t="s">
        <v>147</v>
      </c>
      <c r="C42" s="41" t="str">
        <f t="shared" si="7"/>
        <v>Apartment A4 Cook Gas(E)|</v>
      </c>
      <c r="D42" s="41" t="str">
        <f>Commodities!$D$37</f>
        <v>RSDGASNAT</v>
      </c>
      <c r="E42" s="138" t="str">
        <f>Commodities!$AA$46</f>
        <v>RSD_APA4_CK</v>
      </c>
      <c r="F42" s="174">
        <f>($H42*VLOOKUP(LEFT($B42,8),RSD_Stock!$H$22:$L$28,F$2,FALSE)*VLOOKUP($B42,RSD_Demands!$H$106:$J$145,F$2,FALSE))</f>
        <v>0</v>
      </c>
      <c r="G42" s="41"/>
      <c r="H42" s="143">
        <v>1</v>
      </c>
      <c r="I42" s="174">
        <f>F42*F133*F88*F178</f>
        <v>0</v>
      </c>
      <c r="J42" s="174">
        <f>VLOOKUP(LEFT($B42,11),RSD_En_Balance!$C$109:$R$190,MATCH($D42,RSD_En_Balance!$D$109:$R$109,0)+1,FALSE)</f>
        <v>6.8483068920000001</v>
      </c>
      <c r="K42" s="175">
        <f t="shared" si="5"/>
        <v>-6.8483068920000001</v>
      </c>
      <c r="L42" s="84"/>
      <c r="N42" s="8" t="s">
        <v>147</v>
      </c>
      <c r="O42" s="8"/>
      <c r="P42" s="5" t="str">
        <f>Commodities!$AA$46&amp;"_"&amp;LEFT(RIGHT(Commodities!$D$37,6),3)&amp;"_"&amp;$P$3&amp;"01"</f>
        <v>RSD_APA4_CK_GAS_E01</v>
      </c>
      <c r="Q42" s="5" t="str">
        <f>"Apartment A4 Cook Gas(E)|"&amp;X42</f>
        <v>Apartment A4 Cook Gas(E)|</v>
      </c>
      <c r="R42" s="85" t="str">
        <f>General!$B$2</f>
        <v>PJ</v>
      </c>
      <c r="S42" s="85" t="str">
        <f>General!$D$18</f>
        <v>000s_Units</v>
      </c>
      <c r="U42" s="11"/>
      <c r="V42" s="11"/>
      <c r="W42" s="5"/>
      <c r="X42" s="5"/>
    </row>
    <row r="43" spans="2:24" ht="13.8" hidden="1">
      <c r="B43" s="41" t="s">
        <v>147</v>
      </c>
      <c r="C43" s="41" t="str">
        <f t="shared" ref="C43" si="21">Q43</f>
        <v>Apartment A4 Cook BituminousCoal  (E)|</v>
      </c>
      <c r="D43" s="41" t="str">
        <f>Commodities!$D$31</f>
        <v>RSDCOABIC</v>
      </c>
      <c r="E43" s="138" t="str">
        <f>Commodities!$AA$46</f>
        <v>RSD_APA4_CK</v>
      </c>
      <c r="F43" s="174">
        <f>($H43*VLOOKUP(LEFT($B43,8),RSD_Stock!$H$22:$L$28,F$2,FALSE)*VLOOKUP($B43,RSD_Demands!$H$106:$J$145,F$2,FALSE))</f>
        <v>0</v>
      </c>
      <c r="G43" s="41"/>
      <c r="H43" s="143">
        <v>1</v>
      </c>
      <c r="I43" s="174">
        <f>F43*F133*F88*F178</f>
        <v>0</v>
      </c>
      <c r="J43" s="174">
        <f>VLOOKUP(LEFT($B43,11),RSD_En_Balance!$C$109:$R$190,MATCH($D43,RSD_En_Balance!$D$109:$R$109,0)+1,FALSE)</f>
        <v>0</v>
      </c>
      <c r="K43" s="175">
        <f t="shared" ref="K43" si="22">SUM(I43:I43)-SUM(J43:J43)</f>
        <v>0</v>
      </c>
      <c r="L43" s="84"/>
      <c r="N43" s="8" t="s">
        <v>147</v>
      </c>
      <c r="O43" s="8"/>
      <c r="P43" s="5" t="str">
        <f>Commodities!$AA$46&amp;"_"&amp;RIGHT(Commodities!$D$31,3)&amp;"_"&amp;$P$3&amp;"01"</f>
        <v>RSD_APA4_CK_BIC_E01</v>
      </c>
      <c r="Q43" s="5" t="str">
        <f>"Apartment A4 Cook BituminousCoal  (E)|"&amp;X43</f>
        <v>Apartment A4 Cook BituminousCoal  (E)|</v>
      </c>
      <c r="R43" s="85" t="str">
        <f>General!$B$2</f>
        <v>PJ</v>
      </c>
      <c r="S43" s="85" t="str">
        <f>General!$D$18</f>
        <v>000s_Units</v>
      </c>
      <c r="U43" s="11"/>
      <c r="V43" s="11"/>
      <c r="W43" s="5"/>
      <c r="X43" s="5"/>
    </row>
    <row r="44" spans="2:24" ht="13.8" hidden="1">
      <c r="B44" s="41" t="s">
        <v>147</v>
      </c>
      <c r="C44" s="41" t="str">
        <f t="shared" si="7"/>
        <v>Apartment A4 Cook LPG  (E)|</v>
      </c>
      <c r="D44" s="41" t="str">
        <f>Commodities!$D$35</f>
        <v>RSDOILLPG</v>
      </c>
      <c r="E44" s="138" t="str">
        <f>Commodities!$AA$46</f>
        <v>RSD_APA4_CK</v>
      </c>
      <c r="F44" s="174">
        <f>($H44*VLOOKUP(LEFT($B44,8),RSD_Stock!$H$22:$L$28,F$2,FALSE)*VLOOKUP($B44,RSD_Demands!$H$106:$J$145,F$2,FALSE))</f>
        <v>0</v>
      </c>
      <c r="G44" s="41"/>
      <c r="H44" s="143">
        <v>1</v>
      </c>
      <c r="I44" s="174">
        <f>F44*F135*F90*F180</f>
        <v>0</v>
      </c>
      <c r="J44" s="174">
        <f>VLOOKUP(LEFT($B44,11),RSD_En_Balance!$C$109:$R$190,MATCH($D44,RSD_En_Balance!$D$109:$R$109,0)+1,FALSE)</f>
        <v>0</v>
      </c>
      <c r="K44" s="175">
        <f t="shared" si="5"/>
        <v>0</v>
      </c>
      <c r="L44" s="84" t="e">
        <f>SUM(I42:I46)/(SUM(F42:F46)/1000)</f>
        <v>#DIV/0!</v>
      </c>
      <c r="N44" s="8" t="s">
        <v>147</v>
      </c>
      <c r="O44" s="8"/>
      <c r="P44" s="5" t="str">
        <f>Commodities!$AA$46&amp;"_"&amp;RIGHT(Commodities!$D$35,3)&amp;"_"&amp;$P$3&amp;"01"</f>
        <v>RSD_APA4_CK_LPG_E01</v>
      </c>
      <c r="Q44" s="5" t="str">
        <f>"Apartment A4 Cook LPG  (E)|"&amp;X44</f>
        <v>Apartment A4 Cook LPG  (E)|</v>
      </c>
      <c r="R44" s="85" t="str">
        <f>General!$B$2</f>
        <v>PJ</v>
      </c>
      <c r="S44" s="85" t="str">
        <f>General!$D$18</f>
        <v>000s_Units</v>
      </c>
      <c r="T44" s="85"/>
      <c r="U44" s="11"/>
      <c r="V44" s="11"/>
      <c r="W44" s="5"/>
      <c r="X44" s="5"/>
    </row>
    <row r="45" spans="2:24" ht="13.8" hidden="1">
      <c r="B45" s="41" t="s">
        <v>147</v>
      </c>
      <c r="C45" s="41" t="str">
        <f t="shared" si="7"/>
        <v>Apartment A4 Cook Wood  (E)|</v>
      </c>
      <c r="D45" s="41" t="str">
        <f>Commodities!$D$38</f>
        <v>RSDBIOLOG</v>
      </c>
      <c r="E45" s="138" t="str">
        <f>Commodities!$AA$46</f>
        <v>RSD_APA4_CK</v>
      </c>
      <c r="F45" s="174">
        <f>($H45*VLOOKUP(LEFT($B45,8),RSD_Stock!$H$22:$L$28,F$2,FALSE)*VLOOKUP($B45,RSD_Demands!$H$106:$J$145,F$2,FALSE))</f>
        <v>0</v>
      </c>
      <c r="G45" s="41"/>
      <c r="H45" s="143">
        <v>1</v>
      </c>
      <c r="I45" s="174">
        <f>F45*F136*F91*F181</f>
        <v>0</v>
      </c>
      <c r="J45" s="174">
        <f>VLOOKUP(LEFT($B45,11),RSD_En_Balance!$C$109:$R$190,MATCH($D45,RSD_En_Balance!$D$109:$R$109,0)+1,FALSE)</f>
        <v>0.21980700000000003</v>
      </c>
      <c r="K45" s="175">
        <f t="shared" si="5"/>
        <v>-0.21980700000000003</v>
      </c>
      <c r="N45" s="8" t="s">
        <v>147</v>
      </c>
      <c r="O45" s="8"/>
      <c r="P45" s="5" t="str">
        <f>Commodities!$AA$46&amp;"_"&amp;RIGHT(Commodities!$D$38,3)&amp;"_"&amp;$P$3&amp;"01"</f>
        <v>RSD_APA4_CK_LOG_E01</v>
      </c>
      <c r="Q45" s="5" t="str">
        <f>"Apartment A4 Cook Wood  (E)|"&amp;X45</f>
        <v>Apartment A4 Cook Wood  (E)|</v>
      </c>
      <c r="R45" s="85" t="str">
        <f>General!$B$2</f>
        <v>PJ</v>
      </c>
      <c r="S45" s="85" t="str">
        <f>General!$D$18</f>
        <v>000s_Units</v>
      </c>
      <c r="T45" s="85"/>
      <c r="U45" s="11"/>
      <c r="V45" s="11"/>
      <c r="W45" s="5"/>
      <c r="X45" s="5"/>
    </row>
    <row r="46" spans="2:24" ht="13.8" hidden="1">
      <c r="B46" s="41" t="s">
        <v>147</v>
      </c>
      <c r="C46" s="152" t="str">
        <f t="shared" si="7"/>
        <v>Apartment A4 Cook Electric  (E)|</v>
      </c>
      <c r="D46" s="152" t="str">
        <f>Commodities!$D$48</f>
        <v>RSDELC</v>
      </c>
      <c r="E46" s="153" t="str">
        <f>Commodities!$AA$46</f>
        <v>RSD_APA4_CK</v>
      </c>
      <c r="F46" s="176">
        <f>($H46*VLOOKUP(LEFT($B46,8),RSD_Stock!$H$22:$L$28,F$2,FALSE)*VLOOKUP($B46,RSD_Demands!$H$106:$J$145,F$2,FALSE))</f>
        <v>0</v>
      </c>
      <c r="G46" s="41"/>
      <c r="H46" s="177">
        <v>1</v>
      </c>
      <c r="I46" s="176">
        <f>F46*F137*F92*F182</f>
        <v>0</v>
      </c>
      <c r="J46" s="176">
        <f>VLOOKUP(LEFT($B46,11),RSD_En_Balance!$C$109:$R$190,MATCH($D46,RSD_En_Balance!$D$109:$R$109,0)+1,FALSE)</f>
        <v>9.8234888399999984E-2</v>
      </c>
      <c r="K46" s="178">
        <f t="shared" si="5"/>
        <v>-9.8234888399999984E-2</v>
      </c>
      <c r="N46" s="8" t="s">
        <v>147</v>
      </c>
      <c r="O46" s="100"/>
      <c r="P46" s="100" t="str">
        <f>Commodities!$AA$46&amp;"_"&amp;RIGHT(Commodities!$D$48,3)&amp;"_"&amp;$P$3&amp;"01"</f>
        <v>RSD_APA4_CK_ELC_E01</v>
      </c>
      <c r="Q46" s="100" t="str">
        <f>"Apartment A4 Cook Electric  (E)|"&amp;X46</f>
        <v>Apartment A4 Cook Electric  (E)|</v>
      </c>
      <c r="R46" s="101" t="str">
        <f>General!$B$2</f>
        <v>PJ</v>
      </c>
      <c r="S46" s="101" t="str">
        <f>General!$D$18</f>
        <v>000s_Units</v>
      </c>
      <c r="T46" s="101"/>
      <c r="U46" s="101"/>
      <c r="V46" s="101"/>
      <c r="W46" s="100"/>
      <c r="X46" s="100"/>
    </row>
    <row r="47" spans="2:24">
      <c r="D47" s="41"/>
      <c r="E47" s="41"/>
      <c r="F47" s="179"/>
      <c r="G47" s="41"/>
      <c r="R47" s="44"/>
      <c r="S47" s="44"/>
      <c r="U47" s="44"/>
      <c r="V47" s="44"/>
    </row>
    <row r="48" spans="2:24">
      <c r="F48" s="180"/>
      <c r="I48" s="181"/>
      <c r="J48" s="181"/>
      <c r="R48" s="44"/>
      <c r="S48" s="44"/>
      <c r="U48" s="44"/>
      <c r="V48" s="44"/>
    </row>
    <row r="49" spans="2:22" ht="13.8">
      <c r="E49" s="86" t="s">
        <v>320</v>
      </c>
      <c r="R49" s="44"/>
      <c r="S49" s="44"/>
      <c r="U49" s="44"/>
      <c r="V49" s="44"/>
    </row>
    <row r="50" spans="2:22" ht="13.8">
      <c r="B50" s="88" t="s">
        <v>1</v>
      </c>
      <c r="C50" s="88" t="s">
        <v>42</v>
      </c>
      <c r="D50" s="88" t="s">
        <v>7</v>
      </c>
      <c r="E50" s="88" t="s">
        <v>0</v>
      </c>
      <c r="F50" s="121" t="s">
        <v>999</v>
      </c>
      <c r="R50" s="44"/>
      <c r="S50" s="44"/>
      <c r="U50" s="44"/>
      <c r="V50" s="44"/>
    </row>
    <row r="51" spans="2:22" ht="14.4" thickBot="1">
      <c r="B51" s="92" t="s">
        <v>356</v>
      </c>
      <c r="C51" s="92" t="s">
        <v>26</v>
      </c>
      <c r="D51" s="124" t="s">
        <v>36</v>
      </c>
      <c r="E51" s="123" t="s">
        <v>37</v>
      </c>
      <c r="F51" s="92"/>
      <c r="R51" s="44"/>
      <c r="S51" s="44"/>
      <c r="U51" s="44"/>
      <c r="V51" s="44"/>
    </row>
    <row r="52" spans="2:22" ht="14.4" thickBot="1">
      <c r="B52" s="92" t="s">
        <v>269</v>
      </c>
      <c r="C52" s="92"/>
      <c r="D52" s="92"/>
      <c r="E52" s="123"/>
      <c r="F52" s="132" t="str">
        <f>General!$D$19</f>
        <v>TJ/unit</v>
      </c>
      <c r="H52" s="52"/>
      <c r="I52" s="51"/>
      <c r="J52" s="51"/>
      <c r="R52" s="44"/>
      <c r="S52" s="44"/>
      <c r="U52" s="44"/>
      <c r="V52" s="44"/>
    </row>
    <row r="53" spans="2:22">
      <c r="B53" s="51" t="str">
        <f t="shared" ref="B53:B62" si="23">P7</f>
        <v>RSD_DTA1_CK_LOG_E01</v>
      </c>
      <c r="C53" s="51" t="str">
        <f t="shared" ref="C53:C92" si="24">Q7</f>
        <v>Detached A1 Cook Wood  (E)|</v>
      </c>
      <c r="D53" s="41" t="str">
        <f>Commodities!$D$38</f>
        <v>RSDBIOLOG</v>
      </c>
      <c r="E53" s="138"/>
      <c r="F53" s="150">
        <f>IF(F7&gt;0,J7/F7,0)</f>
        <v>0</v>
      </c>
      <c r="H53" s="182"/>
      <c r="I53" s="183"/>
      <c r="R53" s="44"/>
      <c r="S53" s="44"/>
      <c r="U53" s="44"/>
      <c r="V53" s="44"/>
    </row>
    <row r="54" spans="2:22">
      <c r="B54" s="51" t="str">
        <f t="shared" si="23"/>
        <v>RSD_DTA1_CK_BIC_E01</v>
      </c>
      <c r="C54" s="51" t="str">
        <f t="shared" si="24"/>
        <v>Detached A1 Cook BituminousCoal  (E)|</v>
      </c>
      <c r="D54" s="41" t="str">
        <f>$D$43</f>
        <v>RSDCOABIC</v>
      </c>
      <c r="E54" s="138"/>
      <c r="F54" s="150">
        <f t="shared" ref="F54:F92" si="25">IF(F8&gt;0,J8/F8,0)</f>
        <v>0</v>
      </c>
      <c r="H54" s="182"/>
      <c r="I54" s="183"/>
      <c r="R54" s="44"/>
      <c r="S54" s="44"/>
      <c r="U54" s="44"/>
      <c r="V54" s="44"/>
    </row>
    <row r="55" spans="2:22">
      <c r="B55" s="51" t="str">
        <f t="shared" si="23"/>
        <v>RSD_DTA1_CK_GAS_E01</v>
      </c>
      <c r="C55" s="51" t="str">
        <f t="shared" si="24"/>
        <v>Detached A1 Cook N Gas  (E)|</v>
      </c>
      <c r="D55" s="41" t="str">
        <f>Commodities!$D$37</f>
        <v>RSDGASNAT</v>
      </c>
      <c r="E55" s="138"/>
      <c r="F55" s="184">
        <f t="shared" si="25"/>
        <v>0</v>
      </c>
      <c r="H55" s="185"/>
      <c r="I55" s="183"/>
      <c r="R55" s="44"/>
      <c r="S55" s="44"/>
      <c r="U55" s="44"/>
      <c r="V55" s="44"/>
    </row>
    <row r="56" spans="2:22">
      <c r="B56" s="51" t="str">
        <f t="shared" si="23"/>
        <v>RSD_DTA1_CK_LPG_E01</v>
      </c>
      <c r="C56" s="51" t="str">
        <f t="shared" si="24"/>
        <v>Detached A1 Cook LPG  (E)|</v>
      </c>
      <c r="D56" s="41" t="str">
        <f>Commodities!$D$35</f>
        <v>RSDOILLPG</v>
      </c>
      <c r="E56" s="138"/>
      <c r="F56" s="150">
        <f t="shared" si="25"/>
        <v>7.1890711283277018E-3</v>
      </c>
      <c r="H56" s="185"/>
      <c r="I56" s="183"/>
      <c r="R56" s="44"/>
      <c r="S56" s="44"/>
      <c r="U56" s="44"/>
      <c r="V56" s="44"/>
    </row>
    <row r="57" spans="2:22">
      <c r="B57" s="152" t="str">
        <f t="shared" si="23"/>
        <v>RSD_DTA1_CK_ELC_E01</v>
      </c>
      <c r="C57" s="152" t="str">
        <f t="shared" si="24"/>
        <v>Detached A1 Cook Electric  (E)|</v>
      </c>
      <c r="D57" s="152" t="str">
        <f>Commodities!$D$48</f>
        <v>RSDELC</v>
      </c>
      <c r="E57" s="153"/>
      <c r="F57" s="186">
        <f t="shared" si="25"/>
        <v>3.877636227217306E-3</v>
      </c>
      <c r="H57" s="185"/>
      <c r="I57" s="183"/>
      <c r="R57" s="44"/>
      <c r="S57" s="44"/>
      <c r="U57" s="44"/>
      <c r="V57" s="44"/>
    </row>
    <row r="58" spans="2:22">
      <c r="B58" s="51" t="str">
        <f t="shared" si="23"/>
        <v>RSD_APA1_CK_LOG_E01</v>
      </c>
      <c r="C58" s="51" t="str">
        <f t="shared" si="24"/>
        <v>Apartment A1 Cook Wood  (E)|</v>
      </c>
      <c r="D58" s="41" t="str">
        <f>Commodities!$D$38</f>
        <v>RSDBIOLOG</v>
      </c>
      <c r="E58" s="138"/>
      <c r="F58" s="150">
        <f t="shared" si="25"/>
        <v>0</v>
      </c>
      <c r="H58" s="185"/>
      <c r="I58" s="183"/>
      <c r="R58" s="44"/>
      <c r="S58" s="44"/>
      <c r="U58" s="44"/>
      <c r="V58" s="44"/>
    </row>
    <row r="59" spans="2:22">
      <c r="B59" s="51" t="str">
        <f t="shared" si="23"/>
        <v>RSD_APA1_CK_BIC_E01</v>
      </c>
      <c r="C59" s="51" t="str">
        <f t="shared" si="24"/>
        <v>Apartment A1 Cook BituminousCoal  (E)|</v>
      </c>
      <c r="D59" s="41" t="str">
        <f>D54</f>
        <v>RSDCOABIC</v>
      </c>
      <c r="E59" s="138"/>
      <c r="F59" s="150">
        <f t="shared" si="25"/>
        <v>0</v>
      </c>
      <c r="H59" s="185"/>
      <c r="I59" s="183"/>
      <c r="R59" s="44"/>
      <c r="S59" s="44"/>
      <c r="U59" s="44"/>
      <c r="V59" s="44"/>
    </row>
    <row r="60" spans="2:22">
      <c r="B60" s="51" t="str">
        <f t="shared" si="23"/>
        <v>RSD_APA1_CK_LPG_E01</v>
      </c>
      <c r="C60" s="51" t="str">
        <f t="shared" si="24"/>
        <v>Apartment A1 Cook LPG  (E)|</v>
      </c>
      <c r="D60" s="41" t="str">
        <f>Commodities!$D$35</f>
        <v>RSDOILLPG</v>
      </c>
      <c r="E60" s="138"/>
      <c r="F60" s="184">
        <f t="shared" si="25"/>
        <v>0</v>
      </c>
      <c r="H60" s="185"/>
      <c r="I60" s="183"/>
      <c r="R60" s="44"/>
      <c r="S60" s="44"/>
      <c r="U60" s="44"/>
      <c r="V60" s="44"/>
    </row>
    <row r="61" spans="2:22">
      <c r="B61" s="51" t="str">
        <f t="shared" si="23"/>
        <v>RSD_APA1_CK_GAS_E01</v>
      </c>
      <c r="C61" s="51" t="str">
        <f t="shared" si="24"/>
        <v>Apartment A1 Cook Gas  (E)|</v>
      </c>
      <c r="D61" s="41" t="str">
        <f>Commodities!$D$37</f>
        <v>RSDGASNAT</v>
      </c>
      <c r="E61" s="138"/>
      <c r="F61" s="150">
        <f t="shared" si="25"/>
        <v>5.8401771184536698E-3</v>
      </c>
      <c r="H61" s="185"/>
      <c r="I61" s="187"/>
      <c r="R61" s="44"/>
      <c r="S61" s="44"/>
      <c r="U61" s="44"/>
      <c r="V61" s="44"/>
    </row>
    <row r="62" spans="2:22">
      <c r="B62" s="152" t="str">
        <f t="shared" si="23"/>
        <v>RSD_APA1_CK_ELC_E01</v>
      </c>
      <c r="C62" s="152" t="str">
        <f t="shared" si="24"/>
        <v>Apartment A1 Cook Electric  (E)|</v>
      </c>
      <c r="D62" s="152" t="str">
        <f>Commodities!$D$48</f>
        <v>RSDELC</v>
      </c>
      <c r="E62" s="153"/>
      <c r="F62" s="186">
        <f t="shared" si="25"/>
        <v>3.877636227217306E-3</v>
      </c>
      <c r="H62" s="185"/>
      <c r="I62" s="183"/>
      <c r="R62" s="44"/>
      <c r="S62" s="44"/>
      <c r="U62" s="44"/>
      <c r="V62" s="44"/>
    </row>
    <row r="63" spans="2:22" hidden="1">
      <c r="B63" s="41" t="s">
        <v>147</v>
      </c>
      <c r="C63" s="51" t="str">
        <f t="shared" si="24"/>
        <v>Detached A2 Cook Gas  (E)|</v>
      </c>
      <c r="D63" s="41" t="str">
        <f>Commodities!$D$37</f>
        <v>RSDGASNAT</v>
      </c>
      <c r="E63" s="138"/>
      <c r="F63" s="150">
        <f t="shared" si="25"/>
        <v>0</v>
      </c>
      <c r="H63" s="185"/>
      <c r="I63" s="183"/>
      <c r="R63" s="44"/>
      <c r="S63" s="44"/>
      <c r="U63" s="44"/>
      <c r="V63" s="44"/>
    </row>
    <row r="64" spans="2:22" hidden="1">
      <c r="B64" s="41" t="s">
        <v>147</v>
      </c>
      <c r="C64" s="51" t="str">
        <f t="shared" si="24"/>
        <v>Detached A2 Cook BituminousCoal  (E)|</v>
      </c>
      <c r="D64" s="41" t="str">
        <f>D59</f>
        <v>RSDCOABIC</v>
      </c>
      <c r="E64" s="138"/>
      <c r="F64" s="150">
        <f t="shared" si="25"/>
        <v>0</v>
      </c>
      <c r="H64" s="185"/>
      <c r="I64" s="183"/>
      <c r="R64" s="44"/>
      <c r="S64" s="44"/>
      <c r="U64" s="44"/>
      <c r="V64" s="44"/>
    </row>
    <row r="65" spans="2:22" hidden="1">
      <c r="B65" s="41" t="s">
        <v>147</v>
      </c>
      <c r="C65" s="51" t="str">
        <f t="shared" si="24"/>
        <v>Detached A2 Cook LPG  (E)|</v>
      </c>
      <c r="D65" s="41" t="str">
        <f>Commodities!$D$35</f>
        <v>RSDOILLPG</v>
      </c>
      <c r="E65" s="138"/>
      <c r="F65" s="150">
        <f t="shared" si="25"/>
        <v>0</v>
      </c>
      <c r="H65" s="185"/>
      <c r="I65" s="183"/>
      <c r="R65" s="44"/>
      <c r="S65" s="44"/>
      <c r="U65" s="44"/>
      <c r="V65" s="44"/>
    </row>
    <row r="66" spans="2:22" hidden="1">
      <c r="B66" s="41" t="s">
        <v>147</v>
      </c>
      <c r="C66" s="51" t="str">
        <f t="shared" si="24"/>
        <v>Detached A2 Cook Wood (E)|</v>
      </c>
      <c r="D66" s="41" t="str">
        <f>Commodities!$D$38</f>
        <v>RSDBIOLOG</v>
      </c>
      <c r="E66" s="138"/>
      <c r="F66" s="184">
        <f t="shared" si="25"/>
        <v>0</v>
      </c>
      <c r="H66" s="185"/>
      <c r="I66" s="183"/>
      <c r="R66" s="44"/>
      <c r="S66" s="44"/>
      <c r="U66" s="44"/>
      <c r="V66" s="44"/>
    </row>
    <row r="67" spans="2:22" hidden="1">
      <c r="B67" s="41" t="s">
        <v>147</v>
      </c>
      <c r="C67" s="152" t="str">
        <f t="shared" si="24"/>
        <v>Detached A2 Cook Electric  (E)|</v>
      </c>
      <c r="D67" s="152" t="str">
        <f>Commodities!$D$48</f>
        <v>RSDELC</v>
      </c>
      <c r="E67" s="153"/>
      <c r="F67" s="186">
        <f t="shared" si="25"/>
        <v>0</v>
      </c>
      <c r="H67" s="185"/>
      <c r="I67" s="183"/>
      <c r="R67" s="44"/>
      <c r="S67" s="44"/>
      <c r="U67" s="44"/>
      <c r="V67" s="44"/>
    </row>
    <row r="68" spans="2:22" hidden="1">
      <c r="B68" s="41" t="s">
        <v>147</v>
      </c>
      <c r="C68" s="51" t="str">
        <f t="shared" si="24"/>
        <v>Apartment A2 Cook Gas  (E)|</v>
      </c>
      <c r="D68" s="41" t="str">
        <f>Commodities!$D$37</f>
        <v>RSDGASNAT</v>
      </c>
      <c r="E68" s="138"/>
      <c r="F68" s="150">
        <f t="shared" si="25"/>
        <v>0</v>
      </c>
      <c r="H68" s="185"/>
      <c r="I68" s="183"/>
      <c r="R68" s="44"/>
      <c r="S68" s="44"/>
      <c r="U68" s="44"/>
      <c r="V68" s="44"/>
    </row>
    <row r="69" spans="2:22" hidden="1">
      <c r="B69" s="41" t="s">
        <v>147</v>
      </c>
      <c r="C69" s="51" t="str">
        <f t="shared" si="24"/>
        <v>Apartment A2 Cook BituminousCoal  (E)|</v>
      </c>
      <c r="D69" s="41" t="str">
        <f>D64</f>
        <v>RSDCOABIC</v>
      </c>
      <c r="E69" s="138"/>
      <c r="F69" s="150">
        <f t="shared" si="25"/>
        <v>0</v>
      </c>
      <c r="H69" s="185"/>
      <c r="I69" s="183"/>
      <c r="R69" s="44"/>
      <c r="S69" s="44"/>
      <c r="U69" s="44"/>
      <c r="V69" s="44"/>
    </row>
    <row r="70" spans="2:22" hidden="1">
      <c r="B70" s="41" t="s">
        <v>147</v>
      </c>
      <c r="C70" s="51" t="str">
        <f t="shared" si="24"/>
        <v>Apartment A2 Cook LPG  (E)|</v>
      </c>
      <c r="D70" s="41" t="str">
        <f>Commodities!$D$35</f>
        <v>RSDOILLPG</v>
      </c>
      <c r="E70" s="138"/>
      <c r="F70" s="150">
        <f t="shared" si="25"/>
        <v>0</v>
      </c>
      <c r="H70" s="185"/>
      <c r="I70" s="183"/>
      <c r="R70" s="44"/>
      <c r="S70" s="44"/>
      <c r="U70" s="44"/>
      <c r="V70" s="44"/>
    </row>
    <row r="71" spans="2:22" hidden="1">
      <c r="B71" s="41" t="s">
        <v>147</v>
      </c>
      <c r="C71" s="51" t="str">
        <f t="shared" si="24"/>
        <v>Apartment A2 Cook Wood  (E)|</v>
      </c>
      <c r="D71" s="41" t="str">
        <f>Commodities!$D$38</f>
        <v>RSDBIOLOG</v>
      </c>
      <c r="E71" s="138"/>
      <c r="F71" s="184">
        <f t="shared" si="25"/>
        <v>0</v>
      </c>
      <c r="H71" s="185"/>
      <c r="I71" s="183"/>
      <c r="R71" s="44"/>
      <c r="S71" s="44"/>
      <c r="U71" s="44"/>
      <c r="V71" s="44"/>
    </row>
    <row r="72" spans="2:22" hidden="1">
      <c r="B72" s="41" t="s">
        <v>147</v>
      </c>
      <c r="C72" s="152" t="str">
        <f t="shared" si="24"/>
        <v>Apartment A2 Cook Electric  (E)|</v>
      </c>
      <c r="D72" s="152" t="str">
        <f>Commodities!$D$48</f>
        <v>RSDELC</v>
      </c>
      <c r="E72" s="153"/>
      <c r="F72" s="186">
        <f t="shared" si="25"/>
        <v>0</v>
      </c>
      <c r="H72" s="185"/>
      <c r="I72" s="183"/>
      <c r="R72" s="44"/>
      <c r="S72" s="44"/>
      <c r="U72" s="44"/>
      <c r="V72" s="44"/>
    </row>
    <row r="73" spans="2:22" hidden="1">
      <c r="B73" s="41" t="s">
        <v>147</v>
      </c>
      <c r="C73" s="51" t="str">
        <f t="shared" si="24"/>
        <v>Detached A3 Cook Gas  (E)|</v>
      </c>
      <c r="D73" s="41" t="str">
        <f>Commodities!$D$37</f>
        <v>RSDGASNAT</v>
      </c>
      <c r="E73" s="138"/>
      <c r="F73" s="150">
        <f t="shared" si="25"/>
        <v>0</v>
      </c>
      <c r="H73" s="185"/>
      <c r="I73" s="183"/>
      <c r="R73" s="44"/>
      <c r="S73" s="44"/>
      <c r="U73" s="44"/>
      <c r="V73" s="44"/>
    </row>
    <row r="74" spans="2:22" hidden="1">
      <c r="B74" s="41" t="s">
        <v>147</v>
      </c>
      <c r="C74" s="51" t="str">
        <f t="shared" si="24"/>
        <v>Detached A3 Cook ButuminousCoal (E)|</v>
      </c>
      <c r="D74" s="41" t="str">
        <f>D69</f>
        <v>RSDCOABIC</v>
      </c>
      <c r="E74" s="138"/>
      <c r="F74" s="150">
        <f t="shared" si="25"/>
        <v>0</v>
      </c>
      <c r="H74" s="185"/>
      <c r="I74" s="183"/>
      <c r="R74" s="44"/>
      <c r="S74" s="44"/>
      <c r="U74" s="44"/>
      <c r="V74" s="44"/>
    </row>
    <row r="75" spans="2:22" hidden="1">
      <c r="B75" s="41" t="s">
        <v>147</v>
      </c>
      <c r="C75" s="51" t="str">
        <f t="shared" si="24"/>
        <v>Detached A3 Cook LPG (E)|</v>
      </c>
      <c r="D75" s="41" t="str">
        <f>Commodities!$D$35</f>
        <v>RSDOILLPG</v>
      </c>
      <c r="E75" s="138"/>
      <c r="F75" s="150">
        <f t="shared" si="25"/>
        <v>0</v>
      </c>
      <c r="H75" s="185"/>
      <c r="I75" s="183"/>
      <c r="R75" s="44"/>
      <c r="S75" s="44"/>
      <c r="U75" s="44"/>
      <c r="V75" s="44"/>
    </row>
    <row r="76" spans="2:22" hidden="1">
      <c r="B76" s="41" t="s">
        <v>147</v>
      </c>
      <c r="C76" s="51" t="str">
        <f t="shared" si="24"/>
        <v>Detached A3 Cook  Wood (E)|</v>
      </c>
      <c r="D76" s="41" t="str">
        <f>Commodities!$D$38</f>
        <v>RSDBIOLOG</v>
      </c>
      <c r="E76" s="138"/>
      <c r="F76" s="184">
        <f t="shared" si="25"/>
        <v>0</v>
      </c>
      <c r="H76" s="185"/>
      <c r="I76" s="183"/>
      <c r="R76" s="44"/>
      <c r="S76" s="44"/>
      <c r="U76" s="44"/>
      <c r="V76" s="44"/>
    </row>
    <row r="77" spans="2:22" hidden="1">
      <c r="B77" s="41" t="s">
        <v>147</v>
      </c>
      <c r="C77" s="152" t="str">
        <f t="shared" si="24"/>
        <v>Detached A3 Cook Electric  (E)|</v>
      </c>
      <c r="D77" s="152" t="str">
        <f>Commodities!$D$48</f>
        <v>RSDELC</v>
      </c>
      <c r="E77" s="153"/>
      <c r="F77" s="186">
        <f t="shared" si="25"/>
        <v>0</v>
      </c>
      <c r="H77" s="185"/>
      <c r="I77" s="183"/>
      <c r="R77" s="44"/>
      <c r="S77" s="44"/>
      <c r="U77" s="44"/>
      <c r="V77" s="44"/>
    </row>
    <row r="78" spans="2:22" hidden="1">
      <c r="B78" s="41" t="s">
        <v>147</v>
      </c>
      <c r="C78" s="51" t="str">
        <f t="shared" si="24"/>
        <v>Apartment A3 Cook Gas(E)|</v>
      </c>
      <c r="D78" s="41" t="str">
        <f>Commodities!$D$37</f>
        <v>RSDGASNAT</v>
      </c>
      <c r="E78" s="138"/>
      <c r="F78" s="150">
        <f t="shared" si="25"/>
        <v>0</v>
      </c>
      <c r="H78" s="185"/>
      <c r="I78" s="183"/>
      <c r="R78" s="44"/>
      <c r="S78" s="44"/>
      <c r="U78" s="44"/>
      <c r="V78" s="44"/>
    </row>
    <row r="79" spans="2:22" hidden="1">
      <c r="B79" s="41" t="s">
        <v>147</v>
      </c>
      <c r="C79" s="51" t="str">
        <f t="shared" si="24"/>
        <v>Apartment A3 Cook BituminouCoal  (E)|</v>
      </c>
      <c r="D79" s="41" t="str">
        <f>D74</f>
        <v>RSDCOABIC</v>
      </c>
      <c r="E79" s="138"/>
      <c r="F79" s="150">
        <f t="shared" si="25"/>
        <v>0</v>
      </c>
      <c r="H79" s="185"/>
      <c r="I79" s="183"/>
      <c r="R79" s="44"/>
      <c r="S79" s="44"/>
      <c r="U79" s="44"/>
      <c r="V79" s="44"/>
    </row>
    <row r="80" spans="2:22" hidden="1">
      <c r="B80" s="41" t="s">
        <v>147</v>
      </c>
      <c r="C80" s="51" t="str">
        <f t="shared" si="24"/>
        <v>Apartment A3 Cook LPG  (E)|</v>
      </c>
      <c r="D80" s="41" t="str">
        <f>Commodities!$D$35</f>
        <v>RSDOILLPG</v>
      </c>
      <c r="E80" s="138"/>
      <c r="F80" s="150">
        <f t="shared" si="25"/>
        <v>0</v>
      </c>
      <c r="H80" s="185"/>
      <c r="I80" s="183"/>
      <c r="R80" s="44"/>
      <c r="S80" s="44"/>
      <c r="U80" s="44"/>
      <c r="V80" s="44"/>
    </row>
    <row r="81" spans="2:22" hidden="1">
      <c r="B81" s="41" t="s">
        <v>147</v>
      </c>
      <c r="C81" s="51" t="str">
        <f t="shared" si="24"/>
        <v>Apartment A3 Cook Wood  (E)|</v>
      </c>
      <c r="D81" s="41" t="str">
        <f>Commodities!$D$38</f>
        <v>RSDBIOLOG</v>
      </c>
      <c r="E81" s="138"/>
      <c r="F81" s="184">
        <f t="shared" si="25"/>
        <v>0</v>
      </c>
      <c r="H81" s="185"/>
      <c r="I81" s="183"/>
      <c r="R81" s="44"/>
      <c r="S81" s="44"/>
      <c r="U81" s="44"/>
      <c r="V81" s="44"/>
    </row>
    <row r="82" spans="2:22" hidden="1">
      <c r="B82" s="41" t="s">
        <v>147</v>
      </c>
      <c r="C82" s="152" t="str">
        <f t="shared" si="24"/>
        <v>Apartment A3 Cook Electric  (E)|</v>
      </c>
      <c r="D82" s="152" t="str">
        <f>Commodities!$D$48</f>
        <v>RSDELC</v>
      </c>
      <c r="E82" s="153"/>
      <c r="F82" s="186">
        <f t="shared" si="25"/>
        <v>0</v>
      </c>
      <c r="H82" s="185"/>
      <c r="I82" s="183"/>
      <c r="R82" s="44"/>
      <c r="S82" s="44"/>
      <c r="U82" s="44"/>
      <c r="V82" s="44"/>
    </row>
    <row r="83" spans="2:22" hidden="1">
      <c r="B83" s="41" t="s">
        <v>147</v>
      </c>
      <c r="C83" s="51" t="str">
        <f t="shared" si="24"/>
        <v>Detached A4 Cook Gas  (E)|</v>
      </c>
      <c r="D83" s="41" t="str">
        <f>Commodities!$D$37</f>
        <v>RSDGASNAT</v>
      </c>
      <c r="E83" s="138"/>
      <c r="F83" s="150">
        <f t="shared" si="25"/>
        <v>0</v>
      </c>
      <c r="H83" s="185"/>
      <c r="I83" s="183"/>
      <c r="R83" s="44"/>
      <c r="S83" s="44"/>
      <c r="U83" s="44"/>
      <c r="V83" s="44"/>
    </row>
    <row r="84" spans="2:22" hidden="1">
      <c r="B84" s="41" t="s">
        <v>147</v>
      </c>
      <c r="C84" s="51" t="str">
        <f t="shared" si="24"/>
        <v>Detached A4 Cook BituminousCoal (E)|</v>
      </c>
      <c r="D84" s="41" t="str">
        <f>D79</f>
        <v>RSDCOABIC</v>
      </c>
      <c r="E84" s="138"/>
      <c r="F84" s="150">
        <f t="shared" si="25"/>
        <v>0</v>
      </c>
      <c r="H84" s="185"/>
      <c r="I84" s="183"/>
      <c r="R84" s="44"/>
      <c r="S84" s="44"/>
      <c r="U84" s="44"/>
      <c r="V84" s="44"/>
    </row>
    <row r="85" spans="2:22" hidden="1">
      <c r="B85" s="41" t="s">
        <v>147</v>
      </c>
      <c r="C85" s="51" t="str">
        <f t="shared" si="24"/>
        <v>Detached A4 Cook LPG (E)|</v>
      </c>
      <c r="D85" s="41" t="str">
        <f>Commodities!$D$35</f>
        <v>RSDOILLPG</v>
      </c>
      <c r="E85" s="138"/>
      <c r="F85" s="150">
        <f t="shared" si="25"/>
        <v>0</v>
      </c>
      <c r="H85" s="185"/>
      <c r="I85" s="183"/>
      <c r="R85" s="44"/>
      <c r="S85" s="44"/>
      <c r="U85" s="44"/>
      <c r="V85" s="44"/>
    </row>
    <row r="86" spans="2:22" hidden="1">
      <c r="B86" s="41" t="s">
        <v>147</v>
      </c>
      <c r="C86" s="51" t="str">
        <f t="shared" si="24"/>
        <v>Detached A4 Cook  Wood (E)|</v>
      </c>
      <c r="D86" s="41" t="str">
        <f>Commodities!$D$38</f>
        <v>RSDBIOLOG</v>
      </c>
      <c r="E86" s="138"/>
      <c r="F86" s="184">
        <f t="shared" si="25"/>
        <v>0</v>
      </c>
      <c r="H86" s="185"/>
      <c r="I86" s="183"/>
      <c r="R86" s="44"/>
      <c r="S86" s="44"/>
      <c r="U86" s="44"/>
      <c r="V86" s="44"/>
    </row>
    <row r="87" spans="2:22" hidden="1">
      <c r="B87" s="41" t="s">
        <v>147</v>
      </c>
      <c r="C87" s="152" t="str">
        <f t="shared" si="24"/>
        <v>Detached A4 Cook Electric  (E)|</v>
      </c>
      <c r="D87" s="152" t="str">
        <f>Commodities!$D$48</f>
        <v>RSDELC</v>
      </c>
      <c r="E87" s="153"/>
      <c r="F87" s="186">
        <f t="shared" si="25"/>
        <v>0</v>
      </c>
      <c r="H87" s="185"/>
      <c r="I87" s="183"/>
      <c r="R87" s="44"/>
      <c r="S87" s="44"/>
      <c r="U87" s="44"/>
      <c r="V87" s="44"/>
    </row>
    <row r="88" spans="2:22" hidden="1">
      <c r="B88" s="41" t="s">
        <v>147</v>
      </c>
      <c r="C88" s="51" t="str">
        <f t="shared" si="24"/>
        <v>Apartment A4 Cook Gas(E)|</v>
      </c>
      <c r="D88" s="41" t="str">
        <f>Commodities!$D$37</f>
        <v>RSDGASNAT</v>
      </c>
      <c r="E88" s="138"/>
      <c r="F88" s="150">
        <f t="shared" si="25"/>
        <v>0</v>
      </c>
      <c r="H88" s="185"/>
      <c r="I88" s="183"/>
      <c r="R88" s="44"/>
      <c r="S88" s="44"/>
      <c r="U88" s="44"/>
      <c r="V88" s="44"/>
    </row>
    <row r="89" spans="2:22" hidden="1">
      <c r="B89" s="41" t="s">
        <v>147</v>
      </c>
      <c r="C89" s="51" t="str">
        <f t="shared" si="24"/>
        <v>Apartment A4 Cook BituminousCoal  (E)|</v>
      </c>
      <c r="D89" s="41" t="str">
        <f>D84</f>
        <v>RSDCOABIC</v>
      </c>
      <c r="E89" s="138"/>
      <c r="F89" s="150">
        <f t="shared" si="25"/>
        <v>0</v>
      </c>
      <c r="H89" s="185"/>
      <c r="I89" s="183"/>
      <c r="R89" s="44"/>
      <c r="S89" s="44"/>
      <c r="U89" s="44"/>
      <c r="V89" s="44"/>
    </row>
    <row r="90" spans="2:22" hidden="1">
      <c r="B90" s="41" t="s">
        <v>147</v>
      </c>
      <c r="C90" s="51" t="str">
        <f t="shared" si="24"/>
        <v>Apartment A4 Cook LPG  (E)|</v>
      </c>
      <c r="D90" s="41" t="str">
        <f>Commodities!$D$35</f>
        <v>RSDOILLPG</v>
      </c>
      <c r="E90" s="138"/>
      <c r="F90" s="150">
        <f t="shared" si="25"/>
        <v>0</v>
      </c>
      <c r="H90" s="185"/>
      <c r="I90" s="183"/>
      <c r="R90" s="44"/>
      <c r="S90" s="44"/>
      <c r="U90" s="44"/>
      <c r="V90" s="44"/>
    </row>
    <row r="91" spans="2:22" hidden="1">
      <c r="B91" s="41" t="s">
        <v>147</v>
      </c>
      <c r="C91" s="51" t="str">
        <f t="shared" si="24"/>
        <v>Apartment A4 Cook Wood  (E)|</v>
      </c>
      <c r="D91" s="41" t="str">
        <f>Commodities!$D$38</f>
        <v>RSDBIOLOG</v>
      </c>
      <c r="E91" s="138"/>
      <c r="F91" s="184">
        <f t="shared" si="25"/>
        <v>0</v>
      </c>
      <c r="H91" s="185"/>
      <c r="I91" s="183"/>
      <c r="R91" s="44"/>
      <c r="S91" s="44"/>
      <c r="U91" s="44"/>
      <c r="V91" s="44"/>
    </row>
    <row r="92" spans="2:22" hidden="1">
      <c r="B92" s="41" t="s">
        <v>147</v>
      </c>
      <c r="C92" s="152" t="str">
        <f t="shared" si="24"/>
        <v>Apartment A4 Cook Electric  (E)|</v>
      </c>
      <c r="D92" s="152" t="str">
        <f>Commodities!$D$48</f>
        <v>RSDELC</v>
      </c>
      <c r="E92" s="153"/>
      <c r="F92" s="186">
        <f t="shared" si="25"/>
        <v>0</v>
      </c>
      <c r="H92" s="185"/>
      <c r="I92" s="183"/>
      <c r="R92" s="44"/>
      <c r="S92" s="44"/>
      <c r="U92" s="44"/>
      <c r="V92" s="44"/>
    </row>
    <row r="93" spans="2:22">
      <c r="H93" s="185"/>
      <c r="I93" s="183"/>
      <c r="R93" s="44"/>
      <c r="S93" s="44"/>
      <c r="U93" s="44"/>
      <c r="V93" s="44"/>
    </row>
    <row r="94" spans="2:22" ht="13.8">
      <c r="E94" s="86" t="s">
        <v>352</v>
      </c>
      <c r="H94" s="185"/>
      <c r="I94" s="183"/>
      <c r="R94" s="44"/>
      <c r="S94" s="44"/>
      <c r="U94" s="44"/>
      <c r="V94" s="44"/>
    </row>
    <row r="95" spans="2:22" ht="13.8">
      <c r="B95" s="88" t="s">
        <v>1</v>
      </c>
      <c r="C95" s="88" t="s">
        <v>42</v>
      </c>
      <c r="D95" s="88" t="s">
        <v>7</v>
      </c>
      <c r="E95" s="88" t="s">
        <v>0</v>
      </c>
      <c r="F95" s="121" t="s">
        <v>999</v>
      </c>
      <c r="H95" s="185"/>
      <c r="I95" s="183"/>
      <c r="R95" s="44"/>
      <c r="S95" s="44"/>
      <c r="U95" s="44"/>
      <c r="V95" s="44"/>
    </row>
    <row r="96" spans="2:22" ht="14.4" thickBot="1">
      <c r="B96" s="92" t="s">
        <v>356</v>
      </c>
      <c r="C96" s="92" t="s">
        <v>26</v>
      </c>
      <c r="D96" s="124" t="s">
        <v>36</v>
      </c>
      <c r="E96" s="123"/>
      <c r="F96" s="92"/>
      <c r="H96" s="185"/>
      <c r="I96" s="183"/>
      <c r="R96" s="44"/>
      <c r="S96" s="44"/>
      <c r="U96" s="44"/>
      <c r="V96" s="44"/>
    </row>
    <row r="97" spans="2:22" ht="14.4" thickBot="1">
      <c r="B97" s="92" t="s">
        <v>269</v>
      </c>
      <c r="C97" s="92"/>
      <c r="D97" s="92"/>
      <c r="E97" s="123"/>
      <c r="F97" s="124"/>
      <c r="H97" s="185"/>
      <c r="I97" s="183"/>
      <c r="R97" s="44"/>
      <c r="S97" s="44"/>
      <c r="U97" s="44"/>
      <c r="V97" s="44"/>
    </row>
    <row r="98" spans="2:22">
      <c r="B98" s="51" t="str">
        <f t="shared" ref="B98:B107" si="26">P7</f>
        <v>RSD_DTA1_CK_LOG_E01</v>
      </c>
      <c r="C98" s="51" t="str">
        <f t="shared" ref="C98:C137" si="27">Q7</f>
        <v>Detached A1 Cook Wood  (E)|</v>
      </c>
      <c r="E98" s="138" t="str">
        <f>Commodities!$AA$39</f>
        <v>RSD_DTA1_CK</v>
      </c>
      <c r="F98" s="183">
        <v>1</v>
      </c>
      <c r="R98" s="44"/>
      <c r="S98" s="44"/>
      <c r="U98" s="44"/>
      <c r="V98" s="44"/>
    </row>
    <row r="99" spans="2:22">
      <c r="B99" s="51" t="str">
        <f t="shared" si="26"/>
        <v>RSD_DTA1_CK_BIC_E01</v>
      </c>
      <c r="C99" s="51" t="str">
        <f t="shared" si="27"/>
        <v>Detached A1 Cook BituminousCoal  (E)|</v>
      </c>
      <c r="E99" s="138" t="str">
        <f>Commodities!$AA$39</f>
        <v>RSD_DTA1_CK</v>
      </c>
      <c r="F99" s="183">
        <v>1</v>
      </c>
      <c r="R99" s="44"/>
      <c r="S99" s="44"/>
      <c r="U99" s="44"/>
      <c r="V99" s="44"/>
    </row>
    <row r="100" spans="2:22">
      <c r="B100" s="51" t="str">
        <f t="shared" si="26"/>
        <v>RSD_DTA1_CK_GAS_E01</v>
      </c>
      <c r="C100" s="51" t="str">
        <f t="shared" si="27"/>
        <v>Detached A1 Cook N Gas  (E)|</v>
      </c>
      <c r="E100" s="138" t="str">
        <f>Commodities!$AA$39</f>
        <v>RSD_DTA1_CK</v>
      </c>
      <c r="F100" s="188">
        <v>1</v>
      </c>
      <c r="R100" s="44"/>
      <c r="S100" s="44"/>
      <c r="U100" s="44"/>
      <c r="V100" s="44"/>
    </row>
    <row r="101" spans="2:22">
      <c r="B101" s="51" t="str">
        <f t="shared" si="26"/>
        <v>RSD_DTA1_CK_LPG_E01</v>
      </c>
      <c r="C101" s="51" t="str">
        <f t="shared" si="27"/>
        <v>Detached A1 Cook LPG  (E)|</v>
      </c>
      <c r="D101" s="41"/>
      <c r="E101" s="138" t="str">
        <f>Commodities!$AA$39</f>
        <v>RSD_DTA1_CK</v>
      </c>
      <c r="F101" s="183">
        <v>1</v>
      </c>
      <c r="R101" s="44"/>
      <c r="S101" s="44"/>
      <c r="U101" s="44"/>
      <c r="V101" s="44"/>
    </row>
    <row r="102" spans="2:22">
      <c r="B102" s="152" t="str">
        <f t="shared" si="26"/>
        <v>RSD_DTA1_CK_ELC_E01</v>
      </c>
      <c r="C102" s="152" t="str">
        <f t="shared" si="27"/>
        <v>Detached A1 Cook Electric  (E)|</v>
      </c>
      <c r="D102" s="152"/>
      <c r="E102" s="153" t="str">
        <f>Commodities!$AA$39</f>
        <v>RSD_DTA1_CK</v>
      </c>
      <c r="F102" s="178">
        <v>1.34</v>
      </c>
      <c r="R102" s="44"/>
      <c r="S102" s="44"/>
      <c r="U102" s="44"/>
      <c r="V102" s="44"/>
    </row>
    <row r="103" spans="2:22">
      <c r="B103" s="51" t="str">
        <f t="shared" si="26"/>
        <v>RSD_APA1_CK_LOG_E01</v>
      </c>
      <c r="C103" s="51" t="str">
        <f t="shared" si="27"/>
        <v>Apartment A1 Cook Wood  (E)|</v>
      </c>
      <c r="E103" s="138" t="str">
        <f>Commodities!$AA$40</f>
        <v>RSD_APA1_CK</v>
      </c>
      <c r="F103" s="183">
        <v>1</v>
      </c>
      <c r="R103" s="44"/>
      <c r="S103" s="44"/>
      <c r="U103" s="44"/>
      <c r="V103" s="44"/>
    </row>
    <row r="104" spans="2:22">
      <c r="B104" s="51" t="str">
        <f t="shared" si="26"/>
        <v>RSD_APA1_CK_BIC_E01</v>
      </c>
      <c r="C104" s="51" t="str">
        <f t="shared" si="27"/>
        <v>Apartment A1 Cook BituminousCoal  (E)|</v>
      </c>
      <c r="E104" s="138" t="str">
        <f>Commodities!$AA$40</f>
        <v>RSD_APA1_CK</v>
      </c>
      <c r="F104" s="183">
        <v>1</v>
      </c>
      <c r="R104" s="44"/>
      <c r="S104" s="44"/>
      <c r="U104" s="44"/>
      <c r="V104" s="44"/>
    </row>
    <row r="105" spans="2:22">
      <c r="B105" s="51" t="str">
        <f t="shared" si="26"/>
        <v>RSD_APA1_CK_LPG_E01</v>
      </c>
      <c r="C105" s="51" t="str">
        <f t="shared" si="27"/>
        <v>Apartment A1 Cook LPG  (E)|</v>
      </c>
      <c r="D105" s="41"/>
      <c r="E105" s="138" t="str">
        <f>Commodities!$AA$40</f>
        <v>RSD_APA1_CK</v>
      </c>
      <c r="F105" s="188">
        <v>1</v>
      </c>
      <c r="R105" s="44"/>
      <c r="S105" s="44"/>
      <c r="U105" s="44"/>
      <c r="V105" s="44"/>
    </row>
    <row r="106" spans="2:22">
      <c r="B106" s="51" t="str">
        <f t="shared" si="26"/>
        <v>RSD_APA1_CK_GAS_E01</v>
      </c>
      <c r="C106" s="51" t="str">
        <f t="shared" si="27"/>
        <v>Apartment A1 Cook Gas  (E)|</v>
      </c>
      <c r="E106" s="138" t="str">
        <f>Commodities!$AA$40</f>
        <v>RSD_APA1_CK</v>
      </c>
      <c r="F106" s="183">
        <v>1</v>
      </c>
      <c r="R106" s="44"/>
      <c r="S106" s="44"/>
      <c r="U106" s="44"/>
      <c r="V106" s="44"/>
    </row>
    <row r="107" spans="2:22">
      <c r="B107" s="152" t="str">
        <f t="shared" si="26"/>
        <v>RSD_APA1_CK_ELC_E01</v>
      </c>
      <c r="C107" s="152" t="str">
        <f t="shared" si="27"/>
        <v>Apartment A1 Cook Electric  (E)|</v>
      </c>
      <c r="D107" s="152"/>
      <c r="E107" s="153" t="str">
        <f>Commodities!$AA$40</f>
        <v>RSD_APA1_CK</v>
      </c>
      <c r="F107" s="178">
        <v>1.34</v>
      </c>
      <c r="R107" s="44"/>
      <c r="S107" s="44"/>
      <c r="U107" s="44"/>
      <c r="V107" s="44"/>
    </row>
    <row r="108" spans="2:22" hidden="1">
      <c r="B108" s="41" t="s">
        <v>147</v>
      </c>
      <c r="C108" s="51" t="str">
        <f t="shared" si="27"/>
        <v>Detached A2 Cook Gas  (E)|</v>
      </c>
      <c r="E108" s="138" t="str">
        <f>Commodities!$AA$41</f>
        <v>RSD_DTA2_CK</v>
      </c>
      <c r="F108" s="183">
        <v>1.34</v>
      </c>
      <c r="H108" s="51" t="s">
        <v>942</v>
      </c>
      <c r="R108" s="44"/>
      <c r="S108" s="44"/>
      <c r="U108" s="44"/>
      <c r="V108" s="44"/>
    </row>
    <row r="109" spans="2:22" hidden="1">
      <c r="B109" s="41" t="s">
        <v>147</v>
      </c>
      <c r="C109" s="51" t="str">
        <f t="shared" si="27"/>
        <v>Detached A2 Cook BituminousCoal  (E)|</v>
      </c>
      <c r="E109" s="138" t="str">
        <f>Commodities!$AA$41</f>
        <v>RSD_DTA2_CK</v>
      </c>
      <c r="F109" s="183">
        <v>1.34</v>
      </c>
      <c r="H109" s="51" t="s">
        <v>942</v>
      </c>
      <c r="R109" s="44"/>
      <c r="S109" s="44"/>
      <c r="U109" s="44"/>
      <c r="V109" s="44"/>
    </row>
    <row r="110" spans="2:22" hidden="1">
      <c r="B110" s="41" t="s">
        <v>147</v>
      </c>
      <c r="C110" s="51" t="str">
        <f t="shared" si="27"/>
        <v>Detached A2 Cook LPG  (E)|</v>
      </c>
      <c r="D110" s="41"/>
      <c r="E110" s="138" t="str">
        <f>Commodities!$AA$41</f>
        <v>RSD_DTA2_CK</v>
      </c>
      <c r="F110" s="183">
        <v>1.34</v>
      </c>
      <c r="H110" s="51" t="s">
        <v>942</v>
      </c>
      <c r="R110" s="44"/>
      <c r="S110" s="44"/>
      <c r="U110" s="44"/>
      <c r="V110" s="44"/>
    </row>
    <row r="111" spans="2:22" hidden="1">
      <c r="B111" s="41" t="s">
        <v>147</v>
      </c>
      <c r="C111" s="51" t="str">
        <f t="shared" si="27"/>
        <v>Detached A2 Cook Wood (E)|</v>
      </c>
      <c r="E111" s="138" t="str">
        <f>Commodities!$AA$41</f>
        <v>RSD_DTA2_CK</v>
      </c>
      <c r="F111" s="188">
        <v>1.34</v>
      </c>
      <c r="H111" s="51" t="s">
        <v>942</v>
      </c>
      <c r="R111" s="44"/>
      <c r="S111" s="44"/>
      <c r="U111" s="44"/>
      <c r="V111" s="44"/>
    </row>
    <row r="112" spans="2:22" hidden="1">
      <c r="B112" s="41" t="s">
        <v>147</v>
      </c>
      <c r="C112" s="152" t="str">
        <f t="shared" si="27"/>
        <v>Detached A2 Cook Electric  (E)|</v>
      </c>
      <c r="D112" s="152"/>
      <c r="E112" s="153" t="str">
        <f>Commodities!$AA$41</f>
        <v>RSD_DTA2_CK</v>
      </c>
      <c r="F112" s="178">
        <v>1.34</v>
      </c>
      <c r="H112" s="51" t="s">
        <v>942</v>
      </c>
      <c r="R112" s="44"/>
      <c r="S112" s="44"/>
      <c r="U112" s="44"/>
      <c r="V112" s="44"/>
    </row>
    <row r="113" spans="2:22" hidden="1">
      <c r="B113" s="41" t="s">
        <v>147</v>
      </c>
      <c r="C113" s="51" t="str">
        <f t="shared" si="27"/>
        <v>Apartment A2 Cook Gas  (E)|</v>
      </c>
      <c r="E113" s="138" t="str">
        <f>Commodities!$AA$42</f>
        <v>RSD_APA2_CK</v>
      </c>
      <c r="F113" s="183">
        <v>1.34</v>
      </c>
      <c r="H113" s="51" t="s">
        <v>942</v>
      </c>
      <c r="R113" s="44"/>
      <c r="S113" s="44"/>
      <c r="U113" s="44"/>
      <c r="V113" s="44"/>
    </row>
    <row r="114" spans="2:22" hidden="1">
      <c r="B114" s="41" t="s">
        <v>147</v>
      </c>
      <c r="C114" s="51" t="str">
        <f t="shared" si="27"/>
        <v>Apartment A2 Cook BituminousCoal  (E)|</v>
      </c>
      <c r="E114" s="138" t="str">
        <f>Commodities!$AA$42</f>
        <v>RSD_APA2_CK</v>
      </c>
      <c r="F114" s="183">
        <v>1.34</v>
      </c>
      <c r="H114" s="51" t="s">
        <v>942</v>
      </c>
      <c r="R114" s="44"/>
      <c r="S114" s="44"/>
      <c r="U114" s="44"/>
      <c r="V114" s="44"/>
    </row>
    <row r="115" spans="2:22" hidden="1">
      <c r="B115" s="41" t="s">
        <v>147</v>
      </c>
      <c r="C115" s="51" t="str">
        <f t="shared" si="27"/>
        <v>Apartment A2 Cook LPG  (E)|</v>
      </c>
      <c r="D115" s="41"/>
      <c r="E115" s="138" t="str">
        <f>Commodities!$AA$42</f>
        <v>RSD_APA2_CK</v>
      </c>
      <c r="F115" s="183">
        <v>1.34</v>
      </c>
      <c r="H115" s="51" t="s">
        <v>942</v>
      </c>
      <c r="R115" s="44"/>
      <c r="S115" s="44"/>
      <c r="U115" s="44"/>
      <c r="V115" s="44"/>
    </row>
    <row r="116" spans="2:22" hidden="1">
      <c r="B116" s="41" t="s">
        <v>147</v>
      </c>
      <c r="C116" s="51" t="str">
        <f t="shared" si="27"/>
        <v>Apartment A2 Cook Wood  (E)|</v>
      </c>
      <c r="E116" s="138" t="str">
        <f>Commodities!$AA$42</f>
        <v>RSD_APA2_CK</v>
      </c>
      <c r="F116" s="188">
        <v>1.34</v>
      </c>
      <c r="H116" s="51" t="s">
        <v>942</v>
      </c>
      <c r="R116" s="44"/>
      <c r="S116" s="44"/>
      <c r="U116" s="44"/>
      <c r="V116" s="44"/>
    </row>
    <row r="117" spans="2:22" hidden="1">
      <c r="B117" s="41" t="s">
        <v>147</v>
      </c>
      <c r="C117" s="152" t="str">
        <f t="shared" si="27"/>
        <v>Apartment A2 Cook Electric  (E)|</v>
      </c>
      <c r="D117" s="152"/>
      <c r="E117" s="153" t="str">
        <f>Commodities!$AA$42</f>
        <v>RSD_APA2_CK</v>
      </c>
      <c r="F117" s="178">
        <v>1.34</v>
      </c>
      <c r="H117" s="51" t="s">
        <v>942</v>
      </c>
      <c r="R117" s="44"/>
      <c r="S117" s="44"/>
      <c r="U117" s="44"/>
      <c r="V117" s="44"/>
    </row>
    <row r="118" spans="2:22" hidden="1">
      <c r="B118" s="41" t="s">
        <v>147</v>
      </c>
      <c r="C118" s="51" t="str">
        <f t="shared" si="27"/>
        <v>Detached A3 Cook Gas  (E)|</v>
      </c>
      <c r="E118" s="138" t="str">
        <f>Commodities!$AA$43</f>
        <v>RSD_DTA3_CK</v>
      </c>
      <c r="F118" s="183">
        <v>1.34</v>
      </c>
      <c r="H118" s="51" t="s">
        <v>942</v>
      </c>
      <c r="R118" s="44"/>
      <c r="S118" s="44"/>
      <c r="U118" s="44"/>
      <c r="V118" s="44"/>
    </row>
    <row r="119" spans="2:22" hidden="1">
      <c r="B119" s="41" t="s">
        <v>147</v>
      </c>
      <c r="C119" s="51" t="str">
        <f t="shared" si="27"/>
        <v>Detached A3 Cook ButuminousCoal (E)|</v>
      </c>
      <c r="E119" s="138" t="str">
        <f>Commodities!$AA$43</f>
        <v>RSD_DTA3_CK</v>
      </c>
      <c r="F119" s="183">
        <v>1.34</v>
      </c>
      <c r="H119" s="51" t="s">
        <v>942</v>
      </c>
      <c r="R119" s="44"/>
      <c r="S119" s="44"/>
      <c r="U119" s="44"/>
      <c r="V119" s="44"/>
    </row>
    <row r="120" spans="2:22" hidden="1">
      <c r="B120" s="41" t="s">
        <v>147</v>
      </c>
      <c r="C120" s="51" t="str">
        <f t="shared" si="27"/>
        <v>Detached A3 Cook LPG (E)|</v>
      </c>
      <c r="D120" s="41"/>
      <c r="E120" s="138" t="str">
        <f>Commodities!$AA$43</f>
        <v>RSD_DTA3_CK</v>
      </c>
      <c r="F120" s="183">
        <v>1.34</v>
      </c>
      <c r="H120" s="51" t="s">
        <v>942</v>
      </c>
      <c r="R120" s="44"/>
      <c r="S120" s="44"/>
      <c r="U120" s="44"/>
      <c r="V120" s="44"/>
    </row>
    <row r="121" spans="2:22" hidden="1">
      <c r="B121" s="41" t="s">
        <v>147</v>
      </c>
      <c r="C121" s="51" t="str">
        <f t="shared" si="27"/>
        <v>Detached A3 Cook  Wood (E)|</v>
      </c>
      <c r="E121" s="138" t="str">
        <f>Commodities!$AA$43</f>
        <v>RSD_DTA3_CK</v>
      </c>
      <c r="F121" s="188">
        <v>1.34</v>
      </c>
      <c r="H121" s="51" t="s">
        <v>942</v>
      </c>
      <c r="R121" s="44"/>
      <c r="S121" s="44"/>
      <c r="U121" s="44"/>
      <c r="V121" s="44"/>
    </row>
    <row r="122" spans="2:22" hidden="1">
      <c r="B122" s="41" t="s">
        <v>147</v>
      </c>
      <c r="C122" s="152" t="str">
        <f t="shared" si="27"/>
        <v>Detached A3 Cook Electric  (E)|</v>
      </c>
      <c r="D122" s="152"/>
      <c r="E122" s="153" t="str">
        <f>Commodities!$AA$43</f>
        <v>RSD_DTA3_CK</v>
      </c>
      <c r="F122" s="178">
        <v>1.34</v>
      </c>
      <c r="H122" s="51" t="s">
        <v>942</v>
      </c>
      <c r="R122" s="44"/>
      <c r="S122" s="44"/>
      <c r="U122" s="44"/>
      <c r="V122" s="44"/>
    </row>
    <row r="123" spans="2:22" hidden="1">
      <c r="B123" s="41" t="s">
        <v>147</v>
      </c>
      <c r="C123" s="51" t="str">
        <f t="shared" si="27"/>
        <v>Apartment A3 Cook Gas(E)|</v>
      </c>
      <c r="E123" s="138" t="str">
        <f>Commodities!$AA$44</f>
        <v>RSD_APA3_CK</v>
      </c>
      <c r="F123" s="183">
        <v>1.34</v>
      </c>
      <c r="H123" s="51" t="s">
        <v>942</v>
      </c>
      <c r="R123" s="44"/>
      <c r="S123" s="44"/>
      <c r="U123" s="44"/>
      <c r="V123" s="44"/>
    </row>
    <row r="124" spans="2:22" hidden="1">
      <c r="B124" s="41" t="s">
        <v>147</v>
      </c>
      <c r="C124" s="51" t="str">
        <f t="shared" si="27"/>
        <v>Apartment A3 Cook BituminouCoal  (E)|</v>
      </c>
      <c r="E124" s="138" t="str">
        <f>Commodities!$AA$44</f>
        <v>RSD_APA3_CK</v>
      </c>
      <c r="F124" s="183">
        <v>1.34</v>
      </c>
      <c r="H124" s="51" t="s">
        <v>942</v>
      </c>
      <c r="R124" s="44"/>
      <c r="S124" s="44"/>
      <c r="U124" s="44"/>
      <c r="V124" s="44"/>
    </row>
    <row r="125" spans="2:22" hidden="1">
      <c r="B125" s="41" t="s">
        <v>147</v>
      </c>
      <c r="C125" s="51" t="str">
        <f t="shared" si="27"/>
        <v>Apartment A3 Cook LPG  (E)|</v>
      </c>
      <c r="D125" s="41"/>
      <c r="E125" s="138" t="str">
        <f>Commodities!$AA$44</f>
        <v>RSD_APA3_CK</v>
      </c>
      <c r="F125" s="183">
        <v>1.34</v>
      </c>
      <c r="H125" s="51" t="s">
        <v>942</v>
      </c>
      <c r="R125" s="44"/>
      <c r="S125" s="44"/>
      <c r="U125" s="44"/>
      <c r="V125" s="44"/>
    </row>
    <row r="126" spans="2:22" hidden="1">
      <c r="B126" s="41" t="s">
        <v>147</v>
      </c>
      <c r="C126" s="51" t="str">
        <f t="shared" si="27"/>
        <v>Apartment A3 Cook Wood  (E)|</v>
      </c>
      <c r="E126" s="138" t="str">
        <f>Commodities!$AA$44</f>
        <v>RSD_APA3_CK</v>
      </c>
      <c r="F126" s="188">
        <v>1.34</v>
      </c>
      <c r="G126" s="41"/>
      <c r="H126" s="51" t="s">
        <v>942</v>
      </c>
      <c r="R126" s="44"/>
      <c r="S126" s="44"/>
      <c r="U126" s="44"/>
      <c r="V126" s="44"/>
    </row>
    <row r="127" spans="2:22" hidden="1">
      <c r="B127" s="41" t="s">
        <v>147</v>
      </c>
      <c r="C127" s="152" t="str">
        <f t="shared" si="27"/>
        <v>Apartment A3 Cook Electric  (E)|</v>
      </c>
      <c r="D127" s="152"/>
      <c r="E127" s="153" t="str">
        <f>Commodities!$AA$44</f>
        <v>RSD_APA3_CK</v>
      </c>
      <c r="F127" s="178">
        <v>1.34</v>
      </c>
      <c r="G127" s="41"/>
      <c r="H127" s="51" t="s">
        <v>942</v>
      </c>
      <c r="R127" s="44"/>
      <c r="S127" s="44"/>
      <c r="U127" s="44"/>
      <c r="V127" s="44"/>
    </row>
    <row r="128" spans="2:22" hidden="1">
      <c r="B128" s="41" t="s">
        <v>147</v>
      </c>
      <c r="C128" s="51" t="str">
        <f t="shared" si="27"/>
        <v>Detached A4 Cook Gas  (E)|</v>
      </c>
      <c r="E128" s="138" t="str">
        <f>Commodities!$AA$45</f>
        <v>RSD_DTA4_CK</v>
      </c>
      <c r="F128" s="183">
        <v>1.34</v>
      </c>
      <c r="H128" s="51" t="s">
        <v>942</v>
      </c>
      <c r="R128" s="44"/>
      <c r="S128" s="44"/>
      <c r="U128" s="44"/>
      <c r="V128" s="44"/>
    </row>
    <row r="129" spans="2:22" hidden="1">
      <c r="B129" s="41" t="s">
        <v>147</v>
      </c>
      <c r="C129" s="51" t="str">
        <f t="shared" si="27"/>
        <v>Detached A4 Cook BituminousCoal (E)|</v>
      </c>
      <c r="E129" s="138" t="str">
        <f>Commodities!$AA$45</f>
        <v>RSD_DTA4_CK</v>
      </c>
      <c r="F129" s="183">
        <v>1.34</v>
      </c>
      <c r="H129" s="51" t="s">
        <v>942</v>
      </c>
      <c r="R129" s="44"/>
      <c r="S129" s="44"/>
      <c r="U129" s="44"/>
      <c r="V129" s="44"/>
    </row>
    <row r="130" spans="2:22" hidden="1">
      <c r="B130" s="41" t="s">
        <v>147</v>
      </c>
      <c r="C130" s="51" t="str">
        <f t="shared" si="27"/>
        <v>Detached A4 Cook LPG (E)|</v>
      </c>
      <c r="D130" s="41"/>
      <c r="E130" s="138" t="str">
        <f>Commodities!$AA$45</f>
        <v>RSD_DTA4_CK</v>
      </c>
      <c r="F130" s="183">
        <v>1.34</v>
      </c>
      <c r="H130" s="51" t="s">
        <v>942</v>
      </c>
      <c r="R130" s="44"/>
      <c r="S130" s="44"/>
      <c r="U130" s="44"/>
      <c r="V130" s="44"/>
    </row>
    <row r="131" spans="2:22" hidden="1">
      <c r="B131" s="41" t="s">
        <v>147</v>
      </c>
      <c r="C131" s="51" t="str">
        <f t="shared" si="27"/>
        <v>Detached A4 Cook  Wood (E)|</v>
      </c>
      <c r="E131" s="138" t="str">
        <f>Commodities!$AA$45</f>
        <v>RSD_DTA4_CK</v>
      </c>
      <c r="F131" s="188">
        <v>1.34</v>
      </c>
      <c r="H131" s="51" t="s">
        <v>942</v>
      </c>
      <c r="R131" s="44"/>
      <c r="S131" s="44"/>
      <c r="U131" s="44"/>
      <c r="V131" s="44"/>
    </row>
    <row r="132" spans="2:22" hidden="1">
      <c r="B132" s="41" t="s">
        <v>147</v>
      </c>
      <c r="C132" s="152" t="str">
        <f t="shared" si="27"/>
        <v>Detached A4 Cook Electric  (E)|</v>
      </c>
      <c r="D132" s="152"/>
      <c r="E132" s="153" t="str">
        <f>Commodities!$AA$45</f>
        <v>RSD_DTA4_CK</v>
      </c>
      <c r="F132" s="178">
        <v>1.34</v>
      </c>
      <c r="H132" s="51" t="s">
        <v>942</v>
      </c>
      <c r="R132" s="44"/>
      <c r="S132" s="44"/>
      <c r="U132" s="44"/>
      <c r="V132" s="44"/>
    </row>
    <row r="133" spans="2:22" hidden="1">
      <c r="B133" s="41" t="s">
        <v>147</v>
      </c>
      <c r="C133" s="51" t="str">
        <f t="shared" si="27"/>
        <v>Apartment A4 Cook Gas(E)|</v>
      </c>
      <c r="E133" s="138" t="str">
        <f>Commodities!$AA$46</f>
        <v>RSD_APA4_CK</v>
      </c>
      <c r="F133" s="183">
        <v>1.34</v>
      </c>
      <c r="H133" s="51" t="s">
        <v>942</v>
      </c>
      <c r="R133" s="44"/>
      <c r="S133" s="44"/>
      <c r="U133" s="44"/>
      <c r="V133" s="44"/>
    </row>
    <row r="134" spans="2:22" hidden="1">
      <c r="B134" s="41" t="s">
        <v>147</v>
      </c>
      <c r="C134" s="51" t="str">
        <f t="shared" si="27"/>
        <v>Apartment A4 Cook BituminousCoal  (E)|</v>
      </c>
      <c r="E134" s="138" t="str">
        <f>Commodities!$AA$46</f>
        <v>RSD_APA4_CK</v>
      </c>
      <c r="F134" s="183">
        <v>1.34</v>
      </c>
      <c r="H134" s="51" t="s">
        <v>942</v>
      </c>
      <c r="R134" s="44"/>
      <c r="S134" s="44"/>
      <c r="U134" s="44"/>
      <c r="V134" s="44"/>
    </row>
    <row r="135" spans="2:22" hidden="1">
      <c r="B135" s="41" t="s">
        <v>147</v>
      </c>
      <c r="C135" s="51" t="str">
        <f t="shared" si="27"/>
        <v>Apartment A4 Cook LPG  (E)|</v>
      </c>
      <c r="D135" s="41"/>
      <c r="E135" s="138" t="str">
        <f>Commodities!$AA$46</f>
        <v>RSD_APA4_CK</v>
      </c>
      <c r="F135" s="183">
        <v>1.34</v>
      </c>
      <c r="H135" s="51" t="s">
        <v>942</v>
      </c>
      <c r="R135" s="44"/>
      <c r="S135" s="44"/>
      <c r="U135" s="44"/>
      <c r="V135" s="44"/>
    </row>
    <row r="136" spans="2:22" hidden="1">
      <c r="B136" s="41" t="s">
        <v>147</v>
      </c>
      <c r="C136" s="51" t="str">
        <f t="shared" si="27"/>
        <v>Apartment A4 Cook Wood  (E)|</v>
      </c>
      <c r="E136" s="138" t="str">
        <f>Commodities!$AA$46</f>
        <v>RSD_APA4_CK</v>
      </c>
      <c r="F136" s="188">
        <v>1.34</v>
      </c>
      <c r="G136" s="41"/>
      <c r="H136" s="51" t="s">
        <v>942</v>
      </c>
      <c r="R136" s="44"/>
      <c r="S136" s="44"/>
      <c r="U136" s="44"/>
      <c r="V136" s="44"/>
    </row>
    <row r="137" spans="2:22" hidden="1">
      <c r="B137" s="41" t="s">
        <v>147</v>
      </c>
      <c r="C137" s="152" t="str">
        <f t="shared" si="27"/>
        <v>Apartment A4 Cook Electric  (E)|</v>
      </c>
      <c r="D137" s="152"/>
      <c r="E137" s="153" t="str">
        <f>Commodities!$AA$46</f>
        <v>RSD_APA4_CK</v>
      </c>
      <c r="F137" s="178">
        <v>1.34</v>
      </c>
      <c r="G137" s="41"/>
      <c r="H137" s="51" t="s">
        <v>942</v>
      </c>
      <c r="R137" s="44"/>
      <c r="S137" s="44"/>
      <c r="U137" s="44"/>
      <c r="V137" s="44"/>
    </row>
    <row r="138" spans="2:22">
      <c r="R138" s="44"/>
      <c r="S138" s="44"/>
      <c r="U138" s="44"/>
      <c r="V138" s="44"/>
    </row>
    <row r="139" spans="2:22" ht="13.8">
      <c r="E139" s="86" t="s">
        <v>353</v>
      </c>
      <c r="H139" s="86" t="s">
        <v>697</v>
      </c>
      <c r="I139" s="28"/>
      <c r="R139" s="44"/>
      <c r="S139" s="44"/>
      <c r="U139" s="44"/>
      <c r="V139" s="44"/>
    </row>
    <row r="140" spans="2:22" ht="13.8">
      <c r="B140" s="88" t="s">
        <v>1</v>
      </c>
      <c r="C140" s="88" t="s">
        <v>42</v>
      </c>
      <c r="D140" s="88" t="s">
        <v>7</v>
      </c>
      <c r="E140" s="88" t="s">
        <v>0</v>
      </c>
      <c r="F140" s="121" t="s">
        <v>999</v>
      </c>
      <c r="H140" s="88" t="s">
        <v>1</v>
      </c>
      <c r="I140" s="121" t="s">
        <v>999</v>
      </c>
      <c r="R140" s="44"/>
      <c r="S140" s="44"/>
      <c r="U140" s="44"/>
      <c r="V140" s="44"/>
    </row>
    <row r="141" spans="2:22" ht="14.4" thickBot="1">
      <c r="B141" s="92" t="s">
        <v>356</v>
      </c>
      <c r="C141" s="92" t="s">
        <v>26</v>
      </c>
      <c r="D141" s="124" t="s">
        <v>36</v>
      </c>
      <c r="E141" s="123"/>
      <c r="F141" s="92"/>
      <c r="H141" s="92" t="s">
        <v>356</v>
      </c>
      <c r="I141" s="93"/>
      <c r="R141" s="44"/>
      <c r="S141" s="44"/>
      <c r="U141" s="44"/>
      <c r="V141" s="44"/>
    </row>
    <row r="142" spans="2:22" ht="14.4" thickBot="1">
      <c r="B142" s="92" t="s">
        <v>269</v>
      </c>
      <c r="C142" s="92"/>
      <c r="D142" s="92"/>
      <c r="E142" s="123"/>
      <c r="F142" s="124"/>
      <c r="H142" s="92" t="s">
        <v>269</v>
      </c>
      <c r="I142" s="93"/>
      <c r="R142" s="44"/>
      <c r="S142" s="44"/>
      <c r="U142" s="44"/>
      <c r="V142" s="44"/>
    </row>
    <row r="143" spans="2:22">
      <c r="B143" s="51" t="str">
        <f t="shared" ref="B143:B152" si="28">P7</f>
        <v>RSD_DTA1_CK_LOG_E01</v>
      </c>
      <c r="C143" s="51" t="str">
        <f t="shared" ref="C143:C182" si="29">Q7</f>
        <v>Detached A1 Cook Wood  (E)|</v>
      </c>
      <c r="E143" s="138" t="str">
        <f>Commodities!$AA$39</f>
        <v>RSD_DTA1_CK</v>
      </c>
      <c r="F143" s="183">
        <v>1</v>
      </c>
      <c r="H143" s="138" t="str">
        <f t="shared" ref="H143:H182" si="30">B143</f>
        <v>RSD_DTA1_CK_LOG_E01</v>
      </c>
      <c r="I143" s="183">
        <f t="shared" ref="I143:I182" si="31">IF(F143*Stk_Mult&gt;1,1,F143*Stk_Mult)</f>
        <v>1</v>
      </c>
      <c r="R143" s="44"/>
      <c r="S143" s="44"/>
      <c r="U143" s="44"/>
      <c r="V143" s="44"/>
    </row>
    <row r="144" spans="2:22">
      <c r="B144" s="51" t="str">
        <f t="shared" si="28"/>
        <v>RSD_DTA1_CK_BIC_E01</v>
      </c>
      <c r="C144" s="51" t="str">
        <f t="shared" si="29"/>
        <v>Detached A1 Cook BituminousCoal  (E)|</v>
      </c>
      <c r="E144" s="138" t="str">
        <f>Commodities!$AA$39</f>
        <v>RSD_DTA1_CK</v>
      </c>
      <c r="F144" s="183">
        <v>1</v>
      </c>
      <c r="H144" s="138" t="str">
        <f t="shared" si="30"/>
        <v>RSD_DTA1_CK_BIC_E01</v>
      </c>
      <c r="I144" s="183">
        <f t="shared" si="31"/>
        <v>1</v>
      </c>
      <c r="R144" s="44"/>
      <c r="S144" s="44"/>
      <c r="U144" s="44"/>
      <c r="V144" s="44"/>
    </row>
    <row r="145" spans="2:22">
      <c r="B145" s="51" t="str">
        <f t="shared" si="28"/>
        <v>RSD_DTA1_CK_GAS_E01</v>
      </c>
      <c r="C145" s="51" t="str">
        <f t="shared" si="29"/>
        <v>Detached A1 Cook N Gas  (E)|</v>
      </c>
      <c r="E145" s="138" t="str">
        <f>Commodities!$AA$39</f>
        <v>RSD_DTA1_CK</v>
      </c>
      <c r="F145" s="188">
        <v>1</v>
      </c>
      <c r="H145" s="138" t="str">
        <f t="shared" si="30"/>
        <v>RSD_DTA1_CK_GAS_E01</v>
      </c>
      <c r="I145" s="183">
        <f t="shared" si="31"/>
        <v>1</v>
      </c>
      <c r="R145" s="44"/>
      <c r="S145" s="44"/>
      <c r="U145" s="44"/>
      <c r="V145" s="44"/>
    </row>
    <row r="146" spans="2:22">
      <c r="B146" s="51" t="str">
        <f t="shared" si="28"/>
        <v>RSD_DTA1_CK_LPG_E01</v>
      </c>
      <c r="C146" s="51" t="str">
        <f t="shared" si="29"/>
        <v>Detached A1 Cook LPG  (E)|</v>
      </c>
      <c r="D146" s="41"/>
      <c r="E146" s="138" t="str">
        <f>Commodities!$AA$39</f>
        <v>RSD_DTA1_CK</v>
      </c>
      <c r="F146" s="183">
        <v>1</v>
      </c>
      <c r="H146" s="138" t="str">
        <f t="shared" si="30"/>
        <v>RSD_DTA1_CK_LPG_E01</v>
      </c>
      <c r="I146" s="183">
        <f t="shared" si="31"/>
        <v>1</v>
      </c>
      <c r="R146" s="44"/>
      <c r="S146" s="44"/>
      <c r="U146" s="44"/>
      <c r="V146" s="44"/>
    </row>
    <row r="147" spans="2:22">
      <c r="B147" s="152" t="str">
        <f t="shared" si="28"/>
        <v>RSD_DTA1_CK_ELC_E01</v>
      </c>
      <c r="C147" s="152" t="str">
        <f t="shared" si="29"/>
        <v>Detached A1 Cook Electric  (E)|</v>
      </c>
      <c r="D147" s="152"/>
      <c r="E147" s="153" t="str">
        <f>Commodities!$AA$39</f>
        <v>RSD_DTA1_CK</v>
      </c>
      <c r="F147" s="178">
        <v>1</v>
      </c>
      <c r="H147" s="138" t="str">
        <f t="shared" si="30"/>
        <v>RSD_DTA1_CK_ELC_E01</v>
      </c>
      <c r="I147" s="183">
        <f t="shared" si="31"/>
        <v>1</v>
      </c>
      <c r="R147" s="44"/>
      <c r="S147" s="44"/>
      <c r="U147" s="44"/>
      <c r="V147" s="44"/>
    </row>
    <row r="148" spans="2:22">
      <c r="B148" s="51" t="str">
        <f t="shared" si="28"/>
        <v>RSD_APA1_CK_LOG_E01</v>
      </c>
      <c r="C148" s="51" t="str">
        <f t="shared" si="29"/>
        <v>Apartment A1 Cook Wood  (E)|</v>
      </c>
      <c r="E148" s="138" t="str">
        <f>Commodities!$AA$40</f>
        <v>RSD_APA1_CK</v>
      </c>
      <c r="F148" s="183">
        <v>1</v>
      </c>
      <c r="H148" s="138" t="str">
        <f t="shared" si="30"/>
        <v>RSD_APA1_CK_LOG_E01</v>
      </c>
      <c r="I148" s="183">
        <f t="shared" si="31"/>
        <v>1</v>
      </c>
      <c r="R148" s="44"/>
      <c r="S148" s="44"/>
      <c r="U148" s="44"/>
      <c r="V148" s="44"/>
    </row>
    <row r="149" spans="2:22">
      <c r="B149" s="51" t="str">
        <f t="shared" si="28"/>
        <v>RSD_APA1_CK_BIC_E01</v>
      </c>
      <c r="C149" s="51" t="str">
        <f t="shared" si="29"/>
        <v>Apartment A1 Cook BituminousCoal  (E)|</v>
      </c>
      <c r="E149" s="138" t="str">
        <f>Commodities!$AA$40</f>
        <v>RSD_APA1_CK</v>
      </c>
      <c r="F149" s="183">
        <v>1</v>
      </c>
      <c r="H149" s="138" t="str">
        <f t="shared" si="30"/>
        <v>RSD_APA1_CK_BIC_E01</v>
      </c>
      <c r="I149" s="183">
        <f t="shared" si="31"/>
        <v>1</v>
      </c>
      <c r="R149" s="44"/>
      <c r="S149" s="44"/>
      <c r="U149" s="44"/>
      <c r="V149" s="44"/>
    </row>
    <row r="150" spans="2:22">
      <c r="B150" s="51" t="str">
        <f t="shared" si="28"/>
        <v>RSD_APA1_CK_LPG_E01</v>
      </c>
      <c r="C150" s="51" t="str">
        <f t="shared" si="29"/>
        <v>Apartment A1 Cook LPG  (E)|</v>
      </c>
      <c r="D150" s="41"/>
      <c r="E150" s="138" t="str">
        <f>Commodities!$AA$40</f>
        <v>RSD_APA1_CK</v>
      </c>
      <c r="F150" s="188">
        <v>1</v>
      </c>
      <c r="H150" s="138" t="str">
        <f t="shared" si="30"/>
        <v>RSD_APA1_CK_LPG_E01</v>
      </c>
      <c r="I150" s="183">
        <f t="shared" si="31"/>
        <v>1</v>
      </c>
      <c r="R150" s="44"/>
      <c r="S150" s="44"/>
      <c r="U150" s="44"/>
      <c r="V150" s="44"/>
    </row>
    <row r="151" spans="2:22">
      <c r="B151" s="51" t="str">
        <f t="shared" si="28"/>
        <v>RSD_APA1_CK_GAS_E01</v>
      </c>
      <c r="C151" s="51" t="str">
        <f t="shared" si="29"/>
        <v>Apartment A1 Cook Gas  (E)|</v>
      </c>
      <c r="E151" s="138" t="str">
        <f>Commodities!$AA$40</f>
        <v>RSD_APA1_CK</v>
      </c>
      <c r="F151" s="183">
        <v>1</v>
      </c>
      <c r="H151" s="138" t="str">
        <f t="shared" si="30"/>
        <v>RSD_APA1_CK_GAS_E01</v>
      </c>
      <c r="I151" s="183">
        <f t="shared" si="31"/>
        <v>1</v>
      </c>
      <c r="R151" s="44"/>
      <c r="S151" s="44"/>
      <c r="U151" s="44"/>
      <c r="V151" s="44"/>
    </row>
    <row r="152" spans="2:22">
      <c r="B152" s="152" t="str">
        <f t="shared" si="28"/>
        <v>RSD_APA1_CK_ELC_E01</v>
      </c>
      <c r="C152" s="152" t="str">
        <f t="shared" si="29"/>
        <v>Apartment A1 Cook Electric  (E)|</v>
      </c>
      <c r="D152" s="152"/>
      <c r="E152" s="153" t="str">
        <f>Commodities!$AA$40</f>
        <v>RSD_APA1_CK</v>
      </c>
      <c r="F152" s="178">
        <v>1</v>
      </c>
      <c r="H152" s="138" t="str">
        <f t="shared" si="30"/>
        <v>RSD_APA1_CK_ELC_E01</v>
      </c>
      <c r="I152" s="183">
        <f t="shared" si="31"/>
        <v>1</v>
      </c>
      <c r="R152" s="44"/>
      <c r="S152" s="44"/>
      <c r="U152" s="44"/>
      <c r="V152" s="44"/>
    </row>
    <row r="153" spans="2:22" hidden="1">
      <c r="B153" s="41" t="s">
        <v>147</v>
      </c>
      <c r="C153" s="51" t="str">
        <f t="shared" si="29"/>
        <v>Detached A2 Cook Gas  (E)|</v>
      </c>
      <c r="E153" s="138" t="str">
        <f>Commodities!$AA$41</f>
        <v>RSD_DTA2_CK</v>
      </c>
      <c r="F153" s="183">
        <v>1</v>
      </c>
      <c r="H153" s="138" t="str">
        <f t="shared" si="30"/>
        <v>*</v>
      </c>
      <c r="I153" s="183">
        <f t="shared" si="31"/>
        <v>1</v>
      </c>
      <c r="R153" s="44"/>
      <c r="S153" s="44"/>
      <c r="U153" s="44"/>
      <c r="V153" s="44"/>
    </row>
    <row r="154" spans="2:22" hidden="1">
      <c r="B154" s="41" t="s">
        <v>147</v>
      </c>
      <c r="C154" s="51" t="str">
        <f t="shared" si="29"/>
        <v>Detached A2 Cook BituminousCoal  (E)|</v>
      </c>
      <c r="E154" s="138" t="str">
        <f>Commodities!$AA$41</f>
        <v>RSD_DTA2_CK</v>
      </c>
      <c r="F154" s="183">
        <v>1</v>
      </c>
      <c r="H154" s="138" t="str">
        <f t="shared" si="30"/>
        <v>*</v>
      </c>
      <c r="I154" s="183">
        <f t="shared" si="31"/>
        <v>1</v>
      </c>
      <c r="R154" s="44"/>
      <c r="S154" s="44"/>
      <c r="U154" s="44"/>
      <c r="V154" s="44"/>
    </row>
    <row r="155" spans="2:22" hidden="1">
      <c r="B155" s="41" t="s">
        <v>147</v>
      </c>
      <c r="C155" s="51" t="str">
        <f t="shared" si="29"/>
        <v>Detached A2 Cook LPG  (E)|</v>
      </c>
      <c r="D155" s="41"/>
      <c r="E155" s="138" t="str">
        <f>Commodities!$AA$41</f>
        <v>RSD_DTA2_CK</v>
      </c>
      <c r="F155" s="183">
        <v>1</v>
      </c>
      <c r="H155" s="138" t="str">
        <f t="shared" si="30"/>
        <v>*</v>
      </c>
      <c r="I155" s="183">
        <f t="shared" si="31"/>
        <v>1</v>
      </c>
      <c r="R155" s="44"/>
      <c r="S155" s="44"/>
      <c r="U155" s="44"/>
      <c r="V155" s="44"/>
    </row>
    <row r="156" spans="2:22" hidden="1">
      <c r="B156" s="41" t="s">
        <v>147</v>
      </c>
      <c r="C156" s="51" t="str">
        <f t="shared" si="29"/>
        <v>Detached A2 Cook Wood (E)|</v>
      </c>
      <c r="E156" s="138" t="str">
        <f>Commodities!$AA$41</f>
        <v>RSD_DTA2_CK</v>
      </c>
      <c r="F156" s="188">
        <v>1</v>
      </c>
      <c r="H156" s="138" t="str">
        <f t="shared" si="30"/>
        <v>*</v>
      </c>
      <c r="I156" s="183">
        <f t="shared" si="31"/>
        <v>1</v>
      </c>
      <c r="R156" s="44"/>
      <c r="S156" s="44"/>
      <c r="U156" s="44"/>
      <c r="V156" s="44"/>
    </row>
    <row r="157" spans="2:22" hidden="1">
      <c r="B157" s="41" t="s">
        <v>147</v>
      </c>
      <c r="C157" s="152" t="str">
        <f t="shared" si="29"/>
        <v>Detached A2 Cook Electric  (E)|</v>
      </c>
      <c r="D157" s="152"/>
      <c r="E157" s="153" t="str">
        <f>Commodities!$AA$41</f>
        <v>RSD_DTA2_CK</v>
      </c>
      <c r="F157" s="178">
        <v>1</v>
      </c>
      <c r="H157" s="138" t="str">
        <f t="shared" si="30"/>
        <v>*</v>
      </c>
      <c r="I157" s="183">
        <f t="shared" si="31"/>
        <v>1</v>
      </c>
      <c r="R157" s="44"/>
      <c r="S157" s="44"/>
      <c r="U157" s="44"/>
      <c r="V157" s="44"/>
    </row>
    <row r="158" spans="2:22" ht="12" hidden="1" customHeight="1">
      <c r="B158" s="41" t="s">
        <v>147</v>
      </c>
      <c r="C158" s="51" t="str">
        <f t="shared" si="29"/>
        <v>Apartment A2 Cook Gas  (E)|</v>
      </c>
      <c r="E158" s="138" t="str">
        <f>Commodities!$AA$42</f>
        <v>RSD_APA2_CK</v>
      </c>
      <c r="F158" s="183">
        <v>1</v>
      </c>
      <c r="H158" s="138" t="str">
        <f t="shared" si="30"/>
        <v>*</v>
      </c>
      <c r="I158" s="183">
        <f t="shared" si="31"/>
        <v>1</v>
      </c>
      <c r="R158" s="44"/>
      <c r="S158" s="44"/>
      <c r="U158" s="44"/>
      <c r="V158" s="44"/>
    </row>
    <row r="159" spans="2:22" ht="12" hidden="1" customHeight="1">
      <c r="B159" s="41" t="s">
        <v>147</v>
      </c>
      <c r="C159" s="51" t="str">
        <f t="shared" si="29"/>
        <v>Apartment A2 Cook BituminousCoal  (E)|</v>
      </c>
      <c r="E159" s="138" t="str">
        <f>Commodities!$AA$42</f>
        <v>RSD_APA2_CK</v>
      </c>
      <c r="F159" s="183">
        <v>1</v>
      </c>
      <c r="H159" s="138" t="str">
        <f t="shared" si="30"/>
        <v>*</v>
      </c>
      <c r="I159" s="183">
        <f t="shared" si="31"/>
        <v>1</v>
      </c>
      <c r="R159" s="44"/>
      <c r="S159" s="44"/>
      <c r="U159" s="44"/>
      <c r="V159" s="44"/>
    </row>
    <row r="160" spans="2:22" hidden="1">
      <c r="B160" s="41" t="s">
        <v>147</v>
      </c>
      <c r="C160" s="51" t="str">
        <f t="shared" si="29"/>
        <v>Apartment A2 Cook LPG  (E)|</v>
      </c>
      <c r="D160" s="41"/>
      <c r="E160" s="138" t="str">
        <f>Commodities!$AA$42</f>
        <v>RSD_APA2_CK</v>
      </c>
      <c r="F160" s="183">
        <v>1</v>
      </c>
      <c r="H160" s="138" t="str">
        <f t="shared" si="30"/>
        <v>*</v>
      </c>
      <c r="I160" s="183">
        <f t="shared" si="31"/>
        <v>1</v>
      </c>
      <c r="R160" s="44"/>
      <c r="S160" s="44"/>
      <c r="U160" s="44"/>
      <c r="V160" s="44"/>
    </row>
    <row r="161" spans="2:22" hidden="1">
      <c r="B161" s="41" t="s">
        <v>147</v>
      </c>
      <c r="C161" s="51" t="str">
        <f t="shared" si="29"/>
        <v>Apartment A2 Cook Wood  (E)|</v>
      </c>
      <c r="E161" s="138" t="str">
        <f>Commodities!$AA$42</f>
        <v>RSD_APA2_CK</v>
      </c>
      <c r="F161" s="188">
        <v>1</v>
      </c>
      <c r="H161" s="138" t="str">
        <f t="shared" si="30"/>
        <v>*</v>
      </c>
      <c r="I161" s="183">
        <f t="shared" si="31"/>
        <v>1</v>
      </c>
      <c r="R161" s="44"/>
      <c r="S161" s="44"/>
      <c r="U161" s="44"/>
      <c r="V161" s="44"/>
    </row>
    <row r="162" spans="2:22" hidden="1">
      <c r="B162" s="41" t="s">
        <v>147</v>
      </c>
      <c r="C162" s="152" t="str">
        <f t="shared" si="29"/>
        <v>Apartment A2 Cook Electric  (E)|</v>
      </c>
      <c r="D162" s="152"/>
      <c r="E162" s="153" t="str">
        <f>Commodities!$AA$42</f>
        <v>RSD_APA2_CK</v>
      </c>
      <c r="F162" s="178">
        <v>1</v>
      </c>
      <c r="H162" s="138" t="str">
        <f t="shared" si="30"/>
        <v>*</v>
      </c>
      <c r="I162" s="183">
        <f t="shared" si="31"/>
        <v>1</v>
      </c>
      <c r="R162" s="44"/>
      <c r="S162" s="44"/>
      <c r="U162" s="44"/>
      <c r="V162" s="44"/>
    </row>
    <row r="163" spans="2:22" hidden="1">
      <c r="B163" s="41" t="s">
        <v>147</v>
      </c>
      <c r="C163" s="51" t="str">
        <f t="shared" si="29"/>
        <v>Detached A3 Cook Gas  (E)|</v>
      </c>
      <c r="E163" s="138" t="str">
        <f>Commodities!$AA$43</f>
        <v>RSD_DTA3_CK</v>
      </c>
      <c r="F163" s="183">
        <v>1</v>
      </c>
      <c r="H163" s="138" t="str">
        <f t="shared" si="30"/>
        <v>*</v>
      </c>
      <c r="I163" s="183">
        <f t="shared" si="31"/>
        <v>1</v>
      </c>
      <c r="R163" s="44"/>
      <c r="S163" s="44"/>
      <c r="U163" s="44"/>
      <c r="V163" s="44"/>
    </row>
    <row r="164" spans="2:22" hidden="1">
      <c r="B164" s="41" t="s">
        <v>147</v>
      </c>
      <c r="C164" s="51" t="str">
        <f t="shared" si="29"/>
        <v>Detached A3 Cook ButuminousCoal (E)|</v>
      </c>
      <c r="E164" s="138" t="str">
        <f>Commodities!$AA$43</f>
        <v>RSD_DTA3_CK</v>
      </c>
      <c r="F164" s="183">
        <v>1</v>
      </c>
      <c r="H164" s="138" t="str">
        <f t="shared" si="30"/>
        <v>*</v>
      </c>
      <c r="I164" s="183">
        <f t="shared" si="31"/>
        <v>1</v>
      </c>
      <c r="R164" s="44"/>
      <c r="S164" s="44"/>
      <c r="U164" s="44"/>
      <c r="V164" s="44"/>
    </row>
    <row r="165" spans="2:22" hidden="1">
      <c r="B165" s="41" t="s">
        <v>147</v>
      </c>
      <c r="C165" s="51" t="str">
        <f t="shared" si="29"/>
        <v>Detached A3 Cook LPG (E)|</v>
      </c>
      <c r="D165" s="41"/>
      <c r="E165" s="138" t="str">
        <f>Commodities!$AA$43</f>
        <v>RSD_DTA3_CK</v>
      </c>
      <c r="F165" s="183">
        <v>1</v>
      </c>
      <c r="H165" s="138" t="str">
        <f t="shared" si="30"/>
        <v>*</v>
      </c>
      <c r="I165" s="183">
        <f t="shared" si="31"/>
        <v>1</v>
      </c>
      <c r="R165" s="44"/>
      <c r="S165" s="44"/>
      <c r="U165" s="44"/>
      <c r="V165" s="44"/>
    </row>
    <row r="166" spans="2:22" hidden="1">
      <c r="B166" s="41" t="s">
        <v>147</v>
      </c>
      <c r="C166" s="51" t="str">
        <f t="shared" si="29"/>
        <v>Detached A3 Cook  Wood (E)|</v>
      </c>
      <c r="E166" s="138" t="str">
        <f>Commodities!$AA$43</f>
        <v>RSD_DTA3_CK</v>
      </c>
      <c r="F166" s="188">
        <v>1</v>
      </c>
      <c r="H166" s="138" t="str">
        <f t="shared" si="30"/>
        <v>*</v>
      </c>
      <c r="I166" s="183">
        <f t="shared" si="31"/>
        <v>1</v>
      </c>
      <c r="R166" s="44"/>
      <c r="S166" s="44"/>
      <c r="U166" s="44"/>
      <c r="V166" s="44"/>
    </row>
    <row r="167" spans="2:22" hidden="1">
      <c r="B167" s="41" t="s">
        <v>147</v>
      </c>
      <c r="C167" s="152" t="str">
        <f t="shared" si="29"/>
        <v>Detached A3 Cook Electric  (E)|</v>
      </c>
      <c r="D167" s="152"/>
      <c r="E167" s="153" t="str">
        <f>Commodities!$AA$43</f>
        <v>RSD_DTA3_CK</v>
      </c>
      <c r="F167" s="178">
        <v>1</v>
      </c>
      <c r="H167" s="138" t="str">
        <f t="shared" si="30"/>
        <v>*</v>
      </c>
      <c r="I167" s="183">
        <f t="shared" si="31"/>
        <v>1</v>
      </c>
      <c r="R167" s="44"/>
      <c r="S167" s="44"/>
      <c r="U167" s="44"/>
      <c r="V167" s="44"/>
    </row>
    <row r="168" spans="2:22" ht="13.5" hidden="1" customHeight="1">
      <c r="B168" s="41" t="s">
        <v>147</v>
      </c>
      <c r="C168" s="51" t="str">
        <f t="shared" si="29"/>
        <v>Apartment A3 Cook Gas(E)|</v>
      </c>
      <c r="E168" s="138" t="str">
        <f>Commodities!$AA$44</f>
        <v>RSD_APA3_CK</v>
      </c>
      <c r="F168" s="183">
        <v>1</v>
      </c>
      <c r="H168" s="138" t="str">
        <f t="shared" si="30"/>
        <v>*</v>
      </c>
      <c r="I168" s="183">
        <f t="shared" si="31"/>
        <v>1</v>
      </c>
      <c r="R168" s="44"/>
      <c r="S168" s="44"/>
      <c r="U168" s="44"/>
      <c r="V168" s="44"/>
    </row>
    <row r="169" spans="2:22" ht="13.5" hidden="1" customHeight="1">
      <c r="B169" s="41" t="s">
        <v>147</v>
      </c>
      <c r="C169" s="51" t="str">
        <f t="shared" si="29"/>
        <v>Apartment A3 Cook BituminouCoal  (E)|</v>
      </c>
      <c r="E169" s="138" t="str">
        <f>Commodities!$AA$44</f>
        <v>RSD_APA3_CK</v>
      </c>
      <c r="F169" s="183">
        <v>1</v>
      </c>
      <c r="H169" s="138" t="str">
        <f t="shared" si="30"/>
        <v>*</v>
      </c>
      <c r="I169" s="183">
        <f t="shared" si="31"/>
        <v>1</v>
      </c>
      <c r="R169" s="44"/>
      <c r="S169" s="44"/>
      <c r="U169" s="44"/>
      <c r="V169" s="44"/>
    </row>
    <row r="170" spans="2:22" hidden="1">
      <c r="B170" s="41" t="s">
        <v>147</v>
      </c>
      <c r="C170" s="51" t="str">
        <f t="shared" si="29"/>
        <v>Apartment A3 Cook LPG  (E)|</v>
      </c>
      <c r="D170" s="41"/>
      <c r="E170" s="138" t="str">
        <f>Commodities!$AA$44</f>
        <v>RSD_APA3_CK</v>
      </c>
      <c r="F170" s="183">
        <v>1</v>
      </c>
      <c r="H170" s="138" t="str">
        <f t="shared" si="30"/>
        <v>*</v>
      </c>
      <c r="I170" s="183">
        <f t="shared" si="31"/>
        <v>1</v>
      </c>
      <c r="R170" s="44"/>
      <c r="S170" s="44"/>
      <c r="U170" s="44"/>
      <c r="V170" s="44"/>
    </row>
    <row r="171" spans="2:22" hidden="1">
      <c r="B171" s="41" t="s">
        <v>147</v>
      </c>
      <c r="C171" s="51" t="str">
        <f t="shared" si="29"/>
        <v>Apartment A3 Cook Wood  (E)|</v>
      </c>
      <c r="E171" s="138" t="str">
        <f>Commodities!$AA$44</f>
        <v>RSD_APA3_CK</v>
      </c>
      <c r="F171" s="188">
        <v>1</v>
      </c>
      <c r="H171" s="138" t="str">
        <f t="shared" si="30"/>
        <v>*</v>
      </c>
      <c r="I171" s="183">
        <f t="shared" si="31"/>
        <v>1</v>
      </c>
      <c r="R171" s="44"/>
      <c r="S171" s="44"/>
      <c r="U171" s="44"/>
      <c r="V171" s="44"/>
    </row>
    <row r="172" spans="2:22" hidden="1">
      <c r="B172" s="41" t="s">
        <v>147</v>
      </c>
      <c r="C172" s="152" t="str">
        <f t="shared" si="29"/>
        <v>Apartment A3 Cook Electric  (E)|</v>
      </c>
      <c r="D172" s="152"/>
      <c r="E172" s="153" t="str">
        <f>Commodities!$AA$44</f>
        <v>RSD_APA3_CK</v>
      </c>
      <c r="F172" s="178">
        <v>1</v>
      </c>
      <c r="H172" s="138" t="str">
        <f t="shared" si="30"/>
        <v>*</v>
      </c>
      <c r="I172" s="183">
        <f t="shared" si="31"/>
        <v>1</v>
      </c>
      <c r="R172" s="44"/>
      <c r="S172" s="44"/>
      <c r="U172" s="44"/>
      <c r="V172" s="44"/>
    </row>
    <row r="173" spans="2:22" hidden="1">
      <c r="B173" s="41" t="s">
        <v>147</v>
      </c>
      <c r="C173" s="51" t="str">
        <f t="shared" si="29"/>
        <v>Detached A4 Cook Gas  (E)|</v>
      </c>
      <c r="E173" s="138" t="str">
        <f>Commodities!$AA$45</f>
        <v>RSD_DTA4_CK</v>
      </c>
      <c r="F173" s="183">
        <v>1</v>
      </c>
      <c r="H173" s="138" t="str">
        <f t="shared" si="30"/>
        <v>*</v>
      </c>
      <c r="I173" s="183">
        <f t="shared" si="31"/>
        <v>1</v>
      </c>
      <c r="R173" s="44"/>
      <c r="S173" s="44"/>
      <c r="U173" s="44"/>
      <c r="V173" s="44"/>
    </row>
    <row r="174" spans="2:22" hidden="1">
      <c r="B174" s="41" t="s">
        <v>147</v>
      </c>
      <c r="C174" s="51" t="str">
        <f t="shared" si="29"/>
        <v>Detached A4 Cook BituminousCoal (E)|</v>
      </c>
      <c r="E174" s="138" t="str">
        <f>Commodities!$AA$45</f>
        <v>RSD_DTA4_CK</v>
      </c>
      <c r="F174" s="183">
        <v>1</v>
      </c>
      <c r="H174" s="138" t="str">
        <f t="shared" si="30"/>
        <v>*</v>
      </c>
      <c r="I174" s="183">
        <f t="shared" si="31"/>
        <v>1</v>
      </c>
      <c r="R174" s="44"/>
      <c r="S174" s="44"/>
      <c r="U174" s="44"/>
      <c r="V174" s="44"/>
    </row>
    <row r="175" spans="2:22" hidden="1">
      <c r="B175" s="41" t="s">
        <v>147</v>
      </c>
      <c r="C175" s="51" t="str">
        <f t="shared" si="29"/>
        <v>Detached A4 Cook LPG (E)|</v>
      </c>
      <c r="D175" s="41"/>
      <c r="E175" s="138" t="str">
        <f>Commodities!$AA$45</f>
        <v>RSD_DTA4_CK</v>
      </c>
      <c r="F175" s="183">
        <v>1</v>
      </c>
      <c r="H175" s="138" t="str">
        <f t="shared" si="30"/>
        <v>*</v>
      </c>
      <c r="I175" s="183">
        <f t="shared" si="31"/>
        <v>1</v>
      </c>
      <c r="R175" s="44"/>
      <c r="S175" s="44"/>
      <c r="U175" s="44"/>
      <c r="V175" s="44"/>
    </row>
    <row r="176" spans="2:22" hidden="1">
      <c r="B176" s="41" t="s">
        <v>147</v>
      </c>
      <c r="C176" s="51" t="str">
        <f t="shared" si="29"/>
        <v>Detached A4 Cook  Wood (E)|</v>
      </c>
      <c r="E176" s="138" t="str">
        <f>Commodities!$AA$45</f>
        <v>RSD_DTA4_CK</v>
      </c>
      <c r="F176" s="188">
        <v>1</v>
      </c>
      <c r="H176" s="138" t="str">
        <f t="shared" si="30"/>
        <v>*</v>
      </c>
      <c r="I176" s="183">
        <f t="shared" si="31"/>
        <v>1</v>
      </c>
      <c r="R176" s="44"/>
      <c r="S176" s="44"/>
      <c r="U176" s="44"/>
      <c r="V176" s="44"/>
    </row>
    <row r="177" spans="2:22" hidden="1">
      <c r="B177" s="41" t="s">
        <v>147</v>
      </c>
      <c r="C177" s="152" t="str">
        <f t="shared" si="29"/>
        <v>Detached A4 Cook Electric  (E)|</v>
      </c>
      <c r="D177" s="152"/>
      <c r="E177" s="153" t="str">
        <f>Commodities!$AA$45</f>
        <v>RSD_DTA4_CK</v>
      </c>
      <c r="F177" s="178">
        <v>1</v>
      </c>
      <c r="H177" s="138" t="str">
        <f t="shared" si="30"/>
        <v>*</v>
      </c>
      <c r="I177" s="183">
        <f t="shared" si="31"/>
        <v>1</v>
      </c>
      <c r="R177" s="44"/>
      <c r="S177" s="44"/>
      <c r="U177" s="44"/>
      <c r="V177" s="44"/>
    </row>
    <row r="178" spans="2:22" hidden="1">
      <c r="B178" s="41" t="s">
        <v>147</v>
      </c>
      <c r="C178" s="51" t="str">
        <f t="shared" si="29"/>
        <v>Apartment A4 Cook Gas(E)|</v>
      </c>
      <c r="E178" s="138" t="str">
        <f>Commodities!$AA$46</f>
        <v>RSD_APA4_CK</v>
      </c>
      <c r="F178" s="183">
        <v>1</v>
      </c>
      <c r="H178" s="138" t="str">
        <f t="shared" si="30"/>
        <v>*</v>
      </c>
      <c r="I178" s="183">
        <f t="shared" si="31"/>
        <v>1</v>
      </c>
      <c r="R178" s="44"/>
      <c r="S178" s="44"/>
      <c r="U178" s="44"/>
      <c r="V178" s="44"/>
    </row>
    <row r="179" spans="2:22" hidden="1">
      <c r="B179" s="41" t="s">
        <v>147</v>
      </c>
      <c r="C179" s="51" t="str">
        <f t="shared" si="29"/>
        <v>Apartment A4 Cook BituminousCoal  (E)|</v>
      </c>
      <c r="E179" s="138" t="str">
        <f>Commodities!$AA$46</f>
        <v>RSD_APA4_CK</v>
      </c>
      <c r="F179" s="183">
        <v>1</v>
      </c>
      <c r="H179" s="138" t="str">
        <f t="shared" si="30"/>
        <v>*</v>
      </c>
      <c r="I179" s="183">
        <f t="shared" si="31"/>
        <v>1</v>
      </c>
      <c r="R179" s="44"/>
      <c r="S179" s="44"/>
      <c r="U179" s="44"/>
      <c r="V179" s="44"/>
    </row>
    <row r="180" spans="2:22" hidden="1">
      <c r="B180" s="41" t="s">
        <v>147</v>
      </c>
      <c r="C180" s="51" t="str">
        <f t="shared" si="29"/>
        <v>Apartment A4 Cook LPG  (E)|</v>
      </c>
      <c r="D180" s="41"/>
      <c r="E180" s="138" t="str">
        <f>Commodities!$AA$46</f>
        <v>RSD_APA4_CK</v>
      </c>
      <c r="F180" s="183">
        <v>1</v>
      </c>
      <c r="H180" s="138" t="str">
        <f t="shared" si="30"/>
        <v>*</v>
      </c>
      <c r="I180" s="183">
        <f t="shared" si="31"/>
        <v>1</v>
      </c>
      <c r="R180" s="44"/>
      <c r="S180" s="44"/>
      <c r="U180" s="44"/>
      <c r="V180" s="44"/>
    </row>
    <row r="181" spans="2:22" hidden="1">
      <c r="B181" s="41" t="s">
        <v>147</v>
      </c>
      <c r="C181" s="51" t="str">
        <f t="shared" si="29"/>
        <v>Apartment A4 Cook Wood  (E)|</v>
      </c>
      <c r="E181" s="138" t="str">
        <f>Commodities!$AA$46</f>
        <v>RSD_APA4_CK</v>
      </c>
      <c r="F181" s="188">
        <v>1</v>
      </c>
      <c r="H181" s="138" t="str">
        <f t="shared" si="30"/>
        <v>*</v>
      </c>
      <c r="I181" s="183">
        <f t="shared" si="31"/>
        <v>1</v>
      </c>
      <c r="R181" s="44"/>
      <c r="S181" s="44"/>
      <c r="U181" s="44"/>
      <c r="V181" s="44"/>
    </row>
    <row r="182" spans="2:22" hidden="1">
      <c r="B182" s="41" t="s">
        <v>147</v>
      </c>
      <c r="C182" s="152" t="str">
        <f t="shared" si="29"/>
        <v>Apartment A4 Cook Electric  (E)|</v>
      </c>
      <c r="D182" s="152"/>
      <c r="E182" s="153" t="str">
        <f>Commodities!$AA$46</f>
        <v>RSD_APA4_CK</v>
      </c>
      <c r="F182" s="178">
        <v>1</v>
      </c>
      <c r="H182" s="138" t="str">
        <f t="shared" si="30"/>
        <v>*</v>
      </c>
      <c r="I182" s="183">
        <f t="shared" si="31"/>
        <v>1</v>
      </c>
      <c r="R182" s="44"/>
      <c r="S182" s="44"/>
      <c r="U182" s="44"/>
      <c r="V182" s="44"/>
    </row>
    <row r="183" spans="2:22">
      <c r="R183" s="44"/>
      <c r="S183" s="44"/>
      <c r="U183" s="44"/>
      <c r="V183" s="44"/>
    </row>
    <row r="184" spans="2:22" ht="13.8">
      <c r="E184" s="86" t="s">
        <v>354</v>
      </c>
      <c r="R184" s="44"/>
      <c r="S184" s="44"/>
      <c r="U184" s="44"/>
      <c r="V184" s="44"/>
    </row>
    <row r="185" spans="2:22" ht="13.8">
      <c r="B185" s="88" t="s">
        <v>1</v>
      </c>
      <c r="C185" s="88" t="s">
        <v>42</v>
      </c>
      <c r="D185" s="88" t="s">
        <v>7</v>
      </c>
      <c r="E185" s="88" t="s">
        <v>0</v>
      </c>
      <c r="F185" s="121" t="s">
        <v>999</v>
      </c>
      <c r="R185" s="44"/>
      <c r="S185" s="44"/>
      <c r="U185" s="44"/>
      <c r="V185" s="44"/>
    </row>
    <row r="186" spans="2:22" ht="14.4" thickBot="1">
      <c r="B186" s="92" t="s">
        <v>356</v>
      </c>
      <c r="C186" s="92" t="s">
        <v>26</v>
      </c>
      <c r="D186" s="124" t="s">
        <v>36</v>
      </c>
      <c r="E186" s="123"/>
      <c r="F186" s="92"/>
      <c r="R186" s="44"/>
      <c r="S186" s="44"/>
      <c r="U186" s="44"/>
      <c r="V186" s="44"/>
    </row>
    <row r="187" spans="2:22" ht="14.4" thickBot="1">
      <c r="B187" s="92" t="s">
        <v>269</v>
      </c>
      <c r="C187" s="92"/>
      <c r="D187" s="92"/>
      <c r="E187" s="123"/>
      <c r="F187" s="124"/>
      <c r="R187" s="44"/>
      <c r="S187" s="44"/>
      <c r="U187" s="44"/>
      <c r="V187" s="44"/>
    </row>
    <row r="188" spans="2:22">
      <c r="B188" s="51" t="str">
        <f t="shared" ref="B188:B197" si="32">P7</f>
        <v>RSD_DTA1_CK_LOG_E01</v>
      </c>
      <c r="C188" s="51" t="str">
        <f t="shared" ref="C188:C224" si="33">Q7</f>
        <v>Detached A1 Cook Wood  (E)|</v>
      </c>
      <c r="E188" s="138" t="str">
        <f>Commodities!$AA$39</f>
        <v>RSD_DTA1_CK</v>
      </c>
      <c r="F188" s="144">
        <v>20</v>
      </c>
      <c r="R188" s="44"/>
      <c r="S188" s="44"/>
      <c r="U188" s="44"/>
      <c r="V188" s="44"/>
    </row>
    <row r="189" spans="2:22">
      <c r="B189" s="51" t="str">
        <f t="shared" si="32"/>
        <v>RSD_DTA1_CK_BIC_E01</v>
      </c>
      <c r="C189" s="51" t="str">
        <f t="shared" si="33"/>
        <v>Detached A1 Cook BituminousCoal  (E)|</v>
      </c>
      <c r="E189" s="138" t="str">
        <f>Commodities!$AA$39</f>
        <v>RSD_DTA1_CK</v>
      </c>
      <c r="F189" s="144">
        <v>20</v>
      </c>
      <c r="R189" s="44"/>
      <c r="S189" s="44"/>
      <c r="U189" s="44"/>
      <c r="V189" s="44"/>
    </row>
    <row r="190" spans="2:22">
      <c r="B190" s="51" t="str">
        <f t="shared" si="32"/>
        <v>RSD_DTA1_CK_GAS_E01</v>
      </c>
      <c r="C190" s="51" t="str">
        <f t="shared" si="33"/>
        <v>Detached A1 Cook N Gas  (E)|</v>
      </c>
      <c r="E190" s="138" t="str">
        <f>Commodities!$AA$39</f>
        <v>RSD_DTA1_CK</v>
      </c>
      <c r="F190" s="189">
        <v>20</v>
      </c>
      <c r="R190" s="44"/>
      <c r="S190" s="44"/>
      <c r="U190" s="44"/>
      <c r="V190" s="44"/>
    </row>
    <row r="191" spans="2:22">
      <c r="B191" s="51" t="str">
        <f t="shared" si="32"/>
        <v>RSD_DTA1_CK_LPG_E01</v>
      </c>
      <c r="C191" s="51" t="str">
        <f t="shared" si="33"/>
        <v>Detached A1 Cook LPG  (E)|</v>
      </c>
      <c r="D191" s="41"/>
      <c r="E191" s="138" t="str">
        <f>Commodities!$AA$39</f>
        <v>RSD_DTA1_CK</v>
      </c>
      <c r="F191" s="144">
        <v>20</v>
      </c>
      <c r="R191" s="44"/>
      <c r="S191" s="44"/>
      <c r="U191" s="44"/>
      <c r="V191" s="44"/>
    </row>
    <row r="192" spans="2:22">
      <c r="B192" s="152" t="str">
        <f t="shared" si="32"/>
        <v>RSD_DTA1_CK_ELC_E01</v>
      </c>
      <c r="C192" s="152" t="str">
        <f t="shared" si="33"/>
        <v>Detached A1 Cook Electric  (E)|</v>
      </c>
      <c r="D192" s="152"/>
      <c r="E192" s="153" t="str">
        <f>Commodities!$AA$39</f>
        <v>RSD_DTA1_CK</v>
      </c>
      <c r="F192" s="154">
        <v>20</v>
      </c>
      <c r="R192" s="44"/>
      <c r="S192" s="44"/>
      <c r="U192" s="44"/>
      <c r="V192" s="44"/>
    </row>
    <row r="193" spans="2:22">
      <c r="B193" s="51" t="str">
        <f t="shared" si="32"/>
        <v>RSD_APA1_CK_LOG_E01</v>
      </c>
      <c r="C193" s="51" t="str">
        <f t="shared" si="33"/>
        <v>Apartment A1 Cook Wood  (E)|</v>
      </c>
      <c r="E193" s="138" t="str">
        <f>Commodities!$AA$40</f>
        <v>RSD_APA1_CK</v>
      </c>
      <c r="F193" s="144">
        <v>20</v>
      </c>
      <c r="R193" s="44"/>
      <c r="S193" s="44"/>
      <c r="U193" s="44"/>
      <c r="V193" s="44"/>
    </row>
    <row r="194" spans="2:22">
      <c r="B194" s="51" t="str">
        <f t="shared" si="32"/>
        <v>RSD_APA1_CK_BIC_E01</v>
      </c>
      <c r="C194" s="51" t="str">
        <f t="shared" si="33"/>
        <v>Apartment A1 Cook BituminousCoal  (E)|</v>
      </c>
      <c r="E194" s="138" t="str">
        <f>Commodities!$AA$40</f>
        <v>RSD_APA1_CK</v>
      </c>
      <c r="F194" s="144">
        <v>20</v>
      </c>
      <c r="R194" s="44"/>
      <c r="S194" s="44"/>
      <c r="U194" s="44"/>
      <c r="V194" s="44"/>
    </row>
    <row r="195" spans="2:22">
      <c r="B195" s="51" t="str">
        <f t="shared" si="32"/>
        <v>RSD_APA1_CK_LPG_E01</v>
      </c>
      <c r="C195" s="51" t="str">
        <f t="shared" si="33"/>
        <v>Apartment A1 Cook LPG  (E)|</v>
      </c>
      <c r="D195" s="41"/>
      <c r="E195" s="138" t="str">
        <f>Commodities!$AA$40</f>
        <v>RSD_APA1_CK</v>
      </c>
      <c r="F195" s="189">
        <v>20</v>
      </c>
      <c r="R195" s="44"/>
      <c r="S195" s="44"/>
      <c r="U195" s="44"/>
      <c r="V195" s="44"/>
    </row>
    <row r="196" spans="2:22">
      <c r="B196" s="51" t="str">
        <f t="shared" si="32"/>
        <v>RSD_APA1_CK_GAS_E01</v>
      </c>
      <c r="C196" s="51" t="str">
        <f t="shared" si="33"/>
        <v>Apartment A1 Cook Gas  (E)|</v>
      </c>
      <c r="E196" s="138" t="str">
        <f>Commodities!$AA$40</f>
        <v>RSD_APA1_CK</v>
      </c>
      <c r="F196" s="144">
        <v>20</v>
      </c>
      <c r="R196" s="44"/>
      <c r="S196" s="44"/>
      <c r="U196" s="44"/>
      <c r="V196" s="44"/>
    </row>
    <row r="197" spans="2:22">
      <c r="B197" s="152" t="str">
        <f t="shared" si="32"/>
        <v>RSD_APA1_CK_ELC_E01</v>
      </c>
      <c r="C197" s="152" t="str">
        <f t="shared" si="33"/>
        <v>Apartment A1 Cook Electric  (E)|</v>
      </c>
      <c r="D197" s="152"/>
      <c r="E197" s="153" t="str">
        <f>Commodities!$AA$40</f>
        <v>RSD_APA1_CK</v>
      </c>
      <c r="F197" s="154">
        <v>20</v>
      </c>
      <c r="R197" s="44"/>
      <c r="S197" s="44"/>
      <c r="U197" s="44"/>
      <c r="V197" s="44"/>
    </row>
    <row r="198" spans="2:22" hidden="1">
      <c r="B198" s="41" t="s">
        <v>147</v>
      </c>
      <c r="C198" s="51" t="str">
        <f t="shared" si="33"/>
        <v>Detached A2 Cook Gas  (E)|</v>
      </c>
      <c r="E198" s="138" t="str">
        <f>Commodities!$AA$41</f>
        <v>RSD_DTA2_CK</v>
      </c>
      <c r="F198" s="144">
        <v>20</v>
      </c>
      <c r="R198" s="44"/>
      <c r="S198" s="44"/>
      <c r="U198" s="44"/>
      <c r="V198" s="44"/>
    </row>
    <row r="199" spans="2:22" hidden="1">
      <c r="B199" s="41" t="s">
        <v>147</v>
      </c>
      <c r="C199" s="51" t="str">
        <f t="shared" si="33"/>
        <v>Detached A2 Cook BituminousCoal  (E)|</v>
      </c>
      <c r="E199" s="138" t="str">
        <f>Commodities!$AA$41</f>
        <v>RSD_DTA2_CK</v>
      </c>
      <c r="F199" s="144">
        <v>20</v>
      </c>
      <c r="R199" s="44"/>
      <c r="S199" s="44"/>
      <c r="U199" s="44"/>
      <c r="V199" s="44"/>
    </row>
    <row r="200" spans="2:22" hidden="1">
      <c r="B200" s="41" t="s">
        <v>147</v>
      </c>
      <c r="C200" s="51" t="str">
        <f t="shared" si="33"/>
        <v>Detached A2 Cook LPG  (E)|</v>
      </c>
      <c r="D200" s="41"/>
      <c r="E200" s="138" t="str">
        <f>Commodities!$AA$41</f>
        <v>RSD_DTA2_CK</v>
      </c>
      <c r="F200" s="144">
        <v>20</v>
      </c>
      <c r="R200" s="44"/>
      <c r="S200" s="44"/>
      <c r="U200" s="44"/>
      <c r="V200" s="44"/>
    </row>
    <row r="201" spans="2:22" hidden="1">
      <c r="B201" s="41" t="s">
        <v>147</v>
      </c>
      <c r="C201" s="51" t="str">
        <f t="shared" si="33"/>
        <v>Detached A2 Cook Wood (E)|</v>
      </c>
      <c r="E201" s="138" t="str">
        <f>Commodities!$AA$41</f>
        <v>RSD_DTA2_CK</v>
      </c>
      <c r="F201" s="189">
        <v>20</v>
      </c>
      <c r="R201" s="44"/>
      <c r="S201" s="44"/>
      <c r="U201" s="44"/>
      <c r="V201" s="44"/>
    </row>
    <row r="202" spans="2:22" hidden="1">
      <c r="B202" s="41" t="s">
        <v>147</v>
      </c>
      <c r="C202" s="152" t="str">
        <f t="shared" si="33"/>
        <v>Detached A2 Cook Electric  (E)|</v>
      </c>
      <c r="D202" s="152"/>
      <c r="E202" s="153" t="str">
        <f>Commodities!$AA$41</f>
        <v>RSD_DTA2_CK</v>
      </c>
      <c r="F202" s="154">
        <v>20</v>
      </c>
    </row>
    <row r="203" spans="2:22" hidden="1">
      <c r="B203" s="41" t="s">
        <v>147</v>
      </c>
      <c r="C203" s="51" t="str">
        <f t="shared" si="33"/>
        <v>Apartment A2 Cook Gas  (E)|</v>
      </c>
      <c r="E203" s="138" t="str">
        <f>Commodities!$AA$42</f>
        <v>RSD_APA2_CK</v>
      </c>
      <c r="F203" s="144">
        <v>20</v>
      </c>
    </row>
    <row r="204" spans="2:22" hidden="1">
      <c r="B204" s="41" t="s">
        <v>147</v>
      </c>
      <c r="C204" s="51" t="str">
        <f t="shared" si="33"/>
        <v>Apartment A2 Cook BituminousCoal  (E)|</v>
      </c>
      <c r="E204" s="138" t="str">
        <f>Commodities!$AA$42</f>
        <v>RSD_APA2_CK</v>
      </c>
      <c r="F204" s="144">
        <v>20</v>
      </c>
    </row>
    <row r="205" spans="2:22" hidden="1">
      <c r="B205" s="41" t="s">
        <v>147</v>
      </c>
      <c r="C205" s="51" t="str">
        <f t="shared" si="33"/>
        <v>Apartment A2 Cook LPG  (E)|</v>
      </c>
      <c r="D205" s="41"/>
      <c r="E205" s="138" t="str">
        <f>Commodities!$AA$42</f>
        <v>RSD_APA2_CK</v>
      </c>
      <c r="F205" s="144">
        <v>20</v>
      </c>
    </row>
    <row r="206" spans="2:22" hidden="1">
      <c r="B206" s="41" t="s">
        <v>147</v>
      </c>
      <c r="C206" s="51" t="str">
        <f t="shared" si="33"/>
        <v>Apartment A2 Cook Wood  (E)|</v>
      </c>
      <c r="E206" s="138" t="str">
        <f>Commodities!$AA$42</f>
        <v>RSD_APA2_CK</v>
      </c>
      <c r="F206" s="189">
        <v>20</v>
      </c>
    </row>
    <row r="207" spans="2:22" hidden="1">
      <c r="B207" s="41" t="s">
        <v>147</v>
      </c>
      <c r="C207" s="152" t="str">
        <f t="shared" si="33"/>
        <v>Apartment A2 Cook Electric  (E)|</v>
      </c>
      <c r="D207" s="152"/>
      <c r="E207" s="153" t="str">
        <f>Commodities!$AA$42</f>
        <v>RSD_APA2_CK</v>
      </c>
      <c r="F207" s="154">
        <v>20</v>
      </c>
    </row>
    <row r="208" spans="2:22" ht="15" hidden="1" customHeight="1">
      <c r="B208" s="41" t="s">
        <v>147</v>
      </c>
      <c r="C208" s="51" t="str">
        <f t="shared" si="33"/>
        <v>Detached A3 Cook Gas  (E)|</v>
      </c>
      <c r="E208" s="138" t="str">
        <f>Commodities!$AA$43</f>
        <v>RSD_DTA3_CK</v>
      </c>
      <c r="F208" s="144">
        <v>20</v>
      </c>
    </row>
    <row r="209" spans="2:6" ht="15" hidden="1" customHeight="1">
      <c r="B209" s="41" t="s">
        <v>147</v>
      </c>
      <c r="C209" s="51" t="str">
        <f t="shared" si="33"/>
        <v>Detached A3 Cook ButuminousCoal (E)|</v>
      </c>
      <c r="E209" s="138" t="str">
        <f>Commodities!$AA$43</f>
        <v>RSD_DTA3_CK</v>
      </c>
      <c r="F209" s="144">
        <v>20</v>
      </c>
    </row>
    <row r="210" spans="2:6" hidden="1">
      <c r="B210" s="41" t="s">
        <v>147</v>
      </c>
      <c r="C210" s="51" t="str">
        <f t="shared" si="33"/>
        <v>Detached A3 Cook LPG (E)|</v>
      </c>
      <c r="D210" s="41"/>
      <c r="E210" s="138" t="str">
        <f>Commodities!$AA$43</f>
        <v>RSD_DTA3_CK</v>
      </c>
      <c r="F210" s="144">
        <v>20</v>
      </c>
    </row>
    <row r="211" spans="2:6" hidden="1">
      <c r="B211" s="41" t="s">
        <v>147</v>
      </c>
      <c r="C211" s="51" t="str">
        <f t="shared" si="33"/>
        <v>Detached A3 Cook  Wood (E)|</v>
      </c>
      <c r="E211" s="138" t="str">
        <f>Commodities!$AA$43</f>
        <v>RSD_DTA3_CK</v>
      </c>
      <c r="F211" s="189">
        <v>20</v>
      </c>
    </row>
    <row r="212" spans="2:6" hidden="1">
      <c r="B212" s="41" t="s">
        <v>147</v>
      </c>
      <c r="C212" s="152" t="str">
        <f t="shared" si="33"/>
        <v>Detached A3 Cook Electric  (E)|</v>
      </c>
      <c r="D212" s="152"/>
      <c r="E212" s="153" t="str">
        <f>Commodities!$AA$43</f>
        <v>RSD_DTA3_CK</v>
      </c>
      <c r="F212" s="154">
        <v>20</v>
      </c>
    </row>
    <row r="213" spans="2:6" hidden="1">
      <c r="B213" s="41" t="s">
        <v>147</v>
      </c>
      <c r="C213" s="51" t="str">
        <f t="shared" si="33"/>
        <v>Apartment A3 Cook Gas(E)|</v>
      </c>
      <c r="E213" s="138" t="str">
        <f>Commodities!$AA$44</f>
        <v>RSD_APA3_CK</v>
      </c>
      <c r="F213" s="144">
        <v>20</v>
      </c>
    </row>
    <row r="214" spans="2:6" hidden="1">
      <c r="B214" s="41" t="s">
        <v>147</v>
      </c>
      <c r="C214" s="51" t="str">
        <f t="shared" si="33"/>
        <v>Apartment A3 Cook BituminouCoal  (E)|</v>
      </c>
      <c r="E214" s="138" t="str">
        <f>Commodities!$AA$44</f>
        <v>RSD_APA3_CK</v>
      </c>
      <c r="F214" s="144">
        <v>20</v>
      </c>
    </row>
    <row r="215" spans="2:6" hidden="1">
      <c r="B215" s="41" t="s">
        <v>147</v>
      </c>
      <c r="C215" s="51" t="str">
        <f t="shared" si="33"/>
        <v>Apartment A3 Cook LPG  (E)|</v>
      </c>
      <c r="D215" s="41"/>
      <c r="E215" s="138" t="str">
        <f>Commodities!$AA$44</f>
        <v>RSD_APA3_CK</v>
      </c>
      <c r="F215" s="144">
        <v>20</v>
      </c>
    </row>
    <row r="216" spans="2:6" hidden="1">
      <c r="B216" s="41" t="s">
        <v>147</v>
      </c>
      <c r="C216" s="51" t="str">
        <f t="shared" si="33"/>
        <v>Apartment A3 Cook Wood  (E)|</v>
      </c>
      <c r="E216" s="138" t="str">
        <f>Commodities!$AA$44</f>
        <v>RSD_APA3_CK</v>
      </c>
      <c r="F216" s="189">
        <v>20</v>
      </c>
    </row>
    <row r="217" spans="2:6" hidden="1">
      <c r="B217" s="41" t="s">
        <v>147</v>
      </c>
      <c r="C217" s="152" t="str">
        <f t="shared" si="33"/>
        <v>Apartment A3 Cook Electric  (E)|</v>
      </c>
      <c r="D217" s="152"/>
      <c r="E217" s="153" t="str">
        <f>Commodities!$AA$44</f>
        <v>RSD_APA3_CK</v>
      </c>
      <c r="F217" s="154">
        <v>20</v>
      </c>
    </row>
    <row r="218" spans="2:6" hidden="1">
      <c r="B218" s="41" t="s">
        <v>147</v>
      </c>
      <c r="C218" s="51" t="str">
        <f t="shared" si="33"/>
        <v>Detached A4 Cook Gas  (E)|</v>
      </c>
      <c r="E218" s="138" t="str">
        <f>Commodities!$AA$45</f>
        <v>RSD_DTA4_CK</v>
      </c>
      <c r="F218" s="144">
        <v>20</v>
      </c>
    </row>
    <row r="219" spans="2:6" hidden="1">
      <c r="B219" s="41" t="s">
        <v>147</v>
      </c>
      <c r="C219" s="51" t="str">
        <f t="shared" si="33"/>
        <v>Detached A4 Cook BituminousCoal (E)|</v>
      </c>
      <c r="E219" s="138" t="str">
        <f>Commodities!$AA$45</f>
        <v>RSD_DTA4_CK</v>
      </c>
      <c r="F219" s="144">
        <v>20</v>
      </c>
    </row>
    <row r="220" spans="2:6" hidden="1">
      <c r="B220" s="41" t="s">
        <v>147</v>
      </c>
      <c r="C220" s="51" t="str">
        <f t="shared" si="33"/>
        <v>Detached A4 Cook LPG (E)|</v>
      </c>
      <c r="D220" s="41"/>
      <c r="E220" s="138" t="str">
        <f>Commodities!$AA$45</f>
        <v>RSD_DTA4_CK</v>
      </c>
      <c r="F220" s="144">
        <v>20</v>
      </c>
    </row>
    <row r="221" spans="2:6" hidden="1">
      <c r="B221" s="41" t="s">
        <v>147</v>
      </c>
      <c r="C221" s="51" t="str">
        <f t="shared" si="33"/>
        <v>Detached A4 Cook  Wood (E)|</v>
      </c>
      <c r="E221" s="138" t="str">
        <f>Commodities!$AA$45</f>
        <v>RSD_DTA4_CK</v>
      </c>
      <c r="F221" s="189">
        <v>20</v>
      </c>
    </row>
    <row r="222" spans="2:6" hidden="1">
      <c r="B222" s="41" t="s">
        <v>147</v>
      </c>
      <c r="C222" s="152" t="str">
        <f t="shared" si="33"/>
        <v>Detached A4 Cook Electric  (E)|</v>
      </c>
      <c r="D222" s="152"/>
      <c r="E222" s="153" t="str">
        <f>Commodities!$AA$45</f>
        <v>RSD_DTA4_CK</v>
      </c>
      <c r="F222" s="154">
        <v>20</v>
      </c>
    </row>
    <row r="223" spans="2:6" hidden="1">
      <c r="B223" s="41" t="s">
        <v>147</v>
      </c>
      <c r="C223" s="51" t="str">
        <f t="shared" si="33"/>
        <v>Apartment A4 Cook Gas(E)|</v>
      </c>
      <c r="E223" s="138" t="str">
        <f>Commodities!$AA$46</f>
        <v>RSD_APA4_CK</v>
      </c>
      <c r="F223" s="144">
        <v>20</v>
      </c>
    </row>
    <row r="224" spans="2:6" hidden="1">
      <c r="B224" s="41" t="s">
        <v>147</v>
      </c>
      <c r="C224" s="51" t="str">
        <f t="shared" si="33"/>
        <v>Apartment A4 Cook BituminousCoal  (E)|</v>
      </c>
      <c r="E224" s="138" t="str">
        <f>Commodities!$AA$46</f>
        <v>RSD_APA4_CK</v>
      </c>
      <c r="F224" s="144">
        <v>20</v>
      </c>
    </row>
    <row r="225" spans="2:6" hidden="1">
      <c r="B225" s="41" t="s">
        <v>147</v>
      </c>
      <c r="C225" s="51" t="str">
        <f t="shared" ref="C225:C227" si="34">Q44</f>
        <v>Apartment A4 Cook LPG  (E)|</v>
      </c>
      <c r="D225" s="41"/>
      <c r="E225" s="138" t="str">
        <f>Commodities!$AA$46</f>
        <v>RSD_APA4_CK</v>
      </c>
      <c r="F225" s="144">
        <v>20</v>
      </c>
    </row>
    <row r="226" spans="2:6" hidden="1">
      <c r="B226" s="41" t="s">
        <v>147</v>
      </c>
      <c r="C226" s="51" t="str">
        <f t="shared" si="34"/>
        <v>Apartment A4 Cook Wood  (E)|</v>
      </c>
      <c r="E226" s="138" t="str">
        <f>Commodities!$AA$46</f>
        <v>RSD_APA4_CK</v>
      </c>
      <c r="F226" s="189">
        <v>20</v>
      </c>
    </row>
    <row r="227" spans="2:6" hidden="1">
      <c r="B227" s="41" t="s">
        <v>147</v>
      </c>
      <c r="C227" s="152" t="str">
        <f t="shared" si="34"/>
        <v>Apartment A4 Cook Electric  (E)|</v>
      </c>
      <c r="D227" s="152"/>
      <c r="E227" s="153" t="str">
        <f>Commodities!$AA$46</f>
        <v>RSD_APA4_CK</v>
      </c>
      <c r="F227" s="154">
        <v>20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X186"/>
  <sheetViews>
    <sheetView zoomScale="70" zoomScaleNormal="70" workbookViewId="0">
      <selection sqref="A1:XFD1048576"/>
    </sheetView>
  </sheetViews>
  <sheetFormatPr defaultColWidth="9.33203125" defaultRowHeight="13.2"/>
  <cols>
    <col min="1" max="1" width="6.44140625" style="51" customWidth="1"/>
    <col min="2" max="2" width="23.44140625" style="51" bestFit="1" customWidth="1"/>
    <col min="3" max="3" width="52" style="51" customWidth="1"/>
    <col min="4" max="4" width="17.109375" style="51" bestFit="1" customWidth="1"/>
    <col min="5" max="5" width="25.44140625" style="51" bestFit="1" customWidth="1"/>
    <col min="6" max="6" width="12.88671875" style="51" bestFit="1" customWidth="1"/>
    <col min="7" max="7" width="9.33203125" style="51" customWidth="1"/>
    <col min="8" max="8" width="31.33203125" style="51" customWidth="1"/>
    <col min="9" max="9" width="37" style="51" customWidth="1"/>
    <col min="10" max="10" width="29" style="51" bestFit="1" customWidth="1"/>
    <col min="11" max="11" width="9.44140625" style="51" customWidth="1"/>
    <col min="12" max="12" width="27.88671875" style="51" customWidth="1"/>
    <col min="13" max="13" width="32" style="51" customWidth="1"/>
    <col min="14" max="14" width="40.6640625" style="51" customWidth="1"/>
    <col min="15" max="15" width="20.109375" style="51" customWidth="1"/>
    <col min="16" max="16" width="15.88671875" style="51" customWidth="1"/>
    <col min="17" max="17" width="17.6640625" style="51" bestFit="1" customWidth="1"/>
    <col min="18" max="18" width="17.33203125" style="51" customWidth="1"/>
    <col min="19" max="19" width="18.88671875" style="51" bestFit="1" customWidth="1"/>
    <col min="20" max="20" width="18.88671875" style="51" customWidth="1"/>
    <col min="21" max="21" width="14" style="51" bestFit="1" customWidth="1"/>
    <col min="22" max="22" width="33.88671875" style="51" bestFit="1" customWidth="1"/>
    <col min="23" max="23" width="26.44140625" style="51" bestFit="1" customWidth="1"/>
    <col min="24" max="24" width="17.44140625" style="51" bestFit="1" customWidth="1"/>
    <col min="25" max="25" width="62" style="51" bestFit="1" customWidth="1"/>
    <col min="26" max="26" width="24.33203125" style="51" bestFit="1" customWidth="1"/>
    <col min="27" max="16384" width="9.33203125" style="51"/>
  </cols>
  <sheetData>
    <row r="1" spans="1:19" ht="17.399999999999999">
      <c r="A1" s="36" t="s">
        <v>380</v>
      </c>
      <c r="B1" s="36"/>
      <c r="C1" s="36"/>
      <c r="D1" s="36"/>
      <c r="E1" s="36"/>
      <c r="F1" s="36"/>
      <c r="M1" s="5"/>
      <c r="N1" s="5"/>
      <c r="O1" s="85"/>
      <c r="P1" s="85"/>
      <c r="Q1" s="85"/>
      <c r="R1" s="85"/>
      <c r="S1" s="85"/>
    </row>
    <row r="2" spans="1:19" ht="13.8">
      <c r="A2" s="86"/>
      <c r="F2" s="32">
        <v>3</v>
      </c>
      <c r="L2" s="5" t="s">
        <v>145</v>
      </c>
      <c r="M2" s="5"/>
      <c r="N2" s="5"/>
      <c r="O2" s="85"/>
      <c r="P2" s="85"/>
      <c r="Q2" s="85"/>
      <c r="R2" s="85"/>
      <c r="S2" s="85"/>
    </row>
    <row r="3" spans="1:19" ht="13.8">
      <c r="E3" s="86" t="s">
        <v>350</v>
      </c>
      <c r="H3" s="119"/>
      <c r="I3" s="119"/>
      <c r="J3" s="119"/>
      <c r="L3" s="87" t="s">
        <v>39</v>
      </c>
      <c r="M3" s="87" t="s">
        <v>317</v>
      </c>
      <c r="N3" s="87"/>
      <c r="O3" s="120"/>
      <c r="P3" s="120"/>
      <c r="Q3" s="120"/>
      <c r="R3" s="120"/>
      <c r="S3" s="120"/>
    </row>
    <row r="4" spans="1:19" ht="13.8">
      <c r="B4" s="88" t="s">
        <v>1</v>
      </c>
      <c r="C4" s="89" t="s">
        <v>42</v>
      </c>
      <c r="D4" s="88" t="s">
        <v>7</v>
      </c>
      <c r="E4" s="89" t="s">
        <v>8</v>
      </c>
      <c r="F4" s="121" t="s">
        <v>999</v>
      </c>
      <c r="H4" s="31" t="s">
        <v>361</v>
      </c>
      <c r="I4" s="31" t="s">
        <v>362</v>
      </c>
      <c r="J4" s="122" t="s">
        <v>358</v>
      </c>
      <c r="L4" s="106" t="s">
        <v>19</v>
      </c>
      <c r="M4" s="87"/>
      <c r="N4" s="87"/>
      <c r="O4" s="120"/>
      <c r="P4" s="120"/>
      <c r="Q4" s="120"/>
      <c r="R4" s="120"/>
      <c r="S4" s="120"/>
    </row>
    <row r="5" spans="1:19" ht="14.4" thickBot="1">
      <c r="B5" s="92" t="s">
        <v>356</v>
      </c>
      <c r="C5" s="123" t="s">
        <v>26</v>
      </c>
      <c r="D5" s="124" t="s">
        <v>36</v>
      </c>
      <c r="E5" s="123" t="s">
        <v>37</v>
      </c>
      <c r="F5" s="92"/>
      <c r="H5" s="121" t="s">
        <v>999</v>
      </c>
      <c r="I5" s="121" t="s">
        <v>999</v>
      </c>
      <c r="J5" s="125"/>
      <c r="L5" s="91" t="s">
        <v>13</v>
      </c>
      <c r="M5" s="91" t="s">
        <v>1</v>
      </c>
      <c r="N5" s="91" t="s">
        <v>2</v>
      </c>
      <c r="O5" s="126" t="s">
        <v>20</v>
      </c>
      <c r="P5" s="126" t="s">
        <v>21</v>
      </c>
      <c r="Q5" s="126" t="s">
        <v>22</v>
      </c>
      <c r="R5" s="126" t="s">
        <v>23</v>
      </c>
      <c r="S5" s="126" t="s">
        <v>24</v>
      </c>
    </row>
    <row r="6" spans="1:19" s="134" customFormat="1" ht="28.5" customHeight="1" thickBot="1">
      <c r="B6" s="127" t="s">
        <v>269</v>
      </c>
      <c r="C6" s="128"/>
      <c r="D6" s="127"/>
      <c r="E6" s="129"/>
      <c r="F6" s="130" t="str">
        <f>General!$D$18</f>
        <v>000s_Units</v>
      </c>
      <c r="H6" s="130" t="str">
        <f>General!$B$2</f>
        <v>PJ</v>
      </c>
      <c r="I6" s="130" t="str">
        <f>General!$B$2</f>
        <v>PJ</v>
      </c>
      <c r="J6" s="146"/>
      <c r="L6" s="131" t="s">
        <v>44</v>
      </c>
      <c r="M6" s="131" t="s">
        <v>25</v>
      </c>
      <c r="N6" s="131" t="s">
        <v>26</v>
      </c>
      <c r="O6" s="110" t="s">
        <v>27</v>
      </c>
      <c r="P6" s="110" t="s">
        <v>28</v>
      </c>
      <c r="Q6" s="110" t="s">
        <v>48</v>
      </c>
      <c r="R6" s="110" t="s">
        <v>47</v>
      </c>
      <c r="S6" s="110" t="s">
        <v>29</v>
      </c>
    </row>
    <row r="7" spans="1:19" ht="13.8">
      <c r="B7" s="51" t="str">
        <f t="shared" ref="B7:B14" si="0">M7</f>
        <v>RSD_DTA1_LI_E01</v>
      </c>
      <c r="C7" s="51" t="str">
        <f t="shared" ref="C7:C38" si="1">N7</f>
        <v>Detached A1 Light Standard  (E)</v>
      </c>
      <c r="D7" s="51" t="str">
        <f>Commodities!$D$48</f>
        <v>RSDELC</v>
      </c>
      <c r="E7" s="135" t="str">
        <f>Commodities!$AA$47</f>
        <v>RSD_DTA1_LI</v>
      </c>
      <c r="F7" s="144">
        <f>VLOOKUP(LEFT($B7,8),RSD_Stock!$H$21:$L$28,F$2,FALSE)*VLOOKUP($B7,RSD_Demands!$H$150:$J$181,F$2,FALSE)*RSD_Demands!$F$46</f>
        <v>1583.3564999999999</v>
      </c>
      <c r="H7" s="150">
        <f>SUMPRODUCT(F7:F10,F44:F47)</f>
        <v>1.3261709933999999</v>
      </c>
      <c r="I7" s="150">
        <f>VLOOKUP(LEFT($B7,11),RSD_En_Balance!$C$109:$R$190,MATCH($D7,RSD_En_Balance!$D$109:$R$109,0)+1,FALSE)</f>
        <v>1.3261709933999999</v>
      </c>
      <c r="J7" s="151">
        <f>SUM(H7:H7)-SUM(I7:I7)</f>
        <v>0</v>
      </c>
      <c r="L7" s="5" t="s">
        <v>270</v>
      </c>
      <c r="M7" s="5" t="str">
        <f>Commodities!$AA$47&amp;"_"&amp;$M$3&amp;"01"</f>
        <v>RSD_DTA1_LI_E01</v>
      </c>
      <c r="N7" s="5" t="s">
        <v>706</v>
      </c>
      <c r="O7" s="85" t="str">
        <f>General!$D$18</f>
        <v>000s_Units</v>
      </c>
      <c r="P7" s="85" t="str">
        <f>General!$D$18</f>
        <v>000s_Units</v>
      </c>
      <c r="Q7" s="85" t="s">
        <v>125</v>
      </c>
      <c r="R7" s="85"/>
      <c r="S7" s="85"/>
    </row>
    <row r="8" spans="1:19" ht="13.8">
      <c r="B8" s="51" t="str">
        <f t="shared" si="0"/>
        <v>RSD_DTA1_LI_E02</v>
      </c>
      <c r="C8" s="51" t="str">
        <f t="shared" si="1"/>
        <v>Detached A1 Light Fluorescent  (E)</v>
      </c>
      <c r="D8" s="51" t="str">
        <f>Commodities!$D$48</f>
        <v>RSDELC</v>
      </c>
      <c r="E8" s="138" t="str">
        <f>Commodities!$AA$47</f>
        <v>RSD_DTA1_LI</v>
      </c>
      <c r="F8" s="144">
        <f>VLOOKUP(LEFT($B8,8),RSD_Stock!$H$21:$L$28,F$2,FALSE)*VLOOKUP($B8,RSD_Demands!$H$150:$J$181,F$2,FALSE)*RSD_Demands!$F$46</f>
        <v>633.34259999999995</v>
      </c>
      <c r="H8" s="150"/>
      <c r="I8" s="150"/>
      <c r="J8" s="151"/>
      <c r="L8" s="8"/>
      <c r="M8" s="5" t="str">
        <f>Commodities!$AA$47&amp;"_"&amp;$M$3&amp;"02"</f>
        <v>RSD_DTA1_LI_E02</v>
      </c>
      <c r="N8" s="5" t="s">
        <v>707</v>
      </c>
      <c r="O8" s="85" t="str">
        <f>General!$D$18</f>
        <v>000s_Units</v>
      </c>
      <c r="P8" s="85" t="str">
        <f>General!$D$18</f>
        <v>000s_Units</v>
      </c>
      <c r="Q8" s="85" t="s">
        <v>125</v>
      </c>
      <c r="R8" s="11"/>
      <c r="S8" s="11"/>
    </row>
    <row r="9" spans="1:19" ht="13.8">
      <c r="B9" s="51" t="str">
        <f t="shared" si="0"/>
        <v>RSD_DTA1_LI_E03</v>
      </c>
      <c r="C9" s="51" t="str">
        <f t="shared" si="1"/>
        <v>Detached A1 Light LED  (E)</v>
      </c>
      <c r="D9" s="51" t="str">
        <f>Commodities!$D$48</f>
        <v>RSDELC</v>
      </c>
      <c r="E9" s="138" t="str">
        <f>Commodities!$AA$47</f>
        <v>RSD_DTA1_LI</v>
      </c>
      <c r="F9" s="144">
        <f>VLOOKUP(LEFT($B9,8),RSD_Stock!$H$21:$L$28,F$2,FALSE)*VLOOKUP($B9,RSD_Demands!$H$150:$J$181,F$2,FALSE)*RSD_Demands!$F$46</f>
        <v>0</v>
      </c>
      <c r="H9" s="150"/>
      <c r="I9" s="150"/>
      <c r="J9" s="151"/>
      <c r="L9" s="8"/>
      <c r="M9" s="5" t="str">
        <f>Commodities!$AA$47&amp;"_"&amp;$M$3&amp;"03"</f>
        <v>RSD_DTA1_LI_E03</v>
      </c>
      <c r="N9" s="5" t="s">
        <v>708</v>
      </c>
      <c r="O9" s="85" t="str">
        <f>General!$D$18</f>
        <v>000s_Units</v>
      </c>
      <c r="P9" s="85" t="str">
        <f>General!$D$18</f>
        <v>000s_Units</v>
      </c>
      <c r="Q9" s="85" t="s">
        <v>125</v>
      </c>
      <c r="R9" s="11"/>
      <c r="S9" s="11"/>
    </row>
    <row r="10" spans="1:19" ht="13.8">
      <c r="B10" s="152" t="str">
        <f t="shared" si="0"/>
        <v>RSD_DTA1_LI_E04</v>
      </c>
      <c r="C10" s="152" t="str">
        <f t="shared" si="1"/>
        <v>Detached A1 Light Halogen  (E)</v>
      </c>
      <c r="D10" s="152" t="str">
        <f>Commodities!$D$48</f>
        <v>RSDELC</v>
      </c>
      <c r="E10" s="153" t="str">
        <f>Commodities!$AA$47</f>
        <v>RSD_DTA1_LI</v>
      </c>
      <c r="F10" s="154">
        <f>VLOOKUP(LEFT($B10,8),RSD_Stock!$H$21:$L$28,F$2,FALSE)*VLOOKUP($B10,RSD_Demands!$H$150:$J$181,F$2,FALSE)*RSD_Demands!$F$46</f>
        <v>950.01389999999992</v>
      </c>
      <c r="H10" s="155"/>
      <c r="I10" s="155"/>
      <c r="J10" s="156"/>
      <c r="L10" s="100"/>
      <c r="M10" s="100" t="str">
        <f>Commodities!$AA$47&amp;"_"&amp;$M$3&amp;"04"</f>
        <v>RSD_DTA1_LI_E04</v>
      </c>
      <c r="N10" s="100" t="s">
        <v>709</v>
      </c>
      <c r="O10" s="101" t="str">
        <f>General!$D$18</f>
        <v>000s_Units</v>
      </c>
      <c r="P10" s="101" t="str">
        <f>General!$D$18</f>
        <v>000s_Units</v>
      </c>
      <c r="Q10" s="101" t="s">
        <v>125</v>
      </c>
      <c r="R10" s="101"/>
      <c r="S10" s="101"/>
    </row>
    <row r="11" spans="1:19" ht="13.8">
      <c r="B11" s="41" t="str">
        <f t="shared" si="0"/>
        <v>RSD_APA1_LI_E01</v>
      </c>
      <c r="C11" s="41" t="str">
        <f t="shared" si="1"/>
        <v>Apartment A1  Light Standard  (E)</v>
      </c>
      <c r="D11" s="41" t="str">
        <f>Commodities!$D$48</f>
        <v>RSDELC</v>
      </c>
      <c r="E11" s="157" t="str">
        <f>Commodities!$AA$48</f>
        <v>RSD_APA1_LI</v>
      </c>
      <c r="F11" s="144">
        <f>VLOOKUP(LEFT($B11,8),RSD_Stock!$H$22:$L$28,F$2,FALSE)*VLOOKUP($B11,RSD_Demands!$H$150:$J$181,F$2,FALSE)*RSD_Demands!$F$47</f>
        <v>1615.3435000000002</v>
      </c>
      <c r="H11" s="150">
        <f>SUMPRODUCT(F11:F14,F48:F51)</f>
        <v>1.3529623266000002</v>
      </c>
      <c r="I11" s="150">
        <f>VLOOKUP(LEFT($B11,11),RSD_En_Balance!$C$109:$R$190,MATCH($D11,RSD_En_Balance!$D$109:$R$109,0)+1,FALSE)</f>
        <v>1.3529623266000002</v>
      </c>
      <c r="J11" s="151">
        <f>SUM(H11:H11)-SUM(I11:I11)</f>
        <v>0</v>
      </c>
      <c r="L11" s="5"/>
      <c r="M11" s="5" t="str">
        <f>Commodities!$AA$48&amp;"_"&amp;$M$3&amp;"01"</f>
        <v>RSD_APA1_LI_E01</v>
      </c>
      <c r="N11" s="5" t="s">
        <v>762</v>
      </c>
      <c r="O11" s="85" t="str">
        <f>General!$D$18</f>
        <v>000s_Units</v>
      </c>
      <c r="P11" s="85" t="str">
        <f>General!$D$18</f>
        <v>000s_Units</v>
      </c>
      <c r="Q11" s="85" t="s">
        <v>125</v>
      </c>
      <c r="R11" s="85"/>
      <c r="S11" s="85"/>
    </row>
    <row r="12" spans="1:19" ht="13.8">
      <c r="B12" s="41" t="str">
        <f t="shared" si="0"/>
        <v>RSD_APA1_LI_E02</v>
      </c>
      <c r="C12" s="41" t="str">
        <f t="shared" si="1"/>
        <v>Apartment A1  Light Fluorescent  (E)</v>
      </c>
      <c r="D12" s="41" t="str">
        <f>Commodities!$D$48</f>
        <v>RSDELC</v>
      </c>
      <c r="E12" s="138" t="str">
        <f>Commodities!$AA$48</f>
        <v>RSD_APA1_LI</v>
      </c>
      <c r="F12" s="144">
        <f>VLOOKUP(LEFT($B12,8),RSD_Stock!$H$22:$L$28,F$2,FALSE)*VLOOKUP($B12,RSD_Demands!$H$150:$J$181,F$2,FALSE)*RSD_Demands!$F$47</f>
        <v>646.13740000000007</v>
      </c>
      <c r="G12" s="41"/>
      <c r="H12" s="150"/>
      <c r="I12" s="150"/>
      <c r="J12" s="151"/>
      <c r="L12" s="8"/>
      <c r="M12" s="5" t="str">
        <f>Commodities!$AA$48&amp;"_"&amp;$M$3&amp;"02"</f>
        <v>RSD_APA1_LI_E02</v>
      </c>
      <c r="N12" s="5" t="s">
        <v>763</v>
      </c>
      <c r="O12" s="85" t="str">
        <f>General!$D$18</f>
        <v>000s_Units</v>
      </c>
      <c r="P12" s="85" t="str">
        <f>General!$D$18</f>
        <v>000s_Units</v>
      </c>
      <c r="Q12" s="85" t="s">
        <v>125</v>
      </c>
      <c r="R12" s="11"/>
      <c r="S12" s="11"/>
    </row>
    <row r="13" spans="1:19" ht="13.8">
      <c r="B13" s="41" t="str">
        <f t="shared" si="0"/>
        <v>RSD_APA1_LI_E03</v>
      </c>
      <c r="C13" s="41" t="str">
        <f t="shared" si="1"/>
        <v>Apartment A1  Light LED  (E)</v>
      </c>
      <c r="D13" s="41" t="str">
        <f>Commodities!$D$48</f>
        <v>RSDELC</v>
      </c>
      <c r="E13" s="138" t="str">
        <f>Commodities!$AA$48</f>
        <v>RSD_APA1_LI</v>
      </c>
      <c r="F13" s="144">
        <f>VLOOKUP(LEFT($B13,8),RSD_Stock!$H$22:$L$28,F$2,FALSE)*VLOOKUP($B13,RSD_Demands!$H$150:$J$181,F$2,FALSE)*RSD_Demands!$F$47</f>
        <v>0</v>
      </c>
      <c r="G13" s="41"/>
      <c r="H13" s="150"/>
      <c r="I13" s="150"/>
      <c r="J13" s="151"/>
      <c r="L13" s="8"/>
      <c r="M13" s="5" t="str">
        <f>Commodities!$AA$48&amp;"_"&amp;$M$3&amp;"03"</f>
        <v>RSD_APA1_LI_E03</v>
      </c>
      <c r="N13" s="5" t="s">
        <v>764</v>
      </c>
      <c r="O13" s="85" t="str">
        <f>General!$D$18</f>
        <v>000s_Units</v>
      </c>
      <c r="P13" s="85" t="str">
        <f>General!$D$18</f>
        <v>000s_Units</v>
      </c>
      <c r="Q13" s="85" t="s">
        <v>125</v>
      </c>
      <c r="R13" s="11"/>
      <c r="S13" s="11"/>
    </row>
    <row r="14" spans="1:19" ht="13.8">
      <c r="B14" s="152" t="str">
        <f t="shared" si="0"/>
        <v>RSD_APA1_LI_E04</v>
      </c>
      <c r="C14" s="152" t="str">
        <f t="shared" si="1"/>
        <v>Apartment A1  Light Halogen  (E)</v>
      </c>
      <c r="D14" s="152" t="str">
        <f>Commodities!$D$48</f>
        <v>RSDELC</v>
      </c>
      <c r="E14" s="153" t="str">
        <f>Commodities!$AA$48</f>
        <v>RSD_APA1_LI</v>
      </c>
      <c r="F14" s="154">
        <f>VLOOKUP(LEFT($B14,8),RSD_Stock!$H$22:$L$28,F$2,FALSE)*VLOOKUP($B14,RSD_Demands!$H$150:$J$181,F$2,FALSE)*RSD_Demands!$F$47</f>
        <v>969.20610000000011</v>
      </c>
      <c r="G14" s="41"/>
      <c r="H14" s="155"/>
      <c r="I14" s="155"/>
      <c r="J14" s="156"/>
      <c r="L14" s="100"/>
      <c r="M14" s="100" t="str">
        <f>Commodities!$AA$48&amp;"_"&amp;$M$3&amp;"04"</f>
        <v>RSD_APA1_LI_E04</v>
      </c>
      <c r="N14" s="100" t="s">
        <v>765</v>
      </c>
      <c r="O14" s="101" t="str">
        <f>General!$D$18</f>
        <v>000s_Units</v>
      </c>
      <c r="P14" s="101" t="str">
        <f>General!$D$18</f>
        <v>000s_Units</v>
      </c>
      <c r="Q14" s="101" t="s">
        <v>125</v>
      </c>
      <c r="R14" s="101"/>
      <c r="S14" s="101"/>
    </row>
    <row r="15" spans="1:19" ht="13.8" hidden="1">
      <c r="B15" s="41" t="s">
        <v>147</v>
      </c>
      <c r="C15" s="41" t="str">
        <f t="shared" si="1"/>
        <v>Detached A2  Light Standard  (E)</v>
      </c>
      <c r="D15" s="41" t="str">
        <f>Commodities!$D$48</f>
        <v>RSDELC</v>
      </c>
      <c r="E15" s="157" t="str">
        <f>Commodities!$AA$49</f>
        <v>RSD_DTA2_LI</v>
      </c>
      <c r="F15" s="144">
        <f>VLOOKUP(LEFT($B15,8),RSD_Stock!$H$22:$L$28,F$2,FALSE)*VLOOKUP($B15,RSD_Demands!$H$150:$J$181,F$2,FALSE)*RSD_Demands!$F$48</f>
        <v>1615.3435000000002</v>
      </c>
      <c r="G15" s="41"/>
      <c r="H15" s="150">
        <f>SUMPRODUCT(F15:F18,F52:F55)</f>
        <v>9.8234888400000012E-2</v>
      </c>
      <c r="I15" s="150">
        <f>VLOOKUP(LEFT($B15,11),RSD_En_Balance!$C$109:$R$190,MATCH($D15,RSD_En_Balance!$D$109:$R$109,0)+1,FALSE)</f>
        <v>9.8234888399999984E-2</v>
      </c>
      <c r="J15" s="151">
        <f>SUM(H15:H15)-SUM(I15:I15)</f>
        <v>0</v>
      </c>
      <c r="L15" s="8" t="s">
        <v>147</v>
      </c>
      <c r="M15" s="5" t="str">
        <f>Commodities!$AA$49&amp;"_"&amp;$M$3&amp;"01"</f>
        <v>RSD_DTA2_LI_E01</v>
      </c>
      <c r="N15" s="5" t="s">
        <v>710</v>
      </c>
      <c r="O15" s="85" t="str">
        <f>General!$D$18</f>
        <v>000s_Units</v>
      </c>
      <c r="P15" s="85" t="str">
        <f>General!$D$18</f>
        <v>000s_Units</v>
      </c>
      <c r="Q15" s="85" t="s">
        <v>125</v>
      </c>
      <c r="R15" s="11"/>
      <c r="S15" s="11"/>
    </row>
    <row r="16" spans="1:19" ht="13.8" hidden="1">
      <c r="B16" s="41" t="s">
        <v>147</v>
      </c>
      <c r="C16" s="41" t="str">
        <f t="shared" si="1"/>
        <v>Detached A2  Light Fluorescent  (E)</v>
      </c>
      <c r="D16" s="41" t="str">
        <f>Commodities!$D$48</f>
        <v>RSDELC</v>
      </c>
      <c r="E16" s="138" t="str">
        <f>Commodities!$AA$49</f>
        <v>RSD_DTA2_LI</v>
      </c>
      <c r="F16" s="144">
        <f>VLOOKUP(LEFT($B16,8),RSD_Stock!$H$22:$L$28,F$2,FALSE)*VLOOKUP($B16,RSD_Demands!$H$150:$J$181,F$2,FALSE)*RSD_Demands!$F$48</f>
        <v>1615.3435000000002</v>
      </c>
      <c r="G16" s="41"/>
      <c r="H16" s="150"/>
      <c r="I16" s="150"/>
      <c r="J16" s="151"/>
      <c r="L16" s="8" t="s">
        <v>147</v>
      </c>
      <c r="M16" s="5" t="str">
        <f>Commodities!$AA$49&amp;"_"&amp;$M$3&amp;"02"</f>
        <v>RSD_DTA2_LI_E02</v>
      </c>
      <c r="N16" s="5" t="s">
        <v>711</v>
      </c>
      <c r="O16" s="85" t="str">
        <f>General!$D$18</f>
        <v>000s_Units</v>
      </c>
      <c r="P16" s="85" t="str">
        <f>General!$D$18</f>
        <v>000s_Units</v>
      </c>
      <c r="Q16" s="85" t="s">
        <v>125</v>
      </c>
      <c r="R16" s="11"/>
      <c r="S16" s="11"/>
    </row>
    <row r="17" spans="2:24" ht="13.8" hidden="1">
      <c r="B17" s="41" t="s">
        <v>147</v>
      </c>
      <c r="C17" s="41" t="str">
        <f t="shared" si="1"/>
        <v>Detached A2  Light LED  (E)</v>
      </c>
      <c r="D17" s="41" t="str">
        <f>Commodities!$D$48</f>
        <v>RSDELC</v>
      </c>
      <c r="E17" s="138" t="str">
        <f>Commodities!$AA$49</f>
        <v>RSD_DTA2_LI</v>
      </c>
      <c r="F17" s="144">
        <f>VLOOKUP(LEFT($B17,8),RSD_Stock!$H$22:$L$28,F$2,FALSE)*VLOOKUP($B17,RSD_Demands!$H$150:$J$181,F$2,FALSE)*RSD_Demands!$F$48</f>
        <v>1615.3435000000002</v>
      </c>
      <c r="G17" s="41"/>
      <c r="H17" s="150"/>
      <c r="I17" s="150"/>
      <c r="J17" s="151"/>
      <c r="L17" s="8" t="s">
        <v>147</v>
      </c>
      <c r="M17" s="5" t="str">
        <f>Commodities!$AA$49&amp;"_"&amp;$M$3&amp;"03"</f>
        <v>RSD_DTA2_LI_E03</v>
      </c>
      <c r="N17" s="5" t="s">
        <v>712</v>
      </c>
      <c r="O17" s="85" t="str">
        <f>General!$D$18</f>
        <v>000s_Units</v>
      </c>
      <c r="P17" s="85" t="str">
        <f>General!$D$18</f>
        <v>000s_Units</v>
      </c>
      <c r="Q17" s="85" t="s">
        <v>125</v>
      </c>
      <c r="R17" s="11"/>
      <c r="S17" s="11"/>
    </row>
    <row r="18" spans="2:24" ht="13.8" hidden="1">
      <c r="B18" s="41" t="s">
        <v>147</v>
      </c>
      <c r="C18" s="152" t="str">
        <f t="shared" si="1"/>
        <v>Detached A2  Light Halogen  (E)</v>
      </c>
      <c r="D18" s="152" t="str">
        <f>Commodities!$D$48</f>
        <v>RSDELC</v>
      </c>
      <c r="E18" s="153" t="str">
        <f>Commodities!$AA$49</f>
        <v>RSD_DTA2_LI</v>
      </c>
      <c r="F18" s="154">
        <f>VLOOKUP(LEFT($B18,8),RSD_Stock!$H$22:$L$28,F$2,FALSE)*VLOOKUP($B18,RSD_Demands!$H$150:$J$181,F$2,FALSE)*RSD_Demands!$F$48</f>
        <v>1615.3435000000002</v>
      </c>
      <c r="G18" s="41"/>
      <c r="H18" s="155"/>
      <c r="I18" s="155"/>
      <c r="J18" s="156"/>
      <c r="L18" s="8" t="s">
        <v>147</v>
      </c>
      <c r="M18" s="100" t="str">
        <f>Commodities!$AA$49&amp;"_"&amp;$M$3&amp;"04"</f>
        <v>RSD_DTA2_LI_E04</v>
      </c>
      <c r="N18" s="100" t="s">
        <v>713</v>
      </c>
      <c r="O18" s="101" t="str">
        <f>General!$D$18</f>
        <v>000s_Units</v>
      </c>
      <c r="P18" s="101" t="str">
        <f>General!$D$18</f>
        <v>000s_Units</v>
      </c>
      <c r="Q18" s="101" t="s">
        <v>125</v>
      </c>
      <c r="R18" s="101"/>
      <c r="S18" s="101"/>
    </row>
    <row r="19" spans="2:24" ht="13.8" hidden="1">
      <c r="B19" s="41" t="s">
        <v>147</v>
      </c>
      <c r="C19" s="41" t="str">
        <f t="shared" si="1"/>
        <v>Apartment A2   Light Standard  (E)</v>
      </c>
      <c r="D19" s="41" t="str">
        <f>Commodities!$D$48</f>
        <v>RSDELC</v>
      </c>
      <c r="E19" s="157" t="str">
        <f>Commodities!$AA$50</f>
        <v>RSD_APA2_LI</v>
      </c>
      <c r="F19" s="144">
        <f>VLOOKUP(LEFT($B19,8),RSD_Stock!$H$22:$L$28,F$2,FALSE)*VLOOKUP($B19,RSD_Demands!$H$150:$J$181,F$2,FALSE)*RSD_Demands!$F$49</f>
        <v>1615.3435000000002</v>
      </c>
      <c r="G19" s="41"/>
      <c r="H19" s="150">
        <f>SUMPRODUCT(F19:F22,F56:F59)</f>
        <v>9.8234888400000012E-2</v>
      </c>
      <c r="I19" s="150">
        <f>VLOOKUP(LEFT($B19,11),RSD_En_Balance!$C$109:$R$190,MATCH($D19,RSD_En_Balance!$D$109:$R$109,0)+1,FALSE)</f>
        <v>9.8234888399999984E-2</v>
      </c>
      <c r="J19" s="151">
        <f>SUM(H19:H19)-SUM(I19:I19)</f>
        <v>0</v>
      </c>
      <c r="L19" s="8" t="s">
        <v>147</v>
      </c>
      <c r="M19" s="5" t="str">
        <f>Commodities!$AA$50&amp;"_"&amp;$M$3&amp;"01"</f>
        <v>RSD_APA2_LI_E01</v>
      </c>
      <c r="N19" s="5" t="s">
        <v>766</v>
      </c>
      <c r="O19" s="85" t="str">
        <f>General!$D$18</f>
        <v>000s_Units</v>
      </c>
      <c r="P19" s="85" t="str">
        <f>General!$D$18</f>
        <v>000s_Units</v>
      </c>
      <c r="Q19" s="85" t="s">
        <v>125</v>
      </c>
      <c r="R19" s="11"/>
      <c r="S19" s="11"/>
    </row>
    <row r="20" spans="2:24" ht="13.8" hidden="1">
      <c r="B20" s="41" t="s">
        <v>147</v>
      </c>
      <c r="C20" s="41" t="str">
        <f t="shared" si="1"/>
        <v>Apartment A2   Light Fluorescent  (E)</v>
      </c>
      <c r="D20" s="41" t="str">
        <f>Commodities!$D$48</f>
        <v>RSDELC</v>
      </c>
      <c r="E20" s="138" t="str">
        <f>Commodities!$AA$50</f>
        <v>RSD_APA2_LI</v>
      </c>
      <c r="F20" s="144">
        <f>VLOOKUP(LEFT($B20,8),RSD_Stock!$H$22:$L$28,F$2,FALSE)*VLOOKUP($B20,RSD_Demands!$H$150:$J$181,F$2,FALSE)*RSD_Demands!$F$49</f>
        <v>1615.3435000000002</v>
      </c>
      <c r="G20" s="41"/>
      <c r="H20" s="150"/>
      <c r="I20" s="150"/>
      <c r="J20" s="151"/>
      <c r="L20" s="8" t="s">
        <v>147</v>
      </c>
      <c r="M20" s="5" t="str">
        <f>Commodities!$AA$50&amp;"_"&amp;$M$3&amp;"02"</f>
        <v>RSD_APA2_LI_E02</v>
      </c>
      <c r="N20" s="5" t="s">
        <v>767</v>
      </c>
      <c r="O20" s="85" t="str">
        <f>General!$D$18</f>
        <v>000s_Units</v>
      </c>
      <c r="P20" s="85" t="str">
        <f>General!$D$18</f>
        <v>000s_Units</v>
      </c>
      <c r="Q20" s="85" t="s">
        <v>125</v>
      </c>
      <c r="R20" s="85"/>
      <c r="S20" s="11"/>
    </row>
    <row r="21" spans="2:24" ht="13.8" hidden="1">
      <c r="B21" s="41" t="s">
        <v>147</v>
      </c>
      <c r="C21" s="41" t="str">
        <f t="shared" si="1"/>
        <v>Apartment A2   Light LED  (E)</v>
      </c>
      <c r="D21" s="41" t="str">
        <f>Commodities!$D$48</f>
        <v>RSDELC</v>
      </c>
      <c r="E21" s="138" t="str">
        <f>Commodities!$AA$50</f>
        <v>RSD_APA2_LI</v>
      </c>
      <c r="F21" s="144">
        <f>VLOOKUP(LEFT($B21,8),RSD_Stock!$H$22:$L$28,F$2,FALSE)*VLOOKUP($B21,RSD_Demands!$H$150:$J$181,F$2,FALSE)*RSD_Demands!$F$49</f>
        <v>1615.3435000000002</v>
      </c>
      <c r="G21" s="41"/>
      <c r="H21" s="150"/>
      <c r="I21" s="150"/>
      <c r="J21" s="151"/>
      <c r="L21" s="8" t="s">
        <v>147</v>
      </c>
      <c r="M21" s="5" t="str">
        <f>Commodities!$AA$50&amp;"_"&amp;$M$3&amp;"03"</f>
        <v>RSD_APA2_LI_E03</v>
      </c>
      <c r="N21" s="5" t="s">
        <v>768</v>
      </c>
      <c r="O21" s="85" t="str">
        <f>General!$D$18</f>
        <v>000s_Units</v>
      </c>
      <c r="P21" s="85" t="str">
        <f>General!$D$18</f>
        <v>000s_Units</v>
      </c>
      <c r="Q21" s="85" t="s">
        <v>125</v>
      </c>
      <c r="R21" s="11"/>
      <c r="S21" s="11"/>
    </row>
    <row r="22" spans="2:24" ht="13.8" hidden="1">
      <c r="B22" s="41" t="s">
        <v>147</v>
      </c>
      <c r="C22" s="152" t="str">
        <f t="shared" si="1"/>
        <v>Apartment A2   Light Halogen  (E)</v>
      </c>
      <c r="D22" s="152" t="str">
        <f>Commodities!$D$48</f>
        <v>RSDELC</v>
      </c>
      <c r="E22" s="153" t="str">
        <f>Commodities!$AA$50</f>
        <v>RSD_APA2_LI</v>
      </c>
      <c r="F22" s="154">
        <f>VLOOKUP(LEFT($B22,8),RSD_Stock!$H$22:$L$28,F$2,FALSE)*VLOOKUP($B22,RSD_Demands!$H$150:$J$181,F$2,FALSE)*RSD_Demands!$F$49</f>
        <v>1615.3435000000002</v>
      </c>
      <c r="G22" s="41"/>
      <c r="H22" s="155"/>
      <c r="I22" s="155"/>
      <c r="J22" s="156"/>
      <c r="L22" s="8" t="s">
        <v>147</v>
      </c>
      <c r="M22" s="100" t="str">
        <f>Commodities!$AA$50&amp;"_"&amp;$M$3&amp;"04"</f>
        <v>RSD_APA2_LI_E04</v>
      </c>
      <c r="N22" s="100" t="s">
        <v>769</v>
      </c>
      <c r="O22" s="101" t="str">
        <f>General!$D$18</f>
        <v>000s_Units</v>
      </c>
      <c r="P22" s="101" t="str">
        <f>General!$D$18</f>
        <v>000s_Units</v>
      </c>
      <c r="Q22" s="101" t="s">
        <v>125</v>
      </c>
      <c r="R22" s="101"/>
      <c r="S22" s="101"/>
    </row>
    <row r="23" spans="2:24" ht="13.8" hidden="1">
      <c r="B23" s="41" t="s">
        <v>147</v>
      </c>
      <c r="C23" s="41" t="str">
        <f t="shared" si="1"/>
        <v>Detached A3  Light Standard  (E)</v>
      </c>
      <c r="D23" s="41" t="str">
        <f>Commodities!$D$48</f>
        <v>RSDELC</v>
      </c>
      <c r="E23" s="157" t="str">
        <f>Commodities!$AA$51</f>
        <v>RSD_DTA3_LI</v>
      </c>
      <c r="F23" s="144">
        <f>VLOOKUP(LEFT($B23,8),RSD_Stock!$H$22:$L$28,F$2,FALSE)*VLOOKUP($B23,RSD_Demands!$H$150:$J$181,F$2,FALSE)*RSD_Demands!$F$50</f>
        <v>1615.3435000000002</v>
      </c>
      <c r="G23" s="41"/>
      <c r="H23" s="150">
        <f>SUMPRODUCT(F23:F26,F60:F63)</f>
        <v>9.8234888400000012E-2</v>
      </c>
      <c r="I23" s="150">
        <f>VLOOKUP(LEFT($B23,11),RSD_En_Balance!$C$109:$R$190,MATCH($D23,RSD_En_Balance!$D$109:$R$109,0)+1,FALSE)</f>
        <v>9.8234888399999984E-2</v>
      </c>
      <c r="J23" s="151">
        <f>SUM(H23:H23)-SUM(I23:I23)</f>
        <v>0</v>
      </c>
      <c r="L23" s="8" t="s">
        <v>147</v>
      </c>
      <c r="M23" s="5" t="str">
        <f>Commodities!$AA$51&amp;"_"&amp;$M$3&amp;"01"</f>
        <v>RSD_DTA3_LI_E01</v>
      </c>
      <c r="N23" s="5" t="s">
        <v>714</v>
      </c>
      <c r="O23" s="85" t="str">
        <f>General!$D$18</f>
        <v>000s_Units</v>
      </c>
      <c r="P23" s="85" t="str">
        <f>General!$D$18</f>
        <v>000s_Units</v>
      </c>
      <c r="Q23" s="85" t="s">
        <v>125</v>
      </c>
      <c r="R23" s="11"/>
      <c r="S23" s="11"/>
    </row>
    <row r="24" spans="2:24" ht="13.8" hidden="1">
      <c r="B24" s="41" t="s">
        <v>147</v>
      </c>
      <c r="C24" s="41" t="str">
        <f t="shared" si="1"/>
        <v>Detached A3  Light Fluorescent  (E)</v>
      </c>
      <c r="D24" s="41" t="str">
        <f>Commodities!$D$48</f>
        <v>RSDELC</v>
      </c>
      <c r="E24" s="138" t="str">
        <f>Commodities!$AA$51</f>
        <v>RSD_DTA3_LI</v>
      </c>
      <c r="F24" s="144">
        <f>VLOOKUP(LEFT($B24,8),RSD_Stock!$H$22:$L$28,F$2,FALSE)*VLOOKUP($B24,RSD_Demands!$H$150:$J$181,F$2,FALSE)*RSD_Demands!$F$50</f>
        <v>1615.3435000000002</v>
      </c>
      <c r="G24" s="41"/>
      <c r="H24" s="150"/>
      <c r="I24" s="150"/>
      <c r="J24" s="151"/>
      <c r="L24" s="8" t="s">
        <v>147</v>
      </c>
      <c r="M24" s="5" t="str">
        <f>Commodities!$AA$51&amp;"_"&amp;$M$3&amp;"02"</f>
        <v>RSD_DTA3_LI_E02</v>
      </c>
      <c r="N24" s="5" t="s">
        <v>715</v>
      </c>
      <c r="O24" s="85" t="str">
        <f>General!$D$18</f>
        <v>000s_Units</v>
      </c>
      <c r="P24" s="85" t="str">
        <f>General!$D$18</f>
        <v>000s_Units</v>
      </c>
      <c r="Q24" s="85" t="s">
        <v>125</v>
      </c>
      <c r="R24" s="11"/>
      <c r="S24" s="11"/>
    </row>
    <row r="25" spans="2:24" ht="13.8" hidden="1">
      <c r="B25" s="41" t="s">
        <v>147</v>
      </c>
      <c r="C25" s="41" t="str">
        <f t="shared" si="1"/>
        <v>Detached A3  Light LED  (E)</v>
      </c>
      <c r="D25" s="41" t="str">
        <f>Commodities!$D$48</f>
        <v>RSDELC</v>
      </c>
      <c r="E25" s="138" t="str">
        <f>Commodities!$AA$51</f>
        <v>RSD_DTA3_LI</v>
      </c>
      <c r="F25" s="144">
        <f>VLOOKUP(LEFT($B25,8),RSD_Stock!$H$22:$L$28,F$2,FALSE)*VLOOKUP($B25,RSD_Demands!$H$150:$J$181,F$2,FALSE)*RSD_Demands!$F$50</f>
        <v>1615.3435000000002</v>
      </c>
      <c r="G25" s="41"/>
      <c r="H25" s="150"/>
      <c r="I25" s="150"/>
      <c r="J25" s="151"/>
      <c r="L25" s="8" t="s">
        <v>147</v>
      </c>
      <c r="M25" s="5" t="str">
        <f>Commodities!$AA$51&amp;"_"&amp;$M$3&amp;"03"</f>
        <v>RSD_DTA3_LI_E03</v>
      </c>
      <c r="N25" s="5" t="s">
        <v>716</v>
      </c>
      <c r="O25" s="85" t="str">
        <f>General!$D$18</f>
        <v>000s_Units</v>
      </c>
      <c r="P25" s="85" t="str">
        <f>General!$D$18</f>
        <v>000s_Units</v>
      </c>
      <c r="Q25" s="85" t="s">
        <v>125</v>
      </c>
      <c r="R25" s="11"/>
      <c r="S25" s="11"/>
    </row>
    <row r="26" spans="2:24" ht="13.8" hidden="1">
      <c r="B26" s="41" t="s">
        <v>147</v>
      </c>
      <c r="C26" s="152" t="str">
        <f t="shared" si="1"/>
        <v>Detached A3  Light Halogen  (E)</v>
      </c>
      <c r="D26" s="152" t="str">
        <f>Commodities!$D$48</f>
        <v>RSDELC</v>
      </c>
      <c r="E26" s="153" t="str">
        <f>Commodities!$AA$51</f>
        <v>RSD_DTA3_LI</v>
      </c>
      <c r="F26" s="154">
        <f>VLOOKUP(LEFT($B26,8),RSD_Stock!$H$22:$L$28,F$2,FALSE)*VLOOKUP($B26,RSD_Demands!$H$150:$J$181,F$2,FALSE)*RSD_Demands!$F$50</f>
        <v>1615.3435000000002</v>
      </c>
      <c r="G26" s="41"/>
      <c r="H26" s="155"/>
      <c r="I26" s="155"/>
      <c r="J26" s="156"/>
      <c r="L26" s="8" t="s">
        <v>147</v>
      </c>
      <c r="M26" s="100" t="str">
        <f>Commodities!$AA$51&amp;"_"&amp;$M$3&amp;"04"</f>
        <v>RSD_DTA3_LI_E04</v>
      </c>
      <c r="N26" s="100" t="s">
        <v>717</v>
      </c>
      <c r="O26" s="101" t="str">
        <f>General!$D$18</f>
        <v>000s_Units</v>
      </c>
      <c r="P26" s="101" t="str">
        <f>General!$D$18</f>
        <v>000s_Units</v>
      </c>
      <c r="Q26" s="101" t="s">
        <v>125</v>
      </c>
      <c r="R26" s="101"/>
      <c r="S26" s="101"/>
    </row>
    <row r="27" spans="2:24" ht="13.8" hidden="1">
      <c r="B27" s="41" t="s">
        <v>147</v>
      </c>
      <c r="C27" s="41" t="str">
        <f t="shared" si="1"/>
        <v>Apartment A3  Light Standard  (E)</v>
      </c>
      <c r="D27" s="41" t="str">
        <f>Commodities!$D$48</f>
        <v>RSDELC</v>
      </c>
      <c r="E27" s="157" t="str">
        <f>Commodities!$AA$52</f>
        <v>RSD_APA3_LI</v>
      </c>
      <c r="F27" s="144">
        <f>VLOOKUP(LEFT($B27,8),RSD_Stock!$H$22:$L$28,F$2,FALSE)*VLOOKUP($B27,RSD_Demands!$H$150:$J$181,F$2,FALSE)*RSD_Demands!$F$51</f>
        <v>1615.3435000000002</v>
      </c>
      <c r="G27" s="41"/>
      <c r="H27" s="150">
        <f>SUMPRODUCT(F27:F30,F64:F67)</f>
        <v>9.8234888400000012E-2</v>
      </c>
      <c r="I27" s="150">
        <f>VLOOKUP(LEFT($B27,11),RSD_En_Balance!$C$109:$R$190,MATCH($D27,RSD_En_Balance!$D$109:$R$109,0)+1,FALSE)</f>
        <v>9.8234888399999984E-2</v>
      </c>
      <c r="J27" s="151">
        <f>SUM(H27:H27)-SUM(I27:I27)</f>
        <v>0</v>
      </c>
      <c r="L27" s="8" t="s">
        <v>147</v>
      </c>
      <c r="M27" s="5" t="str">
        <f>Commodities!$AA$52&amp;"_"&amp;$M$3&amp;"01"</f>
        <v>RSD_APA3_LI_E01</v>
      </c>
      <c r="N27" s="5" t="s">
        <v>770</v>
      </c>
      <c r="O27" s="85" t="str">
        <f>General!$D$18</f>
        <v>000s_Units</v>
      </c>
      <c r="P27" s="85" t="str">
        <f>General!$D$18</f>
        <v>000s_Units</v>
      </c>
      <c r="Q27" s="85" t="s">
        <v>125</v>
      </c>
      <c r="R27" s="11"/>
      <c r="S27" s="11"/>
    </row>
    <row r="28" spans="2:24" ht="13.8" hidden="1">
      <c r="B28" s="41" t="s">
        <v>147</v>
      </c>
      <c r="C28" s="41" t="str">
        <f t="shared" si="1"/>
        <v>Apartment A3  Light Fluorescent  (E)</v>
      </c>
      <c r="D28" s="41" t="str">
        <f>Commodities!$D$48</f>
        <v>RSDELC</v>
      </c>
      <c r="E28" s="138" t="str">
        <f>Commodities!$AA$52</f>
        <v>RSD_APA3_LI</v>
      </c>
      <c r="F28" s="144">
        <f>VLOOKUP(LEFT($B28,8),RSD_Stock!$H$22:$L$28,F$2,FALSE)*VLOOKUP($B28,RSD_Demands!$H$150:$J$181,F$2,FALSE)*RSD_Demands!$F$51</f>
        <v>1615.3435000000002</v>
      </c>
      <c r="G28" s="41"/>
      <c r="H28" s="150"/>
      <c r="I28" s="150"/>
      <c r="J28" s="151"/>
      <c r="L28" s="8" t="s">
        <v>147</v>
      </c>
      <c r="M28" s="5" t="str">
        <f>Commodities!$AA$52&amp;"_"&amp;$M$3&amp;"02"</f>
        <v>RSD_APA3_LI_E02</v>
      </c>
      <c r="N28" s="5" t="s">
        <v>771</v>
      </c>
      <c r="O28" s="85" t="str">
        <f>General!$D$18</f>
        <v>000s_Units</v>
      </c>
      <c r="P28" s="85" t="str">
        <f>General!$D$18</f>
        <v>000s_Units</v>
      </c>
      <c r="Q28" s="85" t="s">
        <v>125</v>
      </c>
      <c r="R28" s="11"/>
      <c r="S28" s="11"/>
    </row>
    <row r="29" spans="2:24" ht="13.8" hidden="1">
      <c r="B29" s="41" t="s">
        <v>147</v>
      </c>
      <c r="C29" s="41" t="str">
        <f t="shared" si="1"/>
        <v>Apartment A3  Light LED  (E)</v>
      </c>
      <c r="D29" s="41" t="str">
        <f>Commodities!$D$48</f>
        <v>RSDELC</v>
      </c>
      <c r="E29" s="138" t="str">
        <f>Commodities!$AA$52</f>
        <v>RSD_APA3_LI</v>
      </c>
      <c r="F29" s="144">
        <f>VLOOKUP(LEFT($B29,8),RSD_Stock!$H$22:$L$28,F$2,FALSE)*VLOOKUP($B29,RSD_Demands!$H$150:$J$181,F$2,FALSE)*RSD_Demands!$F$51</f>
        <v>1615.3435000000002</v>
      </c>
      <c r="G29" s="41"/>
      <c r="H29" s="150"/>
      <c r="I29" s="150"/>
      <c r="J29" s="151"/>
      <c r="L29" s="8" t="s">
        <v>147</v>
      </c>
      <c r="M29" s="5" t="str">
        <f>Commodities!$AA$52&amp;"_"&amp;$M$3&amp;"03"</f>
        <v>RSD_APA3_LI_E03</v>
      </c>
      <c r="N29" s="5" t="s">
        <v>772</v>
      </c>
      <c r="O29" s="85" t="str">
        <f>General!$D$18</f>
        <v>000s_Units</v>
      </c>
      <c r="P29" s="85" t="str">
        <f>General!$D$18</f>
        <v>000s_Units</v>
      </c>
      <c r="Q29" s="85" t="s">
        <v>125</v>
      </c>
      <c r="R29" s="11"/>
      <c r="S29" s="11"/>
    </row>
    <row r="30" spans="2:24" ht="13.8" hidden="1">
      <c r="B30" s="41" t="s">
        <v>147</v>
      </c>
      <c r="C30" s="152" t="str">
        <f t="shared" si="1"/>
        <v>Apartment A3  Light Halogen  (E)</v>
      </c>
      <c r="D30" s="152" t="str">
        <f>Commodities!$D$48</f>
        <v>RSDELC</v>
      </c>
      <c r="E30" s="153" t="str">
        <f>Commodities!$AA$52</f>
        <v>RSD_APA3_LI</v>
      </c>
      <c r="F30" s="154">
        <f>VLOOKUP(LEFT($B30,8),RSD_Stock!$H$22:$L$28,F$2,FALSE)*VLOOKUP($B30,RSD_Demands!$H$150:$J$181,F$2,FALSE)*RSD_Demands!$F$51</f>
        <v>1615.3435000000002</v>
      </c>
      <c r="G30" s="41"/>
      <c r="H30" s="155"/>
      <c r="I30" s="155"/>
      <c r="J30" s="156"/>
      <c r="L30" s="8" t="s">
        <v>147</v>
      </c>
      <c r="M30" s="100" t="str">
        <f>Commodities!$AA$52&amp;"_"&amp;$M$3&amp;"04"</f>
        <v>RSD_APA3_LI_E04</v>
      </c>
      <c r="N30" s="100" t="s">
        <v>773</v>
      </c>
      <c r="O30" s="101" t="str">
        <f>General!$D$18</f>
        <v>000s_Units</v>
      </c>
      <c r="P30" s="101" t="str">
        <f>General!$D$18</f>
        <v>000s_Units</v>
      </c>
      <c r="Q30" s="101" t="s">
        <v>125</v>
      </c>
      <c r="R30" s="101"/>
      <c r="S30" s="101"/>
    </row>
    <row r="31" spans="2:24" ht="13.8" hidden="1">
      <c r="B31" s="41" t="s">
        <v>147</v>
      </c>
      <c r="C31" s="41" t="str">
        <f t="shared" si="1"/>
        <v>Detached A4  Light Standard  (E)</v>
      </c>
      <c r="D31" s="41" t="str">
        <f>Commodities!$D$48</f>
        <v>RSDELC</v>
      </c>
      <c r="E31" s="157" t="str">
        <f>Commodities!$AA$53</f>
        <v>RSD_DTA4_LI</v>
      </c>
      <c r="F31" s="144">
        <f>VLOOKUP(LEFT($B31,8),RSD_Stock!$H$22:$L$28,F$2,FALSE)*VLOOKUP($B31,RSD_Demands!$H$150:$J$181,F$2,FALSE)*RSD_Demands!$F$52</f>
        <v>1615.3435000000002</v>
      </c>
      <c r="G31" s="41"/>
      <c r="H31" s="150">
        <f>SUMPRODUCT(F31:F34,F68:F71)</f>
        <v>9.8234888400000012E-2</v>
      </c>
      <c r="I31" s="150">
        <f>VLOOKUP(LEFT($B31,11),RSD_En_Balance!$C$109:$R$190,MATCH($D31,RSD_En_Balance!$D$109:$R$109,0)+1,FALSE)</f>
        <v>9.8234888399999984E-2</v>
      </c>
      <c r="J31" s="151">
        <f>SUM(H31:H31)-SUM(I31:I31)</f>
        <v>0</v>
      </c>
      <c r="K31" s="140"/>
      <c r="L31" s="8" t="s">
        <v>147</v>
      </c>
      <c r="M31" s="5" t="str">
        <f>Commodities!$AA$53&amp;"_"&amp;$M$3&amp;"01"</f>
        <v>RSD_DTA4_LI_E01</v>
      </c>
      <c r="N31" s="5" t="s">
        <v>718</v>
      </c>
      <c r="O31" s="85" t="str">
        <f>General!$D$18</f>
        <v>000s_Units</v>
      </c>
      <c r="P31" s="85" t="str">
        <f>General!$D$18</f>
        <v>000s_Units</v>
      </c>
      <c r="Q31" s="85" t="s">
        <v>125</v>
      </c>
      <c r="R31" s="11"/>
      <c r="S31" s="11"/>
      <c r="T31" s="44"/>
      <c r="U31" s="44"/>
      <c r="V31" s="44"/>
      <c r="W31" s="44"/>
    </row>
    <row r="32" spans="2:24" ht="13.8" hidden="1">
      <c r="B32" s="41" t="s">
        <v>147</v>
      </c>
      <c r="C32" s="41" t="str">
        <f t="shared" si="1"/>
        <v>Detached A4  Light Fluorescent  (E)</v>
      </c>
      <c r="D32" s="41" t="str">
        <f>Commodities!$D$48</f>
        <v>RSDELC</v>
      </c>
      <c r="E32" s="138" t="str">
        <f>Commodities!$AA$53</f>
        <v>RSD_DTA4_LI</v>
      </c>
      <c r="F32" s="144">
        <f>VLOOKUP(LEFT($B32,8),RSD_Stock!$H$22:$L$28,F$2,FALSE)*VLOOKUP($B32,RSD_Demands!$H$150:$J$181,F$2,FALSE)*RSD_Demands!$F$52</f>
        <v>1615.3435000000002</v>
      </c>
      <c r="G32" s="41"/>
      <c r="H32" s="150"/>
      <c r="I32" s="150"/>
      <c r="J32" s="151"/>
      <c r="L32" s="8" t="s">
        <v>147</v>
      </c>
      <c r="M32" s="5" t="str">
        <f>Commodities!$AA$53&amp;"_"&amp;$M$3&amp;"02"</f>
        <v>RSD_DTA4_LI_E02</v>
      </c>
      <c r="N32" s="5" t="s">
        <v>719</v>
      </c>
      <c r="O32" s="85" t="str">
        <f>General!$D$18</f>
        <v>000s_Units</v>
      </c>
      <c r="P32" s="85" t="str">
        <f>General!$D$18</f>
        <v>000s_Units</v>
      </c>
      <c r="Q32" s="85" t="s">
        <v>125</v>
      </c>
      <c r="R32" s="11"/>
      <c r="S32" s="11"/>
      <c r="T32" s="44"/>
      <c r="U32" s="44"/>
      <c r="V32" s="44"/>
      <c r="W32" s="44"/>
      <c r="X32" s="44"/>
    </row>
    <row r="33" spans="1:24" ht="13.8" hidden="1">
      <c r="B33" s="41" t="s">
        <v>147</v>
      </c>
      <c r="C33" s="41" t="str">
        <f t="shared" si="1"/>
        <v>Detached A4  Light LED  (E)</v>
      </c>
      <c r="D33" s="41" t="str">
        <f>Commodities!$D$48</f>
        <v>RSDELC</v>
      </c>
      <c r="E33" s="138" t="str">
        <f>Commodities!$AA$53</f>
        <v>RSD_DTA4_LI</v>
      </c>
      <c r="F33" s="144">
        <f>VLOOKUP(LEFT($B33,8),RSD_Stock!$H$22:$L$28,F$2,FALSE)*VLOOKUP($B33,RSD_Demands!$H$150:$J$181,F$2,FALSE)*RSD_Demands!$F$52</f>
        <v>1615.3435000000002</v>
      </c>
      <c r="G33" s="41"/>
      <c r="H33" s="150"/>
      <c r="I33" s="150"/>
      <c r="J33" s="151"/>
      <c r="K33" s="41"/>
      <c r="L33" s="8" t="s">
        <v>147</v>
      </c>
      <c r="M33" s="5" t="str">
        <f>Commodities!$AA$53&amp;"_"&amp;$M$3&amp;"03"</f>
        <v>RSD_DTA4_LI_E03</v>
      </c>
      <c r="N33" s="5" t="s">
        <v>720</v>
      </c>
      <c r="O33" s="85" t="str">
        <f>General!$D$18</f>
        <v>000s_Units</v>
      </c>
      <c r="P33" s="85" t="str">
        <f>General!$D$18</f>
        <v>000s_Units</v>
      </c>
      <c r="Q33" s="85" t="s">
        <v>125</v>
      </c>
      <c r="R33" s="11"/>
      <c r="S33" s="11"/>
      <c r="T33" s="44"/>
      <c r="U33" s="44"/>
      <c r="V33" s="44"/>
      <c r="W33" s="44"/>
      <c r="X33" s="44"/>
    </row>
    <row r="34" spans="1:24" ht="17.25" hidden="1" customHeight="1">
      <c r="B34" s="41" t="s">
        <v>147</v>
      </c>
      <c r="C34" s="152" t="str">
        <f t="shared" si="1"/>
        <v>Detached A4  Light Halogen  (E)</v>
      </c>
      <c r="D34" s="152" t="str">
        <f>Commodities!$D$48</f>
        <v>RSDELC</v>
      </c>
      <c r="E34" s="153" t="str">
        <f>Commodities!$AA$53</f>
        <v>RSD_DTA4_LI</v>
      </c>
      <c r="F34" s="154">
        <f>VLOOKUP(LEFT($B34,8),RSD_Stock!$H$22:$L$28,F$2,FALSE)*VLOOKUP($B34,RSD_Demands!$H$150:$J$181,F$2,FALSE)*RSD_Demands!$F$52</f>
        <v>1615.3435000000002</v>
      </c>
      <c r="G34" s="41"/>
      <c r="H34" s="155"/>
      <c r="I34" s="155"/>
      <c r="J34" s="156"/>
      <c r="K34" s="33"/>
      <c r="L34" s="8" t="s">
        <v>147</v>
      </c>
      <c r="M34" s="100" t="str">
        <f>Commodities!$AA$53&amp;"_"&amp;$M$3&amp;"04"</f>
        <v>RSD_DTA4_LI_E04</v>
      </c>
      <c r="N34" s="100" t="s">
        <v>721</v>
      </c>
      <c r="O34" s="101" t="str">
        <f>General!$D$18</f>
        <v>000s_Units</v>
      </c>
      <c r="P34" s="101" t="str">
        <f>General!$D$18</f>
        <v>000s_Units</v>
      </c>
      <c r="Q34" s="101" t="s">
        <v>125</v>
      </c>
      <c r="R34" s="101"/>
      <c r="S34" s="101"/>
      <c r="T34" s="44"/>
      <c r="U34" s="44"/>
      <c r="V34" s="44"/>
      <c r="W34" s="44"/>
      <c r="X34" s="44"/>
    </row>
    <row r="35" spans="1:24" ht="18.75" hidden="1" customHeight="1">
      <c r="B35" s="41" t="s">
        <v>147</v>
      </c>
      <c r="C35" s="41" t="str">
        <f t="shared" si="1"/>
        <v>Apartment A4  Light Standard  (E)</v>
      </c>
      <c r="D35" s="41" t="str">
        <f>Commodities!$D$48</f>
        <v>RSDELC</v>
      </c>
      <c r="E35" s="157" t="str">
        <f>Commodities!$AA$54</f>
        <v>RSD_APA4_LI</v>
      </c>
      <c r="F35" s="144">
        <f>VLOOKUP(LEFT($B35,8),RSD_Stock!$H$22:$L$28,F$2,FALSE)*VLOOKUP($B35,RSD_Demands!$H$150:$J$181,F$2,FALSE)*RSD_Demands!$F$53</f>
        <v>1615.3435000000002</v>
      </c>
      <c r="G35" s="41"/>
      <c r="H35" s="150">
        <f>SUMPRODUCT(F35:F38,F72:F75)</f>
        <v>9.8234888400000012E-2</v>
      </c>
      <c r="I35" s="150">
        <f>VLOOKUP(LEFT($B35,11),RSD_En_Balance!$C$109:$R$190,MATCH($D35,RSD_En_Balance!$D$109:$R$109,0)+1,FALSE)</f>
        <v>9.8234888399999984E-2</v>
      </c>
      <c r="J35" s="151">
        <f>SUM(H35:H35)-SUM(I35:I35)</f>
        <v>0</v>
      </c>
      <c r="K35" s="30"/>
      <c r="L35" s="8" t="s">
        <v>147</v>
      </c>
      <c r="M35" s="5" t="str">
        <f>Commodities!$AA$54&amp;"_"&amp;$M$3&amp;"01"</f>
        <v>RSD_APA4_LI_E01</v>
      </c>
      <c r="N35" s="5" t="s">
        <v>774</v>
      </c>
      <c r="O35" s="85" t="str">
        <f>General!$D$18</f>
        <v>000s_Units</v>
      </c>
      <c r="P35" s="85" t="str">
        <f>General!$D$18</f>
        <v>000s_Units</v>
      </c>
      <c r="Q35" s="85" t="s">
        <v>125</v>
      </c>
      <c r="R35" s="11"/>
      <c r="S35" s="11"/>
      <c r="T35" s="44"/>
      <c r="U35" s="44"/>
      <c r="V35" s="44"/>
      <c r="W35" s="44"/>
      <c r="X35" s="44"/>
    </row>
    <row r="36" spans="1:24" ht="13.8" hidden="1">
      <c r="B36" s="41" t="s">
        <v>147</v>
      </c>
      <c r="C36" s="41" t="str">
        <f t="shared" si="1"/>
        <v>Apartment A4  Light Fluorescent  (E)</v>
      </c>
      <c r="D36" s="41" t="str">
        <f>Commodities!$D$48</f>
        <v>RSDELC</v>
      </c>
      <c r="E36" s="138" t="str">
        <f>Commodities!$AA$54</f>
        <v>RSD_APA4_LI</v>
      </c>
      <c r="F36" s="144">
        <f>VLOOKUP(LEFT($B36,8),RSD_Stock!$H$22:$L$28,F$2,FALSE)*VLOOKUP($B36,RSD_Demands!$H$150:$J$181,F$2,FALSE)*RSD_Demands!$F$53</f>
        <v>1615.3435000000002</v>
      </c>
      <c r="G36" s="41"/>
      <c r="H36" s="150"/>
      <c r="I36" s="150"/>
      <c r="J36" s="151"/>
      <c r="K36" s="40"/>
      <c r="L36" s="8" t="s">
        <v>147</v>
      </c>
      <c r="M36" s="5" t="str">
        <f>Commodities!$AA$54&amp;"_"&amp;$M$3&amp;"02"</f>
        <v>RSD_APA4_LI_E02</v>
      </c>
      <c r="N36" s="5" t="s">
        <v>775</v>
      </c>
      <c r="O36" s="85" t="str">
        <f>General!$D$18</f>
        <v>000s_Units</v>
      </c>
      <c r="P36" s="85" t="str">
        <f>General!$D$18</f>
        <v>000s_Units</v>
      </c>
      <c r="Q36" s="85" t="s">
        <v>125</v>
      </c>
      <c r="R36" s="11"/>
      <c r="S36" s="11"/>
      <c r="T36" s="44"/>
      <c r="U36" s="44"/>
      <c r="V36" s="44"/>
      <c r="W36" s="44"/>
      <c r="X36" s="44"/>
    </row>
    <row r="37" spans="1:24" ht="13.8" hidden="1">
      <c r="B37" s="41" t="s">
        <v>147</v>
      </c>
      <c r="C37" s="41" t="str">
        <f t="shared" si="1"/>
        <v>Apartment A4  Light LED  (E)</v>
      </c>
      <c r="D37" s="41" t="str">
        <f>Commodities!$D$48</f>
        <v>RSDELC</v>
      </c>
      <c r="E37" s="138" t="str">
        <f>Commodities!$AA$54</f>
        <v>RSD_APA4_LI</v>
      </c>
      <c r="F37" s="144">
        <f>VLOOKUP(LEFT($B37,8),RSD_Stock!$H$22:$L$28,F$2,FALSE)*VLOOKUP($B37,RSD_Demands!$H$150:$J$181,F$2,FALSE)*RSD_Demands!$F$53</f>
        <v>1615.3435000000002</v>
      </c>
      <c r="G37" s="41"/>
      <c r="H37" s="150"/>
      <c r="I37" s="150"/>
      <c r="J37" s="151"/>
      <c r="K37" s="40"/>
      <c r="L37" s="8" t="s">
        <v>147</v>
      </c>
      <c r="M37" s="5" t="str">
        <f>Commodities!$AA$54&amp;"_"&amp;$M$3&amp;"03"</f>
        <v>RSD_APA4_LI_E03</v>
      </c>
      <c r="N37" s="5" t="s">
        <v>776</v>
      </c>
      <c r="O37" s="85" t="str">
        <f>General!$D$18</f>
        <v>000s_Units</v>
      </c>
      <c r="P37" s="85" t="str">
        <f>General!$D$18</f>
        <v>000s_Units</v>
      </c>
      <c r="Q37" s="85" t="s">
        <v>125</v>
      </c>
      <c r="R37" s="11"/>
      <c r="S37" s="11"/>
      <c r="T37" s="44"/>
      <c r="U37" s="44"/>
      <c r="V37" s="44"/>
      <c r="W37" s="44"/>
      <c r="X37" s="44"/>
    </row>
    <row r="38" spans="1:24" ht="13.8" hidden="1">
      <c r="B38" s="41" t="s">
        <v>147</v>
      </c>
      <c r="C38" s="152" t="str">
        <f t="shared" si="1"/>
        <v>Apartment A4  Light Halogen  (E)</v>
      </c>
      <c r="D38" s="152" t="str">
        <f>Commodities!$D$48</f>
        <v>RSDELC</v>
      </c>
      <c r="E38" s="153" t="str">
        <f>Commodities!$AA$54</f>
        <v>RSD_APA4_LI</v>
      </c>
      <c r="F38" s="154">
        <f>VLOOKUP(LEFT($B38,8),RSD_Stock!$H$22:$L$28,F$2,FALSE)*VLOOKUP($B38,RSD_Demands!$H$150:$J$181,F$2,FALSE)*RSD_Demands!$F$53</f>
        <v>1615.3435000000002</v>
      </c>
      <c r="G38" s="41"/>
      <c r="H38" s="155"/>
      <c r="I38" s="155"/>
      <c r="J38" s="156"/>
      <c r="K38" s="40"/>
      <c r="L38" s="8" t="s">
        <v>147</v>
      </c>
      <c r="M38" s="100" t="str">
        <f>Commodities!$AA$54&amp;"_"&amp;$M$3&amp;"04"</f>
        <v>RSD_APA4_LI_E04</v>
      </c>
      <c r="N38" s="100" t="s">
        <v>777</v>
      </c>
      <c r="O38" s="101" t="str">
        <f>General!$D$18</f>
        <v>000s_Units</v>
      </c>
      <c r="P38" s="101" t="str">
        <f>General!$D$18</f>
        <v>000s_Units</v>
      </c>
      <c r="Q38" s="101" t="s">
        <v>125</v>
      </c>
      <c r="R38" s="101"/>
      <c r="S38" s="101"/>
      <c r="T38" s="44"/>
      <c r="U38" s="44"/>
      <c r="V38" s="44"/>
      <c r="W38" s="44"/>
      <c r="X38" s="44"/>
    </row>
    <row r="39" spans="1:24">
      <c r="A39" s="41"/>
      <c r="B39" s="41"/>
      <c r="C39" s="41"/>
      <c r="D39" s="41"/>
      <c r="E39" s="41"/>
      <c r="F39" s="139"/>
      <c r="G39" s="41"/>
      <c r="H39" s="140"/>
      <c r="I39" s="140"/>
      <c r="J39" s="140"/>
      <c r="K39" s="40"/>
      <c r="L39" s="41"/>
      <c r="M39" s="158"/>
      <c r="N39" s="158"/>
      <c r="O39" s="158"/>
      <c r="P39" s="158"/>
      <c r="Q39" s="41"/>
      <c r="R39" s="41"/>
      <c r="S39" s="41"/>
      <c r="T39" s="44"/>
      <c r="U39" s="44"/>
      <c r="V39" s="44"/>
      <c r="W39" s="44"/>
      <c r="X39" s="44"/>
    </row>
    <row r="40" spans="1:24" ht="13.8">
      <c r="E40" s="86" t="s">
        <v>320</v>
      </c>
      <c r="K40" s="40"/>
      <c r="L40" s="41"/>
      <c r="M40" s="158"/>
      <c r="N40" s="158"/>
      <c r="O40" s="158"/>
      <c r="P40" s="158"/>
      <c r="Q40" s="41"/>
      <c r="R40" s="41"/>
      <c r="S40" s="41"/>
      <c r="T40" s="44"/>
      <c r="U40" s="44"/>
      <c r="V40" s="44"/>
      <c r="W40" s="44"/>
      <c r="X40" s="44"/>
    </row>
    <row r="41" spans="1:24" ht="13.8">
      <c r="B41" s="88" t="s">
        <v>1</v>
      </c>
      <c r="C41" s="88" t="s">
        <v>42</v>
      </c>
      <c r="D41" s="88" t="s">
        <v>7</v>
      </c>
      <c r="E41" s="88" t="s">
        <v>0</v>
      </c>
      <c r="F41" s="121" t="s">
        <v>999</v>
      </c>
      <c r="H41" s="159"/>
      <c r="I41" s="41"/>
      <c r="J41" s="41"/>
      <c r="K41" s="40"/>
      <c r="L41" s="41"/>
      <c r="M41" s="158"/>
      <c r="N41" s="158"/>
      <c r="O41" s="158"/>
      <c r="P41" s="158"/>
      <c r="Q41" s="41"/>
      <c r="R41" s="41"/>
      <c r="S41" s="41"/>
      <c r="T41" s="44"/>
      <c r="U41" s="44"/>
      <c r="V41" s="44"/>
      <c r="W41" s="44"/>
      <c r="X41" s="44"/>
    </row>
    <row r="42" spans="1:24" ht="14.4" thickBot="1">
      <c r="B42" s="92" t="s">
        <v>356</v>
      </c>
      <c r="C42" s="92" t="s">
        <v>26</v>
      </c>
      <c r="D42" s="124" t="s">
        <v>36</v>
      </c>
      <c r="E42" s="123" t="s">
        <v>37</v>
      </c>
      <c r="F42" s="92"/>
      <c r="H42" s="35"/>
      <c r="I42" s="33"/>
      <c r="J42" s="33"/>
      <c r="K42" s="40"/>
      <c r="L42" s="41"/>
      <c r="M42" s="158"/>
      <c r="N42" s="158"/>
      <c r="O42" s="158"/>
      <c r="P42" s="158"/>
      <c r="Q42" s="41"/>
      <c r="R42" s="41"/>
      <c r="S42" s="41"/>
      <c r="T42" s="44"/>
      <c r="U42" s="44"/>
      <c r="V42" s="44"/>
      <c r="W42" s="44"/>
      <c r="X42" s="44"/>
    </row>
    <row r="43" spans="1:24" ht="14.4" thickBot="1">
      <c r="B43" s="92" t="s">
        <v>269</v>
      </c>
      <c r="C43" s="92"/>
      <c r="D43" s="92"/>
      <c r="E43" s="123"/>
      <c r="F43" s="132" t="str">
        <f>General!$D$19</f>
        <v>TJ/unit</v>
      </c>
      <c r="H43" s="30"/>
      <c r="I43" s="30"/>
      <c r="J43" s="30"/>
      <c r="K43" s="40"/>
      <c r="L43" s="41"/>
      <c r="M43" s="158"/>
      <c r="N43" s="158"/>
      <c r="O43" s="158"/>
      <c r="P43" s="158"/>
      <c r="Q43" s="41"/>
      <c r="R43" s="41"/>
      <c r="S43" s="41"/>
      <c r="T43" s="44"/>
      <c r="U43" s="44"/>
      <c r="V43" s="44"/>
      <c r="W43" s="44"/>
      <c r="X43" s="44"/>
    </row>
    <row r="44" spans="1:24" ht="18.75" customHeight="1" thickBot="1">
      <c r="B44" s="51" t="str">
        <f t="shared" ref="B44:B75" si="2">M7</f>
        <v>RSD_DTA1_LI_E01</v>
      </c>
      <c r="C44" s="51" t="str">
        <f t="shared" ref="C44:C75" si="3">N7</f>
        <v>Detached A1 Light Standard  (E)</v>
      </c>
      <c r="D44" s="51" t="str">
        <f>Commodities!$D$48</f>
        <v>RSDELC</v>
      </c>
      <c r="E44" s="135"/>
      <c r="F44" s="160">
        <f>I7/SUMPRODUCT(F7:F10,$J$45:$J$48)</f>
        <v>5.857128846705862E-4</v>
      </c>
      <c r="H44" s="40"/>
      <c r="I44" s="147" t="s">
        <v>446</v>
      </c>
      <c r="J44" s="148" t="s">
        <v>445</v>
      </c>
      <c r="K44" s="40"/>
      <c r="L44" s="41"/>
      <c r="M44" s="158"/>
      <c r="N44" s="158"/>
      <c r="O44" s="158"/>
      <c r="P44" s="158"/>
      <c r="Q44" s="41"/>
      <c r="R44" s="41"/>
      <c r="S44" s="41"/>
      <c r="T44" s="44"/>
      <c r="U44" s="44"/>
      <c r="V44" s="44"/>
      <c r="W44" s="44"/>
      <c r="X44" s="44"/>
    </row>
    <row r="45" spans="1:24">
      <c r="B45" s="51" t="str">
        <f t="shared" si="2"/>
        <v>RSD_DTA1_LI_E02</v>
      </c>
      <c r="C45" s="51" t="str">
        <f t="shared" si="3"/>
        <v>Detached A1 Light Fluorescent  (E)</v>
      </c>
      <c r="D45" s="51" t="str">
        <f>Commodities!$D$48</f>
        <v>RSDELC</v>
      </c>
      <c r="E45" s="138"/>
      <c r="F45" s="160">
        <f>F44*$J$46</f>
        <v>1.4642822116764655E-4</v>
      </c>
      <c r="H45" s="40"/>
      <c r="I45" s="149" t="s">
        <v>383</v>
      </c>
      <c r="J45" s="149">
        <v>1</v>
      </c>
      <c r="K45" s="40"/>
      <c r="L45" s="41"/>
      <c r="M45" s="158"/>
      <c r="N45" s="158"/>
      <c r="O45" s="158"/>
      <c r="P45" s="158"/>
      <c r="Q45" s="41"/>
      <c r="R45" s="41"/>
      <c r="S45" s="41"/>
      <c r="T45" s="44"/>
      <c r="U45" s="44"/>
      <c r="V45" s="44"/>
      <c r="W45" s="44"/>
      <c r="X45" s="44"/>
    </row>
    <row r="46" spans="1:24">
      <c r="B46" s="51" t="str">
        <f t="shared" si="2"/>
        <v>RSD_DTA1_LI_E03</v>
      </c>
      <c r="C46" s="51" t="str">
        <f t="shared" si="3"/>
        <v>Detached A1 Light LED  (E)</v>
      </c>
      <c r="D46" s="51" t="str">
        <f>Commodities!$D$48</f>
        <v>RSDELC</v>
      </c>
      <c r="E46" s="138"/>
      <c r="F46" s="160">
        <f>F44*$J$47</f>
        <v>8.7856932700587927E-5</v>
      </c>
      <c r="H46" s="40"/>
      <c r="I46" s="149" t="s">
        <v>384</v>
      </c>
      <c r="J46" s="149">
        <v>0.25</v>
      </c>
      <c r="K46" s="40"/>
      <c r="L46" s="41"/>
      <c r="M46" s="158"/>
      <c r="N46" s="158"/>
      <c r="O46" s="158"/>
      <c r="P46" s="158"/>
      <c r="Q46" s="41"/>
      <c r="R46" s="41"/>
      <c r="S46" s="41"/>
      <c r="T46" s="44"/>
      <c r="U46" s="44"/>
      <c r="V46" s="44"/>
      <c r="W46" s="44"/>
      <c r="X46" s="44"/>
    </row>
    <row r="47" spans="1:24">
      <c r="B47" s="152" t="str">
        <f t="shared" si="2"/>
        <v>RSD_DTA1_LI_E04</v>
      </c>
      <c r="C47" s="152" t="str">
        <f t="shared" si="3"/>
        <v>Detached A1 Light Halogen  (E)</v>
      </c>
      <c r="D47" s="152" t="str">
        <f>Commodities!$D$48</f>
        <v>RSDELC</v>
      </c>
      <c r="E47" s="153"/>
      <c r="F47" s="161">
        <f>F44*$J$48</f>
        <v>3.2214208656882246E-4</v>
      </c>
      <c r="H47" s="40"/>
      <c r="I47" s="149" t="s">
        <v>382</v>
      </c>
      <c r="J47" s="149">
        <v>0.15</v>
      </c>
      <c r="K47" s="40"/>
      <c r="L47" s="41"/>
      <c r="M47" s="158"/>
      <c r="N47" s="158"/>
      <c r="O47" s="158"/>
      <c r="P47" s="158"/>
      <c r="Q47" s="41"/>
      <c r="R47" s="41"/>
      <c r="S47" s="41"/>
      <c r="T47" s="44"/>
      <c r="U47" s="44"/>
      <c r="V47" s="44"/>
      <c r="W47" s="44"/>
      <c r="X47" s="44"/>
    </row>
    <row r="48" spans="1:24">
      <c r="B48" s="41" t="str">
        <f t="shared" si="2"/>
        <v>RSD_APA1_LI_E01</v>
      </c>
      <c r="C48" s="41" t="str">
        <f t="shared" si="3"/>
        <v>Apartment A1  Light Standard  (E)</v>
      </c>
      <c r="D48" s="41" t="str">
        <f>Commodities!$D$48</f>
        <v>RSDELC</v>
      </c>
      <c r="E48" s="157"/>
      <c r="F48" s="160">
        <f>I11/SUMPRODUCT(F11:F14,$J$45:$J$48)</f>
        <v>5.857128846705862E-4</v>
      </c>
      <c r="H48" s="40"/>
      <c r="I48" s="149" t="s">
        <v>385</v>
      </c>
      <c r="J48" s="149">
        <v>0.55000000000000004</v>
      </c>
      <c r="K48" s="40"/>
      <c r="L48" s="41"/>
      <c r="M48" s="158"/>
      <c r="N48" s="158"/>
      <c r="O48" s="158"/>
      <c r="P48" s="158"/>
      <c r="Q48" s="41"/>
      <c r="R48" s="41"/>
      <c r="S48" s="41"/>
      <c r="T48" s="44"/>
      <c r="U48" s="44"/>
      <c r="V48" s="44"/>
      <c r="W48" s="44"/>
      <c r="X48" s="44"/>
    </row>
    <row r="49" spans="2:24">
      <c r="B49" s="41" t="str">
        <f t="shared" si="2"/>
        <v>RSD_APA1_LI_E02</v>
      </c>
      <c r="C49" s="41" t="str">
        <f t="shared" si="3"/>
        <v>Apartment A1  Light Fluorescent  (E)</v>
      </c>
      <c r="D49" s="41" t="str">
        <f>Commodities!$D$48</f>
        <v>RSDELC</v>
      </c>
      <c r="E49" s="138"/>
      <c r="F49" s="160">
        <f>F48*$J$46</f>
        <v>1.4642822116764655E-4</v>
      </c>
      <c r="H49" s="40"/>
      <c r="I49" s="40"/>
      <c r="J49" s="40"/>
      <c r="K49" s="40"/>
      <c r="L49" s="41"/>
      <c r="M49" s="158"/>
      <c r="N49" s="158"/>
      <c r="O49" s="158"/>
      <c r="P49" s="158"/>
      <c r="Q49" s="41"/>
      <c r="R49" s="41"/>
      <c r="S49" s="41"/>
      <c r="T49" s="44"/>
      <c r="U49" s="44"/>
      <c r="V49" s="44"/>
      <c r="W49" s="44"/>
      <c r="X49" s="44"/>
    </row>
    <row r="50" spans="2:24">
      <c r="B50" s="41" t="str">
        <f t="shared" si="2"/>
        <v>RSD_APA1_LI_E03</v>
      </c>
      <c r="C50" s="41" t="str">
        <f t="shared" si="3"/>
        <v>Apartment A1  Light LED  (E)</v>
      </c>
      <c r="D50" s="41" t="str">
        <f>Commodities!$D$48</f>
        <v>RSDELC</v>
      </c>
      <c r="E50" s="138"/>
      <c r="F50" s="160">
        <f>F48*$J$47</f>
        <v>8.7856932700587927E-5</v>
      </c>
      <c r="H50" s="40"/>
      <c r="I50" s="40"/>
      <c r="J50" s="40"/>
      <c r="K50" s="40"/>
      <c r="L50" s="41"/>
      <c r="M50" s="158"/>
      <c r="N50" s="158"/>
      <c r="O50" s="158"/>
      <c r="P50" s="158"/>
      <c r="Q50" s="41"/>
      <c r="R50" s="41"/>
      <c r="S50" s="41"/>
      <c r="T50" s="44"/>
      <c r="U50" s="44"/>
      <c r="V50" s="44"/>
      <c r="W50" s="44"/>
      <c r="X50" s="44"/>
    </row>
    <row r="51" spans="2:24">
      <c r="B51" s="152" t="str">
        <f t="shared" si="2"/>
        <v>RSD_APA1_LI_E04</v>
      </c>
      <c r="C51" s="152" t="str">
        <f t="shared" si="3"/>
        <v>Apartment A1  Light Halogen  (E)</v>
      </c>
      <c r="D51" s="152" t="str">
        <f>Commodities!$D$48</f>
        <v>RSDELC</v>
      </c>
      <c r="E51" s="153"/>
      <c r="F51" s="161">
        <f>F48*$J$48</f>
        <v>3.2214208656882246E-4</v>
      </c>
      <c r="H51" s="40"/>
      <c r="I51" s="40"/>
      <c r="J51" s="40"/>
      <c r="K51" s="40"/>
      <c r="L51" s="41"/>
      <c r="M51" s="158"/>
      <c r="N51" s="158"/>
      <c r="O51" s="158"/>
      <c r="P51" s="158"/>
      <c r="Q51" s="41"/>
      <c r="R51" s="41"/>
      <c r="S51" s="41"/>
      <c r="T51" s="44"/>
      <c r="U51" s="44"/>
      <c r="V51" s="44"/>
      <c r="W51" s="44"/>
      <c r="X51" s="44"/>
    </row>
    <row r="52" spans="2:24" hidden="1">
      <c r="B52" s="41" t="str">
        <f t="shared" si="2"/>
        <v>RSD_DTA2_LI_E01</v>
      </c>
      <c r="C52" s="41" t="str">
        <f t="shared" si="3"/>
        <v>Detached A2  Light Standard  (E)</v>
      </c>
      <c r="D52" s="41" t="str">
        <f>Commodities!$D$48</f>
        <v>RSDELC</v>
      </c>
      <c r="E52" s="157"/>
      <c r="F52" s="160">
        <f>I15/SUMPRODUCT(F15:F18,$J$45:$J$48)</f>
        <v>3.1186472627124722E-5</v>
      </c>
      <c r="H52" s="40"/>
      <c r="I52" s="40"/>
      <c r="J52" s="40"/>
      <c r="K52" s="40"/>
      <c r="L52" s="41"/>
      <c r="M52" s="158"/>
      <c r="N52" s="158"/>
      <c r="O52" s="158"/>
      <c r="P52" s="158"/>
      <c r="Q52" s="41"/>
      <c r="R52" s="41"/>
      <c r="S52" s="41"/>
      <c r="T52" s="44"/>
      <c r="U52" s="44"/>
      <c r="V52" s="44"/>
      <c r="W52" s="44"/>
      <c r="X52" s="44"/>
    </row>
    <row r="53" spans="2:24" hidden="1">
      <c r="B53" s="41" t="str">
        <f t="shared" si="2"/>
        <v>RSD_DTA2_LI_E02</v>
      </c>
      <c r="C53" s="41" t="str">
        <f t="shared" si="3"/>
        <v>Detached A2  Light Fluorescent  (E)</v>
      </c>
      <c r="D53" s="41" t="str">
        <f>Commodities!$D$48</f>
        <v>RSDELC</v>
      </c>
      <c r="E53" s="138"/>
      <c r="F53" s="160">
        <f>F52*$J$46</f>
        <v>7.7966181567811806E-6</v>
      </c>
      <c r="H53" s="40"/>
      <c r="I53" s="40"/>
      <c r="J53" s="40"/>
      <c r="K53" s="40"/>
      <c r="L53" s="41"/>
      <c r="M53" s="158"/>
      <c r="N53" s="158"/>
      <c r="O53" s="158"/>
      <c r="P53" s="158"/>
      <c r="Q53" s="41"/>
      <c r="R53" s="41"/>
      <c r="S53" s="41"/>
      <c r="T53" s="44"/>
      <c r="U53" s="44"/>
      <c r="V53" s="44"/>
      <c r="W53" s="44"/>
      <c r="X53" s="44"/>
    </row>
    <row r="54" spans="2:24" hidden="1">
      <c r="B54" s="41" t="str">
        <f t="shared" si="2"/>
        <v>RSD_DTA2_LI_E03</v>
      </c>
      <c r="C54" s="41" t="str">
        <f t="shared" si="3"/>
        <v>Detached A2  Light LED  (E)</v>
      </c>
      <c r="D54" s="41" t="str">
        <f>Commodities!$D$48</f>
        <v>RSDELC</v>
      </c>
      <c r="E54" s="138"/>
      <c r="F54" s="160">
        <f>F52*$J$47</f>
        <v>4.6779708940687084E-6</v>
      </c>
      <c r="H54" s="40"/>
      <c r="I54" s="40"/>
      <c r="J54" s="40"/>
      <c r="K54" s="40"/>
      <c r="L54" s="41"/>
      <c r="M54" s="158"/>
      <c r="N54" s="158"/>
      <c r="O54" s="158"/>
      <c r="P54" s="158"/>
      <c r="Q54" s="41"/>
      <c r="R54" s="41"/>
      <c r="S54" s="41"/>
      <c r="T54" s="44"/>
      <c r="U54" s="44"/>
      <c r="V54" s="44"/>
      <c r="W54" s="44"/>
      <c r="X54" s="44"/>
    </row>
    <row r="55" spans="2:24" hidden="1">
      <c r="B55" s="152" t="str">
        <f t="shared" si="2"/>
        <v>RSD_DTA2_LI_E04</v>
      </c>
      <c r="C55" s="152" t="str">
        <f t="shared" si="3"/>
        <v>Detached A2  Light Halogen  (E)</v>
      </c>
      <c r="D55" s="152" t="str">
        <f>Commodities!$D$48</f>
        <v>RSDELC</v>
      </c>
      <c r="E55" s="153"/>
      <c r="F55" s="161">
        <f>F52*$J$48</f>
        <v>1.7152559944918599E-5</v>
      </c>
      <c r="H55" s="40"/>
      <c r="I55" s="40"/>
      <c r="J55" s="40"/>
      <c r="K55" s="40"/>
      <c r="L55" s="41"/>
      <c r="M55" s="158"/>
      <c r="N55" s="158"/>
      <c r="O55" s="158"/>
      <c r="P55" s="158"/>
      <c r="Q55" s="41"/>
      <c r="R55" s="41"/>
      <c r="S55" s="41"/>
      <c r="T55" s="44"/>
      <c r="U55" s="44"/>
      <c r="V55" s="44"/>
      <c r="W55" s="44"/>
      <c r="X55" s="44"/>
    </row>
    <row r="56" spans="2:24" hidden="1">
      <c r="B56" s="41" t="str">
        <f t="shared" si="2"/>
        <v>RSD_APA2_LI_E01</v>
      </c>
      <c r="C56" s="41" t="str">
        <f t="shared" si="3"/>
        <v>Apartment A2   Light Standard  (E)</v>
      </c>
      <c r="D56" s="41" t="str">
        <f>Commodities!$D$48</f>
        <v>RSDELC</v>
      </c>
      <c r="E56" s="157"/>
      <c r="F56" s="160">
        <f>I19/SUMPRODUCT(F19:F22,$J$45:$J$48)</f>
        <v>3.1186472627124722E-5</v>
      </c>
      <c r="H56" s="40"/>
      <c r="I56" s="40"/>
      <c r="J56" s="40"/>
      <c r="K56" s="40"/>
      <c r="L56" s="41"/>
      <c r="M56" s="158"/>
      <c r="N56" s="158"/>
      <c r="O56" s="158"/>
      <c r="P56" s="158"/>
      <c r="Q56" s="41"/>
      <c r="R56" s="41"/>
      <c r="S56" s="41"/>
      <c r="T56" s="44"/>
      <c r="U56" s="44"/>
      <c r="V56" s="44"/>
      <c r="W56" s="44"/>
      <c r="X56" s="44"/>
    </row>
    <row r="57" spans="2:24" hidden="1">
      <c r="B57" s="41" t="str">
        <f t="shared" si="2"/>
        <v>RSD_APA2_LI_E02</v>
      </c>
      <c r="C57" s="41" t="str">
        <f t="shared" si="3"/>
        <v>Apartment A2   Light Fluorescent  (E)</v>
      </c>
      <c r="D57" s="41" t="str">
        <f>Commodities!$D$48</f>
        <v>RSDELC</v>
      </c>
      <c r="E57" s="138"/>
      <c r="F57" s="160">
        <f>F56*$J$46</f>
        <v>7.7966181567811806E-6</v>
      </c>
      <c r="H57" s="40"/>
      <c r="I57" s="40"/>
      <c r="J57" s="40"/>
      <c r="K57" s="40"/>
      <c r="L57" s="41"/>
      <c r="M57" s="158"/>
      <c r="N57" s="158"/>
      <c r="O57" s="158"/>
      <c r="P57" s="158"/>
      <c r="Q57" s="41"/>
      <c r="R57" s="41"/>
      <c r="S57" s="41"/>
      <c r="T57" s="44"/>
      <c r="U57" s="44"/>
      <c r="V57" s="44"/>
      <c r="W57" s="44"/>
      <c r="X57" s="44"/>
    </row>
    <row r="58" spans="2:24" hidden="1">
      <c r="B58" s="41" t="str">
        <f t="shared" si="2"/>
        <v>RSD_APA2_LI_E03</v>
      </c>
      <c r="C58" s="41" t="str">
        <f t="shared" si="3"/>
        <v>Apartment A2   Light LED  (E)</v>
      </c>
      <c r="D58" s="41" t="str">
        <f>Commodities!$D$48</f>
        <v>RSDELC</v>
      </c>
      <c r="E58" s="138"/>
      <c r="F58" s="160">
        <f>F56*$J$47</f>
        <v>4.6779708940687084E-6</v>
      </c>
      <c r="H58" s="40"/>
      <c r="I58" s="40"/>
      <c r="J58" s="40"/>
      <c r="K58" s="40"/>
      <c r="L58" s="41"/>
      <c r="M58" s="158"/>
      <c r="N58" s="158"/>
      <c r="O58" s="158"/>
      <c r="P58" s="158"/>
      <c r="Q58" s="41"/>
      <c r="R58" s="162"/>
      <c r="S58" s="41"/>
      <c r="T58" s="44"/>
      <c r="U58" s="44"/>
      <c r="V58" s="44"/>
      <c r="W58" s="44"/>
      <c r="X58" s="44"/>
    </row>
    <row r="59" spans="2:24" hidden="1">
      <c r="B59" s="152" t="str">
        <f t="shared" si="2"/>
        <v>RSD_APA2_LI_E04</v>
      </c>
      <c r="C59" s="152" t="str">
        <f t="shared" si="3"/>
        <v>Apartment A2   Light Halogen  (E)</v>
      </c>
      <c r="D59" s="152" t="str">
        <f>Commodities!$D$48</f>
        <v>RSDELC</v>
      </c>
      <c r="E59" s="153"/>
      <c r="F59" s="161">
        <f>F56*$J$48</f>
        <v>1.7152559944918599E-5</v>
      </c>
      <c r="H59" s="40"/>
      <c r="I59" s="40"/>
      <c r="J59" s="40"/>
      <c r="K59" s="40"/>
      <c r="L59" s="41"/>
      <c r="M59" s="158"/>
      <c r="N59" s="158"/>
      <c r="O59" s="158"/>
      <c r="P59" s="158"/>
      <c r="Q59" s="41"/>
      <c r="R59" s="41"/>
      <c r="S59" s="41"/>
      <c r="T59" s="44"/>
      <c r="U59" s="44"/>
      <c r="V59" s="44"/>
      <c r="W59" s="44"/>
      <c r="X59" s="44"/>
    </row>
    <row r="60" spans="2:24" hidden="1">
      <c r="B60" s="41" t="str">
        <f t="shared" si="2"/>
        <v>RSD_DTA3_LI_E01</v>
      </c>
      <c r="C60" s="41" t="str">
        <f t="shared" si="3"/>
        <v>Detached A3  Light Standard  (E)</v>
      </c>
      <c r="D60" s="41" t="str">
        <f>Commodities!$D$48</f>
        <v>RSDELC</v>
      </c>
      <c r="E60" s="157"/>
      <c r="F60" s="160">
        <f>I23/SUMPRODUCT(F23:F26,$J$45:$J$48)</f>
        <v>3.1186472627124722E-5</v>
      </c>
      <c r="H60" s="40"/>
      <c r="I60" s="40"/>
      <c r="J60" s="40"/>
      <c r="K60" s="41"/>
      <c r="L60" s="41"/>
      <c r="M60" s="158"/>
      <c r="N60" s="158"/>
      <c r="O60" s="158"/>
      <c r="P60" s="158"/>
      <c r="Q60" s="41"/>
      <c r="R60" s="41"/>
      <c r="S60" s="41"/>
      <c r="T60" s="44"/>
      <c r="U60" s="44"/>
      <c r="V60" s="44"/>
      <c r="W60" s="44"/>
      <c r="X60" s="44"/>
    </row>
    <row r="61" spans="2:24" hidden="1">
      <c r="B61" s="41" t="str">
        <f t="shared" si="2"/>
        <v>RSD_DTA3_LI_E02</v>
      </c>
      <c r="C61" s="41" t="str">
        <f t="shared" si="3"/>
        <v>Detached A3  Light Fluorescent  (E)</v>
      </c>
      <c r="D61" s="41" t="str">
        <f>Commodities!$D$48</f>
        <v>RSDELC</v>
      </c>
      <c r="E61" s="138"/>
      <c r="F61" s="160">
        <f>F60*$J$46</f>
        <v>7.7966181567811806E-6</v>
      </c>
      <c r="H61" s="40"/>
      <c r="I61" s="40"/>
      <c r="J61" s="40"/>
      <c r="M61" s="163"/>
      <c r="N61" s="163"/>
      <c r="O61" s="163"/>
      <c r="P61" s="163"/>
      <c r="T61" s="44"/>
      <c r="U61" s="44"/>
      <c r="V61" s="44"/>
      <c r="W61" s="44"/>
      <c r="X61" s="44"/>
    </row>
    <row r="62" spans="2:24" hidden="1">
      <c r="B62" s="41" t="str">
        <f t="shared" si="2"/>
        <v>RSD_DTA3_LI_E03</v>
      </c>
      <c r="C62" s="41" t="str">
        <f t="shared" si="3"/>
        <v>Detached A3  Light LED  (E)</v>
      </c>
      <c r="D62" s="41" t="str">
        <f>Commodities!$D$48</f>
        <v>RSDELC</v>
      </c>
      <c r="E62" s="138"/>
      <c r="F62" s="160">
        <f>F60*$J$47</f>
        <v>4.6779708940687084E-6</v>
      </c>
      <c r="H62" s="40"/>
      <c r="I62" s="40"/>
      <c r="J62" s="40"/>
      <c r="T62" s="44"/>
      <c r="U62" s="44"/>
      <c r="V62" s="44"/>
      <c r="W62" s="44"/>
      <c r="X62" s="44"/>
    </row>
    <row r="63" spans="2:24" hidden="1">
      <c r="B63" s="152" t="str">
        <f t="shared" si="2"/>
        <v>RSD_DTA3_LI_E04</v>
      </c>
      <c r="C63" s="152" t="str">
        <f t="shared" si="3"/>
        <v>Detached A3  Light Halogen  (E)</v>
      </c>
      <c r="D63" s="152" t="str">
        <f>Commodities!$D$48</f>
        <v>RSDELC</v>
      </c>
      <c r="E63" s="153"/>
      <c r="F63" s="161">
        <f>F60*$J$48</f>
        <v>1.7152559944918599E-5</v>
      </c>
      <c r="H63" s="40"/>
      <c r="I63" s="40"/>
      <c r="J63" s="40"/>
      <c r="T63" s="44"/>
      <c r="U63" s="44"/>
      <c r="V63" s="44"/>
      <c r="W63" s="44"/>
      <c r="X63" s="44"/>
    </row>
    <row r="64" spans="2:24" hidden="1">
      <c r="B64" s="41" t="str">
        <f t="shared" si="2"/>
        <v>RSD_APA3_LI_E01</v>
      </c>
      <c r="C64" s="41" t="str">
        <f t="shared" si="3"/>
        <v>Apartment A3  Light Standard  (E)</v>
      </c>
      <c r="D64" s="41" t="str">
        <f>Commodities!$D$48</f>
        <v>RSDELC</v>
      </c>
      <c r="E64" s="157"/>
      <c r="F64" s="160">
        <f>I27/SUMPRODUCT(F27:F30,$J$45:$J$48)</f>
        <v>3.1186472627124722E-5</v>
      </c>
      <c r="H64" s="40"/>
      <c r="I64" s="40"/>
      <c r="J64" s="40"/>
      <c r="T64" s="44"/>
      <c r="U64" s="44"/>
      <c r="V64" s="44"/>
      <c r="W64" s="44"/>
      <c r="X64" s="44"/>
    </row>
    <row r="65" spans="2:24" hidden="1">
      <c r="B65" s="41" t="str">
        <f t="shared" si="2"/>
        <v>RSD_APA3_LI_E02</v>
      </c>
      <c r="C65" s="41" t="str">
        <f t="shared" si="3"/>
        <v>Apartment A3  Light Fluorescent  (E)</v>
      </c>
      <c r="D65" s="41" t="str">
        <f>Commodities!$D$48</f>
        <v>RSDELC</v>
      </c>
      <c r="E65" s="138"/>
      <c r="F65" s="160">
        <f>F64*$J$46</f>
        <v>7.7966181567811806E-6</v>
      </c>
      <c r="H65" s="40"/>
      <c r="I65" s="40"/>
      <c r="J65" s="40"/>
      <c r="T65" s="44"/>
      <c r="U65" s="44"/>
      <c r="V65" s="44"/>
      <c r="W65" s="44"/>
      <c r="X65" s="44"/>
    </row>
    <row r="66" spans="2:24" hidden="1">
      <c r="B66" s="41" t="str">
        <f t="shared" si="2"/>
        <v>RSD_APA3_LI_E03</v>
      </c>
      <c r="C66" s="41" t="str">
        <f t="shared" si="3"/>
        <v>Apartment A3  Light LED  (E)</v>
      </c>
      <c r="D66" s="41" t="str">
        <f>Commodities!$D$48</f>
        <v>RSDELC</v>
      </c>
      <c r="E66" s="138"/>
      <c r="F66" s="160">
        <f>F64*$J$47</f>
        <v>4.6779708940687084E-6</v>
      </c>
      <c r="H66" s="40"/>
      <c r="I66" s="40"/>
      <c r="J66" s="40"/>
      <c r="T66" s="44"/>
      <c r="U66" s="44"/>
      <c r="V66" s="44"/>
      <c r="W66" s="44"/>
      <c r="X66" s="44"/>
    </row>
    <row r="67" spans="2:24" hidden="1">
      <c r="B67" s="152" t="str">
        <f t="shared" si="2"/>
        <v>RSD_APA3_LI_E04</v>
      </c>
      <c r="C67" s="152" t="str">
        <f t="shared" si="3"/>
        <v>Apartment A3  Light Halogen  (E)</v>
      </c>
      <c r="D67" s="152" t="str">
        <f>Commodities!$D$48</f>
        <v>RSDELC</v>
      </c>
      <c r="E67" s="153"/>
      <c r="F67" s="161">
        <f>F64*$J$48</f>
        <v>1.7152559944918599E-5</v>
      </c>
      <c r="H67" s="40"/>
      <c r="I67" s="40"/>
      <c r="J67" s="40"/>
      <c r="T67" s="44"/>
      <c r="U67" s="44"/>
      <c r="V67" s="44"/>
      <c r="W67" s="44"/>
      <c r="X67" s="44"/>
    </row>
    <row r="68" spans="2:24" hidden="1">
      <c r="B68" s="41" t="str">
        <f t="shared" si="2"/>
        <v>RSD_DTA4_LI_E01</v>
      </c>
      <c r="C68" s="41" t="str">
        <f t="shared" si="3"/>
        <v>Detached A4  Light Standard  (E)</v>
      </c>
      <c r="D68" s="41" t="str">
        <f>Commodities!$D$48</f>
        <v>RSDELC</v>
      </c>
      <c r="E68" s="157"/>
      <c r="F68" s="160">
        <f>I31/SUMPRODUCT(F31:F34,$J$45:$J$48)</f>
        <v>3.1186472627124722E-5</v>
      </c>
      <c r="H68" s="41"/>
      <c r="I68" s="41"/>
      <c r="J68" s="41"/>
      <c r="T68" s="44"/>
      <c r="U68" s="44"/>
      <c r="V68" s="44"/>
      <c r="W68" s="44"/>
      <c r="X68" s="44"/>
    </row>
    <row r="69" spans="2:24" hidden="1">
      <c r="B69" s="41" t="str">
        <f t="shared" si="2"/>
        <v>RSD_DTA4_LI_E02</v>
      </c>
      <c r="C69" s="41" t="str">
        <f t="shared" si="3"/>
        <v>Detached A4  Light Fluorescent  (E)</v>
      </c>
      <c r="D69" s="41" t="str">
        <f>Commodities!$D$48</f>
        <v>RSDELC</v>
      </c>
      <c r="E69" s="138"/>
      <c r="F69" s="160">
        <f>F68*$J$46</f>
        <v>7.7966181567811806E-6</v>
      </c>
      <c r="T69" s="44"/>
      <c r="U69" s="44"/>
      <c r="V69" s="44"/>
      <c r="W69" s="44"/>
      <c r="X69" s="44"/>
    </row>
    <row r="70" spans="2:24" hidden="1">
      <c r="B70" s="41" t="str">
        <f t="shared" si="2"/>
        <v>RSD_DTA4_LI_E03</v>
      </c>
      <c r="C70" s="41" t="str">
        <f t="shared" si="3"/>
        <v>Detached A4  Light LED  (E)</v>
      </c>
      <c r="D70" s="41" t="str">
        <f>Commodities!$D$48</f>
        <v>RSDELC</v>
      </c>
      <c r="E70" s="138"/>
      <c r="F70" s="160">
        <f>F68*$J$47</f>
        <v>4.6779708940687084E-6</v>
      </c>
      <c r="T70" s="44"/>
      <c r="U70" s="44"/>
      <c r="V70" s="44"/>
      <c r="W70" s="44"/>
      <c r="X70" s="44"/>
    </row>
    <row r="71" spans="2:24" hidden="1">
      <c r="B71" s="152" t="str">
        <f t="shared" si="2"/>
        <v>RSD_DTA4_LI_E04</v>
      </c>
      <c r="C71" s="152" t="str">
        <f t="shared" si="3"/>
        <v>Detached A4  Light Halogen  (E)</v>
      </c>
      <c r="D71" s="152" t="str">
        <f>Commodities!$D$48</f>
        <v>RSDELC</v>
      </c>
      <c r="E71" s="153"/>
      <c r="F71" s="161">
        <f>F68*$J$48</f>
        <v>1.7152559944918599E-5</v>
      </c>
      <c r="T71" s="44"/>
      <c r="U71" s="44"/>
      <c r="V71" s="44"/>
      <c r="W71" s="44"/>
      <c r="X71" s="44"/>
    </row>
    <row r="72" spans="2:24" hidden="1">
      <c r="B72" s="41" t="str">
        <f t="shared" si="2"/>
        <v>RSD_APA4_LI_E01</v>
      </c>
      <c r="C72" s="41" t="str">
        <f t="shared" si="3"/>
        <v>Apartment A4  Light Standard  (E)</v>
      </c>
      <c r="D72" s="41" t="str">
        <f>Commodities!$D$48</f>
        <v>RSDELC</v>
      </c>
      <c r="E72" s="157"/>
      <c r="F72" s="160">
        <f>I35/SUMPRODUCT(F35:F38,$J$45:$J$48)</f>
        <v>3.1186472627124722E-5</v>
      </c>
      <c r="T72" s="44"/>
      <c r="U72" s="44"/>
      <c r="V72" s="44"/>
      <c r="W72" s="44"/>
      <c r="X72" s="44"/>
    </row>
    <row r="73" spans="2:24" hidden="1">
      <c r="B73" s="41" t="str">
        <f t="shared" si="2"/>
        <v>RSD_APA4_LI_E02</v>
      </c>
      <c r="C73" s="41" t="str">
        <f t="shared" si="3"/>
        <v>Apartment A4  Light Fluorescent  (E)</v>
      </c>
      <c r="D73" s="41" t="str">
        <f>Commodities!$D$48</f>
        <v>RSDELC</v>
      </c>
      <c r="E73" s="138"/>
      <c r="F73" s="160">
        <f>F72*$J$46</f>
        <v>7.7966181567811806E-6</v>
      </c>
      <c r="T73" s="44"/>
      <c r="U73" s="44"/>
      <c r="V73" s="44"/>
      <c r="W73" s="44"/>
      <c r="X73" s="44"/>
    </row>
    <row r="74" spans="2:24" hidden="1">
      <c r="B74" s="41" t="str">
        <f t="shared" si="2"/>
        <v>RSD_APA4_LI_E03</v>
      </c>
      <c r="C74" s="41" t="str">
        <f t="shared" si="3"/>
        <v>Apartment A4  Light LED  (E)</v>
      </c>
      <c r="D74" s="41" t="str">
        <f>Commodities!$D$48</f>
        <v>RSDELC</v>
      </c>
      <c r="E74" s="138"/>
      <c r="F74" s="160">
        <f>F72*$J$47</f>
        <v>4.6779708940687084E-6</v>
      </c>
      <c r="T74" s="44"/>
      <c r="U74" s="44"/>
      <c r="V74" s="44"/>
      <c r="W74" s="44"/>
      <c r="X74" s="44"/>
    </row>
    <row r="75" spans="2:24" hidden="1">
      <c r="B75" s="152" t="str">
        <f t="shared" si="2"/>
        <v>RSD_APA4_LI_E04</v>
      </c>
      <c r="C75" s="152" t="str">
        <f t="shared" si="3"/>
        <v>Apartment A4  Light Halogen  (E)</v>
      </c>
      <c r="D75" s="152" t="str">
        <f>Commodities!$D$48</f>
        <v>RSDELC</v>
      </c>
      <c r="E75" s="153"/>
      <c r="F75" s="161">
        <f>F72*$J$48</f>
        <v>1.7152559944918599E-5</v>
      </c>
      <c r="T75" s="44"/>
      <c r="U75" s="44"/>
      <c r="V75" s="44"/>
      <c r="W75" s="44"/>
      <c r="X75" s="44"/>
    </row>
    <row r="76" spans="2:24">
      <c r="T76" s="44"/>
      <c r="U76" s="44"/>
      <c r="V76" s="44"/>
      <c r="W76" s="44"/>
      <c r="X76" s="44"/>
    </row>
    <row r="77" spans="2:24" ht="13.8">
      <c r="E77" s="86" t="s">
        <v>352</v>
      </c>
      <c r="T77" s="44"/>
      <c r="U77" s="44"/>
      <c r="V77" s="44"/>
      <c r="W77" s="44"/>
      <c r="X77" s="44"/>
    </row>
    <row r="78" spans="2:24" ht="13.8">
      <c r="B78" s="88" t="s">
        <v>1</v>
      </c>
      <c r="C78" s="88" t="s">
        <v>42</v>
      </c>
      <c r="D78" s="88" t="s">
        <v>7</v>
      </c>
      <c r="E78" s="88" t="s">
        <v>0</v>
      </c>
      <c r="F78" s="121" t="s">
        <v>999</v>
      </c>
      <c r="T78" s="44"/>
      <c r="U78" s="44"/>
      <c r="V78" s="44"/>
      <c r="W78" s="44"/>
      <c r="X78" s="44"/>
    </row>
    <row r="79" spans="2:24" ht="14.4" thickBot="1">
      <c r="B79" s="92" t="s">
        <v>356</v>
      </c>
      <c r="C79" s="92" t="s">
        <v>26</v>
      </c>
      <c r="D79" s="124" t="s">
        <v>36</v>
      </c>
      <c r="E79" s="123"/>
      <c r="F79" s="92"/>
      <c r="T79" s="44"/>
      <c r="U79" s="44"/>
      <c r="V79" s="44"/>
      <c r="W79" s="44"/>
      <c r="X79" s="44"/>
    </row>
    <row r="80" spans="2:24" ht="14.4" thickBot="1">
      <c r="B80" s="92" t="s">
        <v>269</v>
      </c>
      <c r="C80" s="92"/>
      <c r="D80" s="92"/>
      <c r="E80" s="123"/>
      <c r="F80" s="124"/>
      <c r="T80" s="44"/>
      <c r="U80" s="44"/>
      <c r="V80" s="44"/>
      <c r="W80" s="44"/>
      <c r="X80" s="44"/>
    </row>
    <row r="81" spans="2:24">
      <c r="B81" s="51" t="str">
        <f t="shared" ref="B81:B112" si="4">M7</f>
        <v>RSD_DTA1_LI_E01</v>
      </c>
      <c r="C81" s="51" t="str">
        <f t="shared" ref="C81:C112" si="5">N7</f>
        <v>Detached A1 Light Standard  (E)</v>
      </c>
      <c r="E81" s="135" t="str">
        <f>Commodities!$AA$47</f>
        <v>RSD_DTA1_LI</v>
      </c>
      <c r="F81" s="164">
        <v>2.21</v>
      </c>
      <c r="T81" s="44"/>
      <c r="U81" s="44"/>
      <c r="V81" s="44"/>
      <c r="W81" s="44"/>
      <c r="X81" s="44"/>
    </row>
    <row r="82" spans="2:24">
      <c r="B82" s="51" t="str">
        <f t="shared" si="4"/>
        <v>RSD_DTA1_LI_E02</v>
      </c>
      <c r="C82" s="51" t="str">
        <f t="shared" si="5"/>
        <v>Detached A1 Light Fluorescent  (E)</v>
      </c>
      <c r="E82" s="138" t="str">
        <f>Commodities!$AA$47</f>
        <v>RSD_DTA1_LI</v>
      </c>
      <c r="F82" s="164">
        <v>2.21</v>
      </c>
      <c r="T82" s="44"/>
      <c r="U82" s="44"/>
      <c r="V82" s="44"/>
      <c r="W82" s="44"/>
      <c r="X82" s="44"/>
    </row>
    <row r="83" spans="2:24">
      <c r="B83" s="51" t="str">
        <f t="shared" si="4"/>
        <v>RSD_DTA1_LI_E03</v>
      </c>
      <c r="C83" s="51" t="str">
        <f t="shared" si="5"/>
        <v>Detached A1 Light LED  (E)</v>
      </c>
      <c r="E83" s="138" t="str">
        <f>Commodities!$AA$47</f>
        <v>RSD_DTA1_LI</v>
      </c>
      <c r="F83" s="164">
        <v>2.21</v>
      </c>
      <c r="T83" s="44"/>
      <c r="U83" s="44"/>
      <c r="V83" s="44"/>
      <c r="W83" s="44"/>
      <c r="X83" s="44"/>
    </row>
    <row r="84" spans="2:24">
      <c r="B84" s="152" t="str">
        <f t="shared" si="4"/>
        <v>RSD_DTA1_LI_E04</v>
      </c>
      <c r="C84" s="152" t="str">
        <f t="shared" si="5"/>
        <v>Detached A1 Light Halogen  (E)</v>
      </c>
      <c r="D84" s="152"/>
      <c r="E84" s="153" t="str">
        <f>Commodities!$AA$47</f>
        <v>RSD_DTA1_LI</v>
      </c>
      <c r="F84" s="165">
        <v>2.21</v>
      </c>
      <c r="T84" s="44"/>
      <c r="U84" s="44"/>
      <c r="V84" s="44"/>
      <c r="W84" s="44"/>
      <c r="X84" s="44"/>
    </row>
    <row r="85" spans="2:24">
      <c r="B85" s="41" t="str">
        <f t="shared" si="4"/>
        <v>RSD_APA1_LI_E01</v>
      </c>
      <c r="C85" s="41" t="str">
        <f t="shared" si="5"/>
        <v>Apartment A1  Light Standard  (E)</v>
      </c>
      <c r="D85" s="41"/>
      <c r="E85" s="157" t="str">
        <f>Commodities!$AA$48</f>
        <v>RSD_APA1_LI</v>
      </c>
      <c r="F85" s="164">
        <v>2.21</v>
      </c>
      <c r="T85" s="44"/>
      <c r="U85" s="44"/>
      <c r="V85" s="44"/>
      <c r="W85" s="44"/>
      <c r="X85" s="44"/>
    </row>
    <row r="86" spans="2:24">
      <c r="B86" s="41" t="str">
        <f t="shared" si="4"/>
        <v>RSD_APA1_LI_E02</v>
      </c>
      <c r="C86" s="41" t="str">
        <f t="shared" si="5"/>
        <v>Apartment A1  Light Fluorescent  (E)</v>
      </c>
      <c r="D86" s="41"/>
      <c r="E86" s="138" t="str">
        <f>Commodities!$AA$48</f>
        <v>RSD_APA1_LI</v>
      </c>
      <c r="F86" s="164">
        <v>2.21</v>
      </c>
      <c r="T86" s="44"/>
      <c r="U86" s="44"/>
      <c r="V86" s="44"/>
      <c r="W86" s="44"/>
      <c r="X86" s="44"/>
    </row>
    <row r="87" spans="2:24">
      <c r="B87" s="41" t="str">
        <f t="shared" si="4"/>
        <v>RSD_APA1_LI_E03</v>
      </c>
      <c r="C87" s="41" t="str">
        <f t="shared" si="5"/>
        <v>Apartment A1  Light LED  (E)</v>
      </c>
      <c r="D87" s="41"/>
      <c r="E87" s="138" t="str">
        <f>Commodities!$AA$48</f>
        <v>RSD_APA1_LI</v>
      </c>
      <c r="F87" s="164">
        <v>2.21</v>
      </c>
      <c r="T87" s="44"/>
      <c r="U87" s="44"/>
      <c r="V87" s="44"/>
      <c r="W87" s="44"/>
      <c r="X87" s="44"/>
    </row>
    <row r="88" spans="2:24">
      <c r="B88" s="152" t="str">
        <f t="shared" si="4"/>
        <v>RSD_APA1_LI_E04</v>
      </c>
      <c r="C88" s="152" t="str">
        <f t="shared" si="5"/>
        <v>Apartment A1  Light Halogen  (E)</v>
      </c>
      <c r="D88" s="152"/>
      <c r="E88" s="153" t="str">
        <f>Commodities!$AA$48</f>
        <v>RSD_APA1_LI</v>
      </c>
      <c r="F88" s="165">
        <v>2.21</v>
      </c>
      <c r="T88" s="44"/>
      <c r="U88" s="44"/>
      <c r="V88" s="44"/>
      <c r="W88" s="44"/>
      <c r="X88" s="44"/>
    </row>
    <row r="89" spans="2:24" hidden="1">
      <c r="B89" s="41" t="str">
        <f t="shared" si="4"/>
        <v>RSD_DTA2_LI_E01</v>
      </c>
      <c r="C89" s="41" t="str">
        <f t="shared" si="5"/>
        <v>Detached A2  Light Standard  (E)</v>
      </c>
      <c r="D89" s="41"/>
      <c r="E89" s="157" t="str">
        <f>Commodities!$AA$49</f>
        <v>RSD_DTA2_LI</v>
      </c>
      <c r="F89" s="164">
        <v>2.21</v>
      </c>
      <c r="H89" s="51" t="s">
        <v>942</v>
      </c>
      <c r="T89" s="44"/>
      <c r="U89" s="44"/>
      <c r="V89" s="44"/>
      <c r="W89" s="44"/>
      <c r="X89" s="44"/>
    </row>
    <row r="90" spans="2:24" hidden="1">
      <c r="B90" s="41" t="str">
        <f t="shared" si="4"/>
        <v>RSD_DTA2_LI_E02</v>
      </c>
      <c r="C90" s="41" t="str">
        <f t="shared" si="5"/>
        <v>Detached A2  Light Fluorescent  (E)</v>
      </c>
      <c r="D90" s="41"/>
      <c r="E90" s="138" t="str">
        <f>Commodities!$AA$49</f>
        <v>RSD_DTA2_LI</v>
      </c>
      <c r="F90" s="164">
        <v>2.21</v>
      </c>
      <c r="H90" s="51" t="s">
        <v>942</v>
      </c>
      <c r="T90" s="44"/>
      <c r="U90" s="44"/>
      <c r="V90" s="44"/>
      <c r="W90" s="44"/>
      <c r="X90" s="44"/>
    </row>
    <row r="91" spans="2:24" hidden="1">
      <c r="B91" s="41" t="str">
        <f t="shared" si="4"/>
        <v>RSD_DTA2_LI_E03</v>
      </c>
      <c r="C91" s="41" t="str">
        <f t="shared" si="5"/>
        <v>Detached A2  Light LED  (E)</v>
      </c>
      <c r="D91" s="41"/>
      <c r="E91" s="138" t="str">
        <f>Commodities!$AA$49</f>
        <v>RSD_DTA2_LI</v>
      </c>
      <c r="F91" s="164">
        <v>2.21</v>
      </c>
      <c r="H91" s="51" t="s">
        <v>942</v>
      </c>
      <c r="T91" s="44"/>
      <c r="U91" s="44"/>
      <c r="V91" s="44"/>
      <c r="W91" s="44"/>
      <c r="X91" s="44"/>
    </row>
    <row r="92" spans="2:24" hidden="1">
      <c r="B92" s="152" t="str">
        <f t="shared" si="4"/>
        <v>RSD_DTA2_LI_E04</v>
      </c>
      <c r="C92" s="152" t="str">
        <f t="shared" si="5"/>
        <v>Detached A2  Light Halogen  (E)</v>
      </c>
      <c r="D92" s="152"/>
      <c r="E92" s="153" t="str">
        <f>Commodities!$AA$49</f>
        <v>RSD_DTA2_LI</v>
      </c>
      <c r="F92" s="165">
        <v>2.21</v>
      </c>
      <c r="H92" s="51" t="s">
        <v>942</v>
      </c>
      <c r="T92" s="44"/>
      <c r="U92" s="44"/>
      <c r="V92" s="44"/>
      <c r="W92" s="44"/>
      <c r="X92" s="44"/>
    </row>
    <row r="93" spans="2:24" hidden="1">
      <c r="B93" s="41" t="str">
        <f t="shared" si="4"/>
        <v>RSD_APA2_LI_E01</v>
      </c>
      <c r="C93" s="41" t="str">
        <f t="shared" si="5"/>
        <v>Apartment A2   Light Standard  (E)</v>
      </c>
      <c r="D93" s="41"/>
      <c r="E93" s="157" t="str">
        <f>Commodities!$AA$50</f>
        <v>RSD_APA2_LI</v>
      </c>
      <c r="F93" s="164">
        <v>2.21</v>
      </c>
      <c r="H93" s="51" t="s">
        <v>942</v>
      </c>
      <c r="T93" s="44"/>
      <c r="U93" s="44"/>
      <c r="V93" s="44"/>
      <c r="W93" s="44"/>
      <c r="X93" s="44"/>
    </row>
    <row r="94" spans="2:24" hidden="1">
      <c r="B94" s="41" t="str">
        <f t="shared" si="4"/>
        <v>RSD_APA2_LI_E02</v>
      </c>
      <c r="C94" s="41" t="str">
        <f t="shared" si="5"/>
        <v>Apartment A2   Light Fluorescent  (E)</v>
      </c>
      <c r="D94" s="41"/>
      <c r="E94" s="138" t="str">
        <f>Commodities!$AA$50</f>
        <v>RSD_APA2_LI</v>
      </c>
      <c r="F94" s="164">
        <v>2.21</v>
      </c>
      <c r="H94" s="51" t="s">
        <v>942</v>
      </c>
      <c r="T94" s="44"/>
      <c r="U94" s="44"/>
      <c r="V94" s="44"/>
      <c r="W94" s="44"/>
      <c r="X94" s="44"/>
    </row>
    <row r="95" spans="2:24" hidden="1">
      <c r="B95" s="41" t="str">
        <f t="shared" si="4"/>
        <v>RSD_APA2_LI_E03</v>
      </c>
      <c r="C95" s="41" t="str">
        <f t="shared" si="5"/>
        <v>Apartment A2   Light LED  (E)</v>
      </c>
      <c r="D95" s="41"/>
      <c r="E95" s="138" t="str">
        <f>Commodities!$AA$50</f>
        <v>RSD_APA2_LI</v>
      </c>
      <c r="F95" s="164">
        <v>2.21</v>
      </c>
      <c r="H95" s="51" t="s">
        <v>942</v>
      </c>
      <c r="T95" s="44"/>
      <c r="U95" s="44"/>
      <c r="V95" s="44"/>
      <c r="W95" s="44"/>
      <c r="X95" s="44"/>
    </row>
    <row r="96" spans="2:24" hidden="1">
      <c r="B96" s="152" t="str">
        <f t="shared" si="4"/>
        <v>RSD_APA2_LI_E04</v>
      </c>
      <c r="C96" s="152" t="str">
        <f t="shared" si="5"/>
        <v>Apartment A2   Light Halogen  (E)</v>
      </c>
      <c r="D96" s="152"/>
      <c r="E96" s="153" t="str">
        <f>Commodities!$AA$50</f>
        <v>RSD_APA2_LI</v>
      </c>
      <c r="F96" s="165">
        <v>2.21</v>
      </c>
      <c r="H96" s="51" t="s">
        <v>942</v>
      </c>
      <c r="T96" s="44"/>
      <c r="U96" s="44"/>
      <c r="V96" s="44"/>
      <c r="W96" s="44"/>
      <c r="X96" s="44"/>
    </row>
    <row r="97" spans="2:24" hidden="1">
      <c r="B97" s="41" t="str">
        <f t="shared" si="4"/>
        <v>RSD_DTA3_LI_E01</v>
      </c>
      <c r="C97" s="41" t="str">
        <f t="shared" si="5"/>
        <v>Detached A3  Light Standard  (E)</v>
      </c>
      <c r="D97" s="41"/>
      <c r="E97" s="157" t="str">
        <f>Commodities!$AA$51</f>
        <v>RSD_DTA3_LI</v>
      </c>
      <c r="F97" s="164">
        <v>2.21</v>
      </c>
      <c r="H97" s="51" t="s">
        <v>942</v>
      </c>
      <c r="T97" s="44"/>
      <c r="U97" s="44"/>
      <c r="V97" s="44"/>
      <c r="W97" s="44"/>
      <c r="X97" s="44"/>
    </row>
    <row r="98" spans="2:24" hidden="1">
      <c r="B98" s="41" t="str">
        <f t="shared" si="4"/>
        <v>RSD_DTA3_LI_E02</v>
      </c>
      <c r="C98" s="41" t="str">
        <f t="shared" si="5"/>
        <v>Detached A3  Light Fluorescent  (E)</v>
      </c>
      <c r="D98" s="41"/>
      <c r="E98" s="138" t="str">
        <f>Commodities!$AA$51</f>
        <v>RSD_DTA3_LI</v>
      </c>
      <c r="F98" s="164">
        <v>2.21</v>
      </c>
      <c r="H98" s="51" t="s">
        <v>942</v>
      </c>
      <c r="T98" s="44"/>
      <c r="U98" s="44"/>
      <c r="V98" s="44"/>
      <c r="W98" s="44"/>
      <c r="X98" s="44"/>
    </row>
    <row r="99" spans="2:24" hidden="1">
      <c r="B99" s="41" t="str">
        <f t="shared" si="4"/>
        <v>RSD_DTA3_LI_E03</v>
      </c>
      <c r="C99" s="41" t="str">
        <f t="shared" si="5"/>
        <v>Detached A3  Light LED  (E)</v>
      </c>
      <c r="D99" s="41"/>
      <c r="E99" s="138" t="str">
        <f>Commodities!$AA$51</f>
        <v>RSD_DTA3_LI</v>
      </c>
      <c r="F99" s="164">
        <v>2.21</v>
      </c>
      <c r="H99" s="51" t="s">
        <v>942</v>
      </c>
      <c r="T99" s="44"/>
      <c r="U99" s="44"/>
      <c r="V99" s="44"/>
      <c r="W99" s="44"/>
      <c r="X99" s="44"/>
    </row>
    <row r="100" spans="2:24" hidden="1">
      <c r="B100" s="152" t="str">
        <f t="shared" si="4"/>
        <v>RSD_DTA3_LI_E04</v>
      </c>
      <c r="C100" s="152" t="str">
        <f t="shared" si="5"/>
        <v>Detached A3  Light Halogen  (E)</v>
      </c>
      <c r="D100" s="152"/>
      <c r="E100" s="153" t="str">
        <f>Commodities!$AA$51</f>
        <v>RSD_DTA3_LI</v>
      </c>
      <c r="F100" s="165">
        <v>2.21</v>
      </c>
      <c r="H100" s="51" t="s">
        <v>942</v>
      </c>
      <c r="T100" s="44"/>
      <c r="U100" s="44"/>
      <c r="V100" s="44"/>
      <c r="W100" s="44"/>
      <c r="X100" s="44"/>
    </row>
    <row r="101" spans="2:24" hidden="1">
      <c r="B101" s="41" t="str">
        <f t="shared" si="4"/>
        <v>RSD_APA3_LI_E01</v>
      </c>
      <c r="C101" s="41" t="str">
        <f t="shared" si="5"/>
        <v>Apartment A3  Light Standard  (E)</v>
      </c>
      <c r="D101" s="41"/>
      <c r="E101" s="157" t="str">
        <f>Commodities!$AA$52</f>
        <v>RSD_APA3_LI</v>
      </c>
      <c r="F101" s="164">
        <v>2.21</v>
      </c>
      <c r="H101" s="51" t="s">
        <v>942</v>
      </c>
      <c r="T101" s="44"/>
      <c r="U101" s="44"/>
      <c r="V101" s="44"/>
      <c r="W101" s="44"/>
      <c r="X101" s="44"/>
    </row>
    <row r="102" spans="2:24" hidden="1">
      <c r="B102" s="41" t="str">
        <f t="shared" si="4"/>
        <v>RSD_APA3_LI_E02</v>
      </c>
      <c r="C102" s="41" t="str">
        <f t="shared" si="5"/>
        <v>Apartment A3  Light Fluorescent  (E)</v>
      </c>
      <c r="D102" s="41"/>
      <c r="E102" s="138" t="str">
        <f>Commodities!$AA$52</f>
        <v>RSD_APA3_LI</v>
      </c>
      <c r="F102" s="164">
        <v>2.21</v>
      </c>
      <c r="H102" s="51" t="s">
        <v>942</v>
      </c>
      <c r="T102" s="44"/>
      <c r="U102" s="44"/>
      <c r="V102" s="44"/>
      <c r="W102" s="44"/>
      <c r="X102" s="44"/>
    </row>
    <row r="103" spans="2:24" hidden="1">
      <c r="B103" s="41" t="str">
        <f t="shared" si="4"/>
        <v>RSD_APA3_LI_E03</v>
      </c>
      <c r="C103" s="41" t="str">
        <f t="shared" si="5"/>
        <v>Apartment A3  Light LED  (E)</v>
      </c>
      <c r="D103" s="41"/>
      <c r="E103" s="138" t="str">
        <f>Commodities!$AA$52</f>
        <v>RSD_APA3_LI</v>
      </c>
      <c r="F103" s="164">
        <v>2.21</v>
      </c>
      <c r="H103" s="51" t="s">
        <v>942</v>
      </c>
      <c r="T103" s="44"/>
      <c r="U103" s="44"/>
      <c r="V103" s="44"/>
      <c r="W103" s="44"/>
      <c r="X103" s="44"/>
    </row>
    <row r="104" spans="2:24" hidden="1">
      <c r="B104" s="152" t="str">
        <f t="shared" si="4"/>
        <v>RSD_APA3_LI_E04</v>
      </c>
      <c r="C104" s="152" t="str">
        <f t="shared" si="5"/>
        <v>Apartment A3  Light Halogen  (E)</v>
      </c>
      <c r="D104" s="152"/>
      <c r="E104" s="153" t="str">
        <f>Commodities!$AA$52</f>
        <v>RSD_APA3_LI</v>
      </c>
      <c r="F104" s="165">
        <v>2.21</v>
      </c>
      <c r="H104" s="51" t="s">
        <v>942</v>
      </c>
      <c r="T104" s="44"/>
      <c r="U104" s="44"/>
      <c r="V104" s="44"/>
      <c r="W104" s="44"/>
      <c r="X104" s="44"/>
    </row>
    <row r="105" spans="2:24" hidden="1">
      <c r="B105" s="41" t="str">
        <f t="shared" si="4"/>
        <v>RSD_DTA4_LI_E01</v>
      </c>
      <c r="C105" s="41" t="str">
        <f t="shared" si="5"/>
        <v>Detached A4  Light Standard  (E)</v>
      </c>
      <c r="D105" s="41"/>
      <c r="E105" s="157" t="str">
        <f>Commodities!$AA$53</f>
        <v>RSD_DTA4_LI</v>
      </c>
      <c r="F105" s="164">
        <v>2.21</v>
      </c>
      <c r="H105" s="51" t="s">
        <v>942</v>
      </c>
      <c r="T105" s="44"/>
      <c r="U105" s="44"/>
      <c r="V105" s="44"/>
      <c r="W105" s="44"/>
      <c r="X105" s="44"/>
    </row>
    <row r="106" spans="2:24" hidden="1">
      <c r="B106" s="41" t="str">
        <f t="shared" si="4"/>
        <v>RSD_DTA4_LI_E02</v>
      </c>
      <c r="C106" s="41" t="str">
        <f t="shared" si="5"/>
        <v>Detached A4  Light Fluorescent  (E)</v>
      </c>
      <c r="D106" s="41"/>
      <c r="E106" s="138" t="str">
        <f>Commodities!$AA$53</f>
        <v>RSD_DTA4_LI</v>
      </c>
      <c r="F106" s="164">
        <v>2.21</v>
      </c>
      <c r="H106" s="51" t="s">
        <v>942</v>
      </c>
      <c r="T106" s="44"/>
      <c r="U106" s="44"/>
      <c r="V106" s="44"/>
      <c r="W106" s="44"/>
      <c r="X106" s="44"/>
    </row>
    <row r="107" spans="2:24" hidden="1">
      <c r="B107" s="41" t="str">
        <f t="shared" si="4"/>
        <v>RSD_DTA4_LI_E03</v>
      </c>
      <c r="C107" s="41" t="str">
        <f t="shared" si="5"/>
        <v>Detached A4  Light LED  (E)</v>
      </c>
      <c r="D107" s="41"/>
      <c r="E107" s="138" t="str">
        <f>Commodities!$AA$53</f>
        <v>RSD_DTA4_LI</v>
      </c>
      <c r="F107" s="164">
        <v>2.21</v>
      </c>
      <c r="H107" s="51" t="s">
        <v>942</v>
      </c>
      <c r="T107" s="44"/>
      <c r="U107" s="44"/>
      <c r="V107" s="44"/>
      <c r="W107" s="44"/>
      <c r="X107" s="44"/>
    </row>
    <row r="108" spans="2:24" hidden="1">
      <c r="B108" s="152" t="str">
        <f t="shared" si="4"/>
        <v>RSD_DTA4_LI_E04</v>
      </c>
      <c r="C108" s="152" t="str">
        <f t="shared" si="5"/>
        <v>Detached A4  Light Halogen  (E)</v>
      </c>
      <c r="D108" s="152"/>
      <c r="E108" s="153" t="str">
        <f>Commodities!$AA$53</f>
        <v>RSD_DTA4_LI</v>
      </c>
      <c r="F108" s="165">
        <v>2.21</v>
      </c>
      <c r="H108" s="51" t="s">
        <v>942</v>
      </c>
      <c r="T108" s="44"/>
      <c r="U108" s="44"/>
      <c r="V108" s="44"/>
      <c r="W108" s="44"/>
      <c r="X108" s="44"/>
    </row>
    <row r="109" spans="2:24" hidden="1">
      <c r="B109" s="41" t="str">
        <f t="shared" si="4"/>
        <v>RSD_APA4_LI_E01</v>
      </c>
      <c r="C109" s="41" t="str">
        <f t="shared" si="5"/>
        <v>Apartment A4  Light Standard  (E)</v>
      </c>
      <c r="D109" s="41"/>
      <c r="E109" s="157" t="str">
        <f>Commodities!$AA$54</f>
        <v>RSD_APA4_LI</v>
      </c>
      <c r="F109" s="164">
        <v>2.21</v>
      </c>
      <c r="H109" s="51" t="s">
        <v>942</v>
      </c>
      <c r="T109" s="44"/>
      <c r="U109" s="44"/>
      <c r="V109" s="44"/>
      <c r="W109" s="44"/>
      <c r="X109" s="44"/>
    </row>
    <row r="110" spans="2:24" hidden="1">
      <c r="B110" s="41" t="str">
        <f t="shared" si="4"/>
        <v>RSD_APA4_LI_E02</v>
      </c>
      <c r="C110" s="41" t="str">
        <f t="shared" si="5"/>
        <v>Apartment A4  Light Fluorescent  (E)</v>
      </c>
      <c r="D110" s="41"/>
      <c r="E110" s="138" t="str">
        <f>Commodities!$AA$54</f>
        <v>RSD_APA4_LI</v>
      </c>
      <c r="F110" s="164">
        <v>2.21</v>
      </c>
      <c r="H110" s="51" t="s">
        <v>942</v>
      </c>
      <c r="T110" s="44"/>
      <c r="U110" s="44"/>
      <c r="V110" s="44"/>
      <c r="W110" s="44"/>
      <c r="X110" s="44"/>
    </row>
    <row r="111" spans="2:24" hidden="1">
      <c r="B111" s="41" t="str">
        <f t="shared" si="4"/>
        <v>RSD_APA4_LI_E03</v>
      </c>
      <c r="C111" s="41" t="str">
        <f t="shared" si="5"/>
        <v>Apartment A4  Light LED  (E)</v>
      </c>
      <c r="D111" s="41"/>
      <c r="E111" s="138" t="str">
        <f>Commodities!$AA$54</f>
        <v>RSD_APA4_LI</v>
      </c>
      <c r="F111" s="164">
        <v>2.21</v>
      </c>
      <c r="H111" s="51" t="s">
        <v>942</v>
      </c>
      <c r="T111" s="44"/>
      <c r="U111" s="44"/>
      <c r="V111" s="44"/>
      <c r="W111" s="44"/>
      <c r="X111" s="44"/>
    </row>
    <row r="112" spans="2:24" hidden="1">
      <c r="B112" s="152" t="str">
        <f t="shared" si="4"/>
        <v>RSD_APA4_LI_E04</v>
      </c>
      <c r="C112" s="152" t="str">
        <f t="shared" si="5"/>
        <v>Apartment A4  Light Halogen  (E)</v>
      </c>
      <c r="D112" s="152"/>
      <c r="E112" s="153" t="str">
        <f>Commodities!$AA$54</f>
        <v>RSD_APA4_LI</v>
      </c>
      <c r="F112" s="165">
        <v>2.21</v>
      </c>
      <c r="H112" s="51" t="s">
        <v>942</v>
      </c>
      <c r="T112" s="44"/>
      <c r="U112" s="44"/>
      <c r="V112" s="44"/>
      <c r="W112" s="44"/>
      <c r="X112" s="44"/>
    </row>
    <row r="113" spans="2:24">
      <c r="T113" s="44"/>
      <c r="U113" s="44"/>
      <c r="V113" s="44"/>
      <c r="W113" s="44"/>
      <c r="X113" s="44"/>
    </row>
    <row r="114" spans="2:24" ht="13.8">
      <c r="E114" s="86" t="s">
        <v>353</v>
      </c>
      <c r="H114" s="86" t="s">
        <v>697</v>
      </c>
      <c r="I114" s="86"/>
      <c r="T114" s="44"/>
      <c r="U114" s="44"/>
      <c r="V114" s="44"/>
      <c r="W114" s="44"/>
      <c r="X114" s="44"/>
    </row>
    <row r="115" spans="2:24" ht="13.8">
      <c r="B115" s="88" t="s">
        <v>1</v>
      </c>
      <c r="C115" s="88" t="s">
        <v>42</v>
      </c>
      <c r="D115" s="88" t="s">
        <v>7</v>
      </c>
      <c r="E115" s="88" t="s">
        <v>0</v>
      </c>
      <c r="F115" s="121" t="s">
        <v>999</v>
      </c>
      <c r="H115" s="88" t="s">
        <v>1</v>
      </c>
      <c r="I115" s="121" t="s">
        <v>999</v>
      </c>
      <c r="T115" s="44"/>
      <c r="U115" s="44"/>
      <c r="V115" s="44"/>
      <c r="W115" s="44"/>
      <c r="X115" s="44"/>
    </row>
    <row r="116" spans="2:24" ht="14.4" thickBot="1">
      <c r="B116" s="92" t="s">
        <v>356</v>
      </c>
      <c r="C116" s="92" t="s">
        <v>26</v>
      </c>
      <c r="D116" s="124" t="s">
        <v>36</v>
      </c>
      <c r="E116" s="123"/>
      <c r="F116" s="92"/>
      <c r="H116" s="92" t="s">
        <v>356</v>
      </c>
      <c r="I116" s="92"/>
      <c r="T116" s="44"/>
      <c r="U116" s="44"/>
      <c r="V116" s="44"/>
      <c r="W116" s="44"/>
      <c r="X116" s="44"/>
    </row>
    <row r="117" spans="2:24" ht="14.4" thickBot="1">
      <c r="B117" s="92" t="s">
        <v>269</v>
      </c>
      <c r="C117" s="92"/>
      <c r="D117" s="92"/>
      <c r="E117" s="123"/>
      <c r="F117" s="124"/>
      <c r="H117" s="92" t="s">
        <v>269</v>
      </c>
      <c r="I117" s="92"/>
      <c r="T117" s="44"/>
      <c r="U117" s="44"/>
      <c r="V117" s="44"/>
      <c r="W117" s="44"/>
      <c r="X117" s="44"/>
    </row>
    <row r="118" spans="2:24">
      <c r="B118" s="51" t="str">
        <f t="shared" ref="B118:B149" si="6">M7</f>
        <v>RSD_DTA1_LI_E01</v>
      </c>
      <c r="C118" s="51" t="str">
        <f t="shared" ref="C118:C149" si="7">N7</f>
        <v>Detached A1 Light Standard  (E)</v>
      </c>
      <c r="E118" s="135" t="str">
        <f>Commodities!$AA$47</f>
        <v>RSD_DTA1_LI</v>
      </c>
      <c r="F118" s="84">
        <v>1</v>
      </c>
      <c r="H118" s="135" t="str">
        <f t="shared" ref="H118:H149" si="8">B118</f>
        <v>RSD_DTA1_LI_E01</v>
      </c>
      <c r="I118" s="84">
        <f t="shared" ref="I118:I149" si="9">IF(F118*Stk_Mult&gt;1,1,F118*Stk_Mult)</f>
        <v>1</v>
      </c>
      <c r="T118" s="44"/>
      <c r="U118" s="44"/>
      <c r="V118" s="44"/>
      <c r="W118" s="44"/>
      <c r="X118" s="44"/>
    </row>
    <row r="119" spans="2:24">
      <c r="B119" s="51" t="str">
        <f t="shared" si="6"/>
        <v>RSD_DTA1_LI_E02</v>
      </c>
      <c r="C119" s="51" t="str">
        <f t="shared" si="7"/>
        <v>Detached A1 Light Fluorescent  (E)</v>
      </c>
      <c r="E119" s="138" t="str">
        <f>Commodities!$AA$47</f>
        <v>RSD_DTA1_LI</v>
      </c>
      <c r="F119" s="84">
        <v>1</v>
      </c>
      <c r="H119" s="138" t="str">
        <f t="shared" si="8"/>
        <v>RSD_DTA1_LI_E02</v>
      </c>
      <c r="I119" s="84">
        <f t="shared" si="9"/>
        <v>1</v>
      </c>
      <c r="T119" s="44"/>
      <c r="U119" s="44"/>
      <c r="V119" s="44"/>
      <c r="W119" s="44"/>
      <c r="X119" s="44"/>
    </row>
    <row r="120" spans="2:24">
      <c r="B120" s="51" t="str">
        <f t="shared" si="6"/>
        <v>RSD_DTA1_LI_E03</v>
      </c>
      <c r="C120" s="51" t="str">
        <f t="shared" si="7"/>
        <v>Detached A1 Light LED  (E)</v>
      </c>
      <c r="E120" s="138" t="str">
        <f>Commodities!$AA$47</f>
        <v>RSD_DTA1_LI</v>
      </c>
      <c r="F120" s="84">
        <v>1</v>
      </c>
      <c r="H120" s="138" t="str">
        <f t="shared" si="8"/>
        <v>RSD_DTA1_LI_E03</v>
      </c>
      <c r="I120" s="84">
        <f t="shared" si="9"/>
        <v>1</v>
      </c>
      <c r="T120" s="44"/>
      <c r="U120" s="44"/>
      <c r="V120" s="44"/>
      <c r="W120" s="44"/>
      <c r="X120" s="44"/>
    </row>
    <row r="121" spans="2:24">
      <c r="B121" s="152" t="str">
        <f t="shared" si="6"/>
        <v>RSD_DTA1_LI_E04</v>
      </c>
      <c r="C121" s="152" t="str">
        <f t="shared" si="7"/>
        <v>Detached A1 Light Halogen  (E)</v>
      </c>
      <c r="D121" s="152"/>
      <c r="E121" s="153" t="str">
        <f>Commodities!$AA$47</f>
        <v>RSD_DTA1_LI</v>
      </c>
      <c r="F121" s="166">
        <v>1</v>
      </c>
      <c r="H121" s="153" t="str">
        <f t="shared" si="8"/>
        <v>RSD_DTA1_LI_E04</v>
      </c>
      <c r="I121" s="166">
        <f t="shared" si="9"/>
        <v>1</v>
      </c>
      <c r="T121" s="44"/>
      <c r="U121" s="44"/>
      <c r="V121" s="44"/>
      <c r="W121" s="44"/>
      <c r="X121" s="44"/>
    </row>
    <row r="122" spans="2:24">
      <c r="B122" s="41" t="str">
        <f t="shared" si="6"/>
        <v>RSD_APA1_LI_E01</v>
      </c>
      <c r="C122" s="41" t="str">
        <f t="shared" si="7"/>
        <v>Apartment A1  Light Standard  (E)</v>
      </c>
      <c r="D122" s="41"/>
      <c r="E122" s="157" t="str">
        <f>Commodities!$AA$48</f>
        <v>RSD_APA1_LI</v>
      </c>
      <c r="F122" s="139">
        <v>1</v>
      </c>
      <c r="H122" s="138" t="str">
        <f t="shared" si="8"/>
        <v>RSD_APA1_LI_E01</v>
      </c>
      <c r="I122" s="139">
        <f t="shared" si="9"/>
        <v>1</v>
      </c>
      <c r="T122" s="44"/>
      <c r="U122" s="44"/>
      <c r="V122" s="44"/>
      <c r="W122" s="44"/>
      <c r="X122" s="44"/>
    </row>
    <row r="123" spans="2:24">
      <c r="B123" s="41" t="str">
        <f t="shared" si="6"/>
        <v>RSD_APA1_LI_E02</v>
      </c>
      <c r="C123" s="41" t="str">
        <f t="shared" si="7"/>
        <v>Apartment A1  Light Fluorescent  (E)</v>
      </c>
      <c r="D123" s="41"/>
      <c r="E123" s="138" t="str">
        <f>Commodities!$AA$48</f>
        <v>RSD_APA1_LI</v>
      </c>
      <c r="F123" s="139">
        <v>1</v>
      </c>
      <c r="H123" s="138" t="str">
        <f t="shared" si="8"/>
        <v>RSD_APA1_LI_E02</v>
      </c>
      <c r="I123" s="139">
        <f t="shared" si="9"/>
        <v>1</v>
      </c>
      <c r="T123" s="44"/>
      <c r="U123" s="44"/>
      <c r="V123" s="44"/>
      <c r="W123" s="44"/>
      <c r="X123" s="44"/>
    </row>
    <row r="124" spans="2:24">
      <c r="B124" s="41" t="str">
        <f t="shared" si="6"/>
        <v>RSD_APA1_LI_E03</v>
      </c>
      <c r="C124" s="41" t="str">
        <f t="shared" si="7"/>
        <v>Apartment A1  Light LED  (E)</v>
      </c>
      <c r="D124" s="41"/>
      <c r="E124" s="138" t="str">
        <f>Commodities!$AA$48</f>
        <v>RSD_APA1_LI</v>
      </c>
      <c r="F124" s="139">
        <v>1</v>
      </c>
      <c r="H124" s="138" t="str">
        <f t="shared" si="8"/>
        <v>RSD_APA1_LI_E03</v>
      </c>
      <c r="I124" s="139">
        <f t="shared" si="9"/>
        <v>1</v>
      </c>
      <c r="T124" s="44"/>
      <c r="U124" s="44"/>
      <c r="V124" s="44"/>
      <c r="W124" s="44"/>
      <c r="X124" s="44"/>
    </row>
    <row r="125" spans="2:24">
      <c r="B125" s="152" t="str">
        <f t="shared" si="6"/>
        <v>RSD_APA1_LI_E04</v>
      </c>
      <c r="C125" s="152" t="str">
        <f t="shared" si="7"/>
        <v>Apartment A1  Light Halogen  (E)</v>
      </c>
      <c r="D125" s="152"/>
      <c r="E125" s="153" t="str">
        <f>Commodities!$AA$48</f>
        <v>RSD_APA1_LI</v>
      </c>
      <c r="F125" s="166">
        <v>1</v>
      </c>
      <c r="H125" s="153" t="str">
        <f t="shared" si="8"/>
        <v>RSD_APA1_LI_E04</v>
      </c>
      <c r="I125" s="166">
        <f t="shared" si="9"/>
        <v>1</v>
      </c>
      <c r="T125" s="44"/>
      <c r="U125" s="44"/>
      <c r="V125" s="44"/>
      <c r="W125" s="44"/>
      <c r="X125" s="44"/>
    </row>
    <row r="126" spans="2:24" hidden="1">
      <c r="B126" s="41" t="str">
        <f t="shared" si="6"/>
        <v>RSD_DTA2_LI_E01</v>
      </c>
      <c r="C126" s="41" t="str">
        <f t="shared" si="7"/>
        <v>Detached A2  Light Standard  (E)</v>
      </c>
      <c r="D126" s="41"/>
      <c r="E126" s="157" t="str">
        <f>Commodities!$AA$49</f>
        <v>RSD_DTA2_LI</v>
      </c>
      <c r="F126" s="139">
        <v>1</v>
      </c>
      <c r="H126" s="138" t="str">
        <f t="shared" si="8"/>
        <v>RSD_DTA2_LI_E01</v>
      </c>
      <c r="I126" s="139">
        <f t="shared" si="9"/>
        <v>1</v>
      </c>
      <c r="T126" s="44"/>
      <c r="U126" s="44"/>
      <c r="V126" s="44"/>
      <c r="W126" s="44"/>
      <c r="X126" s="44"/>
    </row>
    <row r="127" spans="2:24" hidden="1">
      <c r="B127" s="41" t="str">
        <f t="shared" si="6"/>
        <v>RSD_DTA2_LI_E02</v>
      </c>
      <c r="C127" s="41" t="str">
        <f t="shared" si="7"/>
        <v>Detached A2  Light Fluorescent  (E)</v>
      </c>
      <c r="D127" s="41"/>
      <c r="E127" s="138" t="str">
        <f>Commodities!$AA$49</f>
        <v>RSD_DTA2_LI</v>
      </c>
      <c r="F127" s="139">
        <v>1</v>
      </c>
      <c r="H127" s="138" t="str">
        <f t="shared" si="8"/>
        <v>RSD_DTA2_LI_E02</v>
      </c>
      <c r="I127" s="139">
        <f t="shared" si="9"/>
        <v>1</v>
      </c>
      <c r="T127" s="44"/>
      <c r="U127" s="44"/>
      <c r="V127" s="44"/>
      <c r="W127" s="44"/>
      <c r="X127" s="44"/>
    </row>
    <row r="128" spans="2:24" hidden="1">
      <c r="B128" s="41" t="str">
        <f t="shared" si="6"/>
        <v>RSD_DTA2_LI_E03</v>
      </c>
      <c r="C128" s="41" t="str">
        <f t="shared" si="7"/>
        <v>Detached A2  Light LED  (E)</v>
      </c>
      <c r="D128" s="41"/>
      <c r="E128" s="138" t="str">
        <f>Commodities!$AA$49</f>
        <v>RSD_DTA2_LI</v>
      </c>
      <c r="F128" s="139">
        <v>1</v>
      </c>
      <c r="H128" s="138" t="str">
        <f t="shared" si="8"/>
        <v>RSD_DTA2_LI_E03</v>
      </c>
      <c r="I128" s="139">
        <f t="shared" si="9"/>
        <v>1</v>
      </c>
      <c r="T128" s="44"/>
      <c r="U128" s="44"/>
      <c r="V128" s="44"/>
      <c r="W128" s="44"/>
      <c r="X128" s="44"/>
    </row>
    <row r="129" spans="2:24" hidden="1">
      <c r="B129" s="152" t="str">
        <f t="shared" si="6"/>
        <v>RSD_DTA2_LI_E04</v>
      </c>
      <c r="C129" s="152" t="str">
        <f t="shared" si="7"/>
        <v>Detached A2  Light Halogen  (E)</v>
      </c>
      <c r="D129" s="152"/>
      <c r="E129" s="153" t="str">
        <f>Commodities!$AA$49</f>
        <v>RSD_DTA2_LI</v>
      </c>
      <c r="F129" s="166">
        <v>1</v>
      </c>
      <c r="H129" s="153" t="str">
        <f t="shared" si="8"/>
        <v>RSD_DTA2_LI_E04</v>
      </c>
      <c r="I129" s="166">
        <f t="shared" si="9"/>
        <v>1</v>
      </c>
      <c r="T129" s="44"/>
      <c r="U129" s="44"/>
      <c r="V129" s="44"/>
      <c r="W129" s="44"/>
      <c r="X129" s="44"/>
    </row>
    <row r="130" spans="2:24" hidden="1">
      <c r="B130" s="41" t="str">
        <f t="shared" si="6"/>
        <v>RSD_APA2_LI_E01</v>
      </c>
      <c r="C130" s="41" t="str">
        <f t="shared" si="7"/>
        <v>Apartment A2   Light Standard  (E)</v>
      </c>
      <c r="D130" s="41"/>
      <c r="E130" s="157" t="str">
        <f>Commodities!$AA$50</f>
        <v>RSD_APA2_LI</v>
      </c>
      <c r="F130" s="139">
        <v>1</v>
      </c>
      <c r="H130" s="138" t="str">
        <f t="shared" si="8"/>
        <v>RSD_APA2_LI_E01</v>
      </c>
      <c r="I130" s="139">
        <f t="shared" si="9"/>
        <v>1</v>
      </c>
      <c r="T130" s="44"/>
      <c r="U130" s="44"/>
      <c r="V130" s="44"/>
      <c r="W130" s="44"/>
      <c r="X130" s="44"/>
    </row>
    <row r="131" spans="2:24" hidden="1">
      <c r="B131" s="41" t="str">
        <f t="shared" si="6"/>
        <v>RSD_APA2_LI_E02</v>
      </c>
      <c r="C131" s="41" t="str">
        <f t="shared" si="7"/>
        <v>Apartment A2   Light Fluorescent  (E)</v>
      </c>
      <c r="D131" s="41"/>
      <c r="E131" s="138" t="str">
        <f>Commodities!$AA$50</f>
        <v>RSD_APA2_LI</v>
      </c>
      <c r="F131" s="139">
        <v>1</v>
      </c>
      <c r="H131" s="138" t="str">
        <f t="shared" si="8"/>
        <v>RSD_APA2_LI_E02</v>
      </c>
      <c r="I131" s="139">
        <f t="shared" si="9"/>
        <v>1</v>
      </c>
      <c r="T131" s="44"/>
      <c r="U131" s="44"/>
      <c r="V131" s="44"/>
      <c r="W131" s="44"/>
      <c r="X131" s="44"/>
    </row>
    <row r="132" spans="2:24" hidden="1">
      <c r="B132" s="41" t="str">
        <f t="shared" si="6"/>
        <v>RSD_APA2_LI_E03</v>
      </c>
      <c r="C132" s="41" t="str">
        <f t="shared" si="7"/>
        <v>Apartment A2   Light LED  (E)</v>
      </c>
      <c r="D132" s="41"/>
      <c r="E132" s="138" t="str">
        <f>Commodities!$AA$50</f>
        <v>RSD_APA2_LI</v>
      </c>
      <c r="F132" s="139">
        <v>1</v>
      </c>
      <c r="H132" s="138" t="str">
        <f t="shared" si="8"/>
        <v>RSD_APA2_LI_E03</v>
      </c>
      <c r="I132" s="139">
        <f t="shared" si="9"/>
        <v>1</v>
      </c>
      <c r="T132" s="44"/>
      <c r="U132" s="44"/>
      <c r="V132" s="44"/>
      <c r="W132" s="44"/>
      <c r="X132" s="44"/>
    </row>
    <row r="133" spans="2:24" hidden="1">
      <c r="B133" s="152" t="str">
        <f t="shared" si="6"/>
        <v>RSD_APA2_LI_E04</v>
      </c>
      <c r="C133" s="152" t="str">
        <f t="shared" si="7"/>
        <v>Apartment A2   Light Halogen  (E)</v>
      </c>
      <c r="D133" s="152"/>
      <c r="E133" s="153" t="str">
        <f>Commodities!$AA$50</f>
        <v>RSD_APA2_LI</v>
      </c>
      <c r="F133" s="166">
        <v>1</v>
      </c>
      <c r="H133" s="153" t="str">
        <f t="shared" si="8"/>
        <v>RSD_APA2_LI_E04</v>
      </c>
      <c r="I133" s="166">
        <f t="shared" si="9"/>
        <v>1</v>
      </c>
      <c r="T133" s="44"/>
      <c r="U133" s="44"/>
      <c r="V133" s="44"/>
      <c r="W133" s="44"/>
      <c r="X133" s="44"/>
    </row>
    <row r="134" spans="2:24" hidden="1">
      <c r="B134" s="41" t="str">
        <f t="shared" si="6"/>
        <v>RSD_DTA3_LI_E01</v>
      </c>
      <c r="C134" s="41" t="str">
        <f t="shared" si="7"/>
        <v>Detached A3  Light Standard  (E)</v>
      </c>
      <c r="D134" s="41"/>
      <c r="E134" s="157" t="str">
        <f>Commodities!$AA$51</f>
        <v>RSD_DTA3_LI</v>
      </c>
      <c r="F134" s="139">
        <v>1</v>
      </c>
      <c r="H134" s="138" t="str">
        <f t="shared" si="8"/>
        <v>RSD_DTA3_LI_E01</v>
      </c>
      <c r="I134" s="139">
        <f t="shared" si="9"/>
        <v>1</v>
      </c>
      <c r="T134" s="44"/>
      <c r="U134" s="44"/>
      <c r="V134" s="44"/>
      <c r="W134" s="44"/>
      <c r="X134" s="44"/>
    </row>
    <row r="135" spans="2:24" hidden="1">
      <c r="B135" s="41" t="str">
        <f t="shared" si="6"/>
        <v>RSD_DTA3_LI_E02</v>
      </c>
      <c r="C135" s="41" t="str">
        <f t="shared" si="7"/>
        <v>Detached A3  Light Fluorescent  (E)</v>
      </c>
      <c r="D135" s="41"/>
      <c r="E135" s="138" t="str">
        <f>Commodities!$AA$51</f>
        <v>RSD_DTA3_LI</v>
      </c>
      <c r="F135" s="139">
        <v>1</v>
      </c>
      <c r="H135" s="138" t="str">
        <f t="shared" si="8"/>
        <v>RSD_DTA3_LI_E02</v>
      </c>
      <c r="I135" s="139">
        <f t="shared" si="9"/>
        <v>1</v>
      </c>
      <c r="T135" s="44"/>
      <c r="U135" s="44"/>
      <c r="V135" s="44"/>
      <c r="W135" s="44"/>
      <c r="X135" s="44"/>
    </row>
    <row r="136" spans="2:24" hidden="1">
      <c r="B136" s="41" t="str">
        <f t="shared" si="6"/>
        <v>RSD_DTA3_LI_E03</v>
      </c>
      <c r="C136" s="41" t="str">
        <f t="shared" si="7"/>
        <v>Detached A3  Light LED  (E)</v>
      </c>
      <c r="D136" s="41"/>
      <c r="E136" s="138" t="str">
        <f>Commodities!$AA$51</f>
        <v>RSD_DTA3_LI</v>
      </c>
      <c r="F136" s="139">
        <v>1</v>
      </c>
      <c r="H136" s="138" t="str">
        <f t="shared" si="8"/>
        <v>RSD_DTA3_LI_E03</v>
      </c>
      <c r="I136" s="139">
        <f t="shared" si="9"/>
        <v>1</v>
      </c>
      <c r="T136" s="44"/>
      <c r="U136" s="44"/>
      <c r="V136" s="44"/>
      <c r="W136" s="44"/>
      <c r="X136" s="44"/>
    </row>
    <row r="137" spans="2:24" hidden="1">
      <c r="B137" s="152" t="str">
        <f t="shared" si="6"/>
        <v>RSD_DTA3_LI_E04</v>
      </c>
      <c r="C137" s="152" t="str">
        <f t="shared" si="7"/>
        <v>Detached A3  Light Halogen  (E)</v>
      </c>
      <c r="D137" s="152"/>
      <c r="E137" s="153" t="str">
        <f>Commodities!$AA$51</f>
        <v>RSD_DTA3_LI</v>
      </c>
      <c r="F137" s="166">
        <v>1</v>
      </c>
      <c r="H137" s="153" t="str">
        <f t="shared" si="8"/>
        <v>RSD_DTA3_LI_E04</v>
      </c>
      <c r="I137" s="166">
        <f t="shared" si="9"/>
        <v>1</v>
      </c>
      <c r="T137" s="44"/>
      <c r="U137" s="44"/>
      <c r="V137" s="44"/>
      <c r="W137" s="44"/>
      <c r="X137" s="44"/>
    </row>
    <row r="138" spans="2:24" hidden="1">
      <c r="B138" s="41" t="str">
        <f t="shared" si="6"/>
        <v>RSD_APA3_LI_E01</v>
      </c>
      <c r="C138" s="41" t="str">
        <f t="shared" si="7"/>
        <v>Apartment A3  Light Standard  (E)</v>
      </c>
      <c r="D138" s="41"/>
      <c r="E138" s="157" t="str">
        <f>Commodities!$AA$52</f>
        <v>RSD_APA3_LI</v>
      </c>
      <c r="F138" s="139">
        <v>1</v>
      </c>
      <c r="H138" s="138" t="str">
        <f t="shared" si="8"/>
        <v>RSD_APA3_LI_E01</v>
      </c>
      <c r="I138" s="139">
        <f t="shared" si="9"/>
        <v>1</v>
      </c>
      <c r="T138" s="44"/>
      <c r="U138" s="44"/>
      <c r="V138" s="44"/>
      <c r="W138" s="44"/>
      <c r="X138" s="44"/>
    </row>
    <row r="139" spans="2:24" hidden="1">
      <c r="B139" s="41" t="str">
        <f t="shared" si="6"/>
        <v>RSD_APA3_LI_E02</v>
      </c>
      <c r="C139" s="41" t="str">
        <f t="shared" si="7"/>
        <v>Apartment A3  Light Fluorescent  (E)</v>
      </c>
      <c r="D139" s="41"/>
      <c r="E139" s="138" t="str">
        <f>Commodities!$AA$52</f>
        <v>RSD_APA3_LI</v>
      </c>
      <c r="F139" s="139">
        <v>1</v>
      </c>
      <c r="H139" s="138" t="str">
        <f t="shared" si="8"/>
        <v>RSD_APA3_LI_E02</v>
      </c>
      <c r="I139" s="139">
        <f t="shared" si="9"/>
        <v>1</v>
      </c>
      <c r="T139" s="44"/>
      <c r="U139" s="44"/>
      <c r="V139" s="44"/>
      <c r="W139" s="44"/>
      <c r="X139" s="44"/>
    </row>
    <row r="140" spans="2:24" hidden="1">
      <c r="B140" s="41" t="str">
        <f t="shared" si="6"/>
        <v>RSD_APA3_LI_E03</v>
      </c>
      <c r="C140" s="41" t="str">
        <f t="shared" si="7"/>
        <v>Apartment A3  Light LED  (E)</v>
      </c>
      <c r="D140" s="41"/>
      <c r="E140" s="138" t="str">
        <f>Commodities!$AA$52</f>
        <v>RSD_APA3_LI</v>
      </c>
      <c r="F140" s="139">
        <v>1</v>
      </c>
      <c r="H140" s="138" t="str">
        <f t="shared" si="8"/>
        <v>RSD_APA3_LI_E03</v>
      </c>
      <c r="I140" s="139">
        <f t="shared" si="9"/>
        <v>1</v>
      </c>
      <c r="T140" s="44"/>
      <c r="U140" s="44"/>
      <c r="V140" s="44"/>
      <c r="W140" s="44"/>
      <c r="X140" s="44"/>
    </row>
    <row r="141" spans="2:24" hidden="1">
      <c r="B141" s="152" t="str">
        <f t="shared" si="6"/>
        <v>RSD_APA3_LI_E04</v>
      </c>
      <c r="C141" s="152" t="str">
        <f t="shared" si="7"/>
        <v>Apartment A3  Light Halogen  (E)</v>
      </c>
      <c r="D141" s="152"/>
      <c r="E141" s="153" t="str">
        <f>Commodities!$AA$52</f>
        <v>RSD_APA3_LI</v>
      </c>
      <c r="F141" s="166">
        <v>1</v>
      </c>
      <c r="H141" s="153" t="str">
        <f t="shared" si="8"/>
        <v>RSD_APA3_LI_E04</v>
      </c>
      <c r="I141" s="166">
        <f t="shared" si="9"/>
        <v>1</v>
      </c>
      <c r="T141" s="44"/>
      <c r="U141" s="44"/>
      <c r="V141" s="44"/>
      <c r="W141" s="44"/>
      <c r="X141" s="44"/>
    </row>
    <row r="142" spans="2:24" hidden="1">
      <c r="B142" s="41" t="str">
        <f t="shared" si="6"/>
        <v>RSD_DTA4_LI_E01</v>
      </c>
      <c r="C142" s="41" t="str">
        <f t="shared" si="7"/>
        <v>Detached A4  Light Standard  (E)</v>
      </c>
      <c r="D142" s="41"/>
      <c r="E142" s="157" t="str">
        <f>Commodities!$AA$53</f>
        <v>RSD_DTA4_LI</v>
      </c>
      <c r="F142" s="139">
        <v>1</v>
      </c>
      <c r="H142" s="138" t="str">
        <f t="shared" si="8"/>
        <v>RSD_DTA4_LI_E01</v>
      </c>
      <c r="I142" s="139">
        <f t="shared" si="9"/>
        <v>1</v>
      </c>
    </row>
    <row r="143" spans="2:24" hidden="1">
      <c r="B143" s="41" t="str">
        <f t="shared" si="6"/>
        <v>RSD_DTA4_LI_E02</v>
      </c>
      <c r="C143" s="41" t="str">
        <f t="shared" si="7"/>
        <v>Detached A4  Light Fluorescent  (E)</v>
      </c>
      <c r="D143" s="41"/>
      <c r="E143" s="138" t="str">
        <f>Commodities!$AA$53</f>
        <v>RSD_DTA4_LI</v>
      </c>
      <c r="F143" s="139">
        <v>1</v>
      </c>
      <c r="H143" s="138" t="str">
        <f t="shared" si="8"/>
        <v>RSD_DTA4_LI_E02</v>
      </c>
      <c r="I143" s="139">
        <f t="shared" si="9"/>
        <v>1</v>
      </c>
    </row>
    <row r="144" spans="2:24" hidden="1">
      <c r="B144" s="41" t="str">
        <f t="shared" si="6"/>
        <v>RSD_DTA4_LI_E03</v>
      </c>
      <c r="C144" s="41" t="str">
        <f t="shared" si="7"/>
        <v>Detached A4  Light LED  (E)</v>
      </c>
      <c r="D144" s="41"/>
      <c r="E144" s="138" t="str">
        <f>Commodities!$AA$53</f>
        <v>RSD_DTA4_LI</v>
      </c>
      <c r="F144" s="139">
        <v>1</v>
      </c>
      <c r="H144" s="138" t="str">
        <f t="shared" si="8"/>
        <v>RSD_DTA4_LI_E03</v>
      </c>
      <c r="I144" s="139">
        <f t="shared" si="9"/>
        <v>1</v>
      </c>
    </row>
    <row r="145" spans="2:9" hidden="1">
      <c r="B145" s="152" t="str">
        <f t="shared" si="6"/>
        <v>RSD_DTA4_LI_E04</v>
      </c>
      <c r="C145" s="152" t="str">
        <f t="shared" si="7"/>
        <v>Detached A4  Light Halogen  (E)</v>
      </c>
      <c r="D145" s="152"/>
      <c r="E145" s="153" t="str">
        <f>Commodities!$AA$53</f>
        <v>RSD_DTA4_LI</v>
      </c>
      <c r="F145" s="166">
        <v>1</v>
      </c>
      <c r="H145" s="153" t="str">
        <f t="shared" si="8"/>
        <v>RSD_DTA4_LI_E04</v>
      </c>
      <c r="I145" s="166">
        <f t="shared" si="9"/>
        <v>1</v>
      </c>
    </row>
    <row r="146" spans="2:9" hidden="1">
      <c r="B146" s="41" t="str">
        <f t="shared" si="6"/>
        <v>RSD_APA4_LI_E01</v>
      </c>
      <c r="C146" s="41" t="str">
        <f t="shared" si="7"/>
        <v>Apartment A4  Light Standard  (E)</v>
      </c>
      <c r="D146" s="41"/>
      <c r="E146" s="157" t="str">
        <f>Commodities!$AA$54</f>
        <v>RSD_APA4_LI</v>
      </c>
      <c r="F146" s="139">
        <v>1</v>
      </c>
      <c r="H146" s="138" t="str">
        <f t="shared" si="8"/>
        <v>RSD_APA4_LI_E01</v>
      </c>
      <c r="I146" s="139">
        <f t="shared" si="9"/>
        <v>1</v>
      </c>
    </row>
    <row r="147" spans="2:9" hidden="1">
      <c r="B147" s="41" t="str">
        <f t="shared" si="6"/>
        <v>RSD_APA4_LI_E02</v>
      </c>
      <c r="C147" s="41" t="str">
        <f t="shared" si="7"/>
        <v>Apartment A4  Light Fluorescent  (E)</v>
      </c>
      <c r="D147" s="41"/>
      <c r="E147" s="138" t="str">
        <f>Commodities!$AA$54</f>
        <v>RSD_APA4_LI</v>
      </c>
      <c r="F147" s="139">
        <v>1</v>
      </c>
      <c r="H147" s="138" t="str">
        <f t="shared" si="8"/>
        <v>RSD_APA4_LI_E02</v>
      </c>
      <c r="I147" s="139">
        <f t="shared" si="9"/>
        <v>1</v>
      </c>
    </row>
    <row r="148" spans="2:9" hidden="1">
      <c r="B148" s="41" t="str">
        <f t="shared" si="6"/>
        <v>RSD_APA4_LI_E03</v>
      </c>
      <c r="C148" s="41" t="str">
        <f t="shared" si="7"/>
        <v>Apartment A4  Light LED  (E)</v>
      </c>
      <c r="D148" s="41"/>
      <c r="E148" s="138" t="str">
        <f>Commodities!$AA$54</f>
        <v>RSD_APA4_LI</v>
      </c>
      <c r="F148" s="139">
        <v>1</v>
      </c>
      <c r="H148" s="138" t="str">
        <f t="shared" si="8"/>
        <v>RSD_APA4_LI_E03</v>
      </c>
      <c r="I148" s="139">
        <f t="shared" si="9"/>
        <v>1</v>
      </c>
    </row>
    <row r="149" spans="2:9" hidden="1">
      <c r="B149" s="152" t="str">
        <f t="shared" si="6"/>
        <v>RSD_APA4_LI_E04</v>
      </c>
      <c r="C149" s="152" t="str">
        <f t="shared" si="7"/>
        <v>Apartment A4  Light Halogen  (E)</v>
      </c>
      <c r="D149" s="152"/>
      <c r="E149" s="153" t="str">
        <f>Commodities!$AA$54</f>
        <v>RSD_APA4_LI</v>
      </c>
      <c r="F149" s="166">
        <v>1</v>
      </c>
      <c r="H149" s="153" t="str">
        <f t="shared" si="8"/>
        <v>RSD_APA4_LI_E04</v>
      </c>
      <c r="I149" s="166">
        <f t="shared" si="9"/>
        <v>1</v>
      </c>
    </row>
    <row r="151" spans="2:9" ht="13.8">
      <c r="E151" s="86" t="s">
        <v>354</v>
      </c>
    </row>
    <row r="152" spans="2:9" ht="13.8">
      <c r="B152" s="88" t="s">
        <v>1</v>
      </c>
      <c r="C152" s="88" t="s">
        <v>42</v>
      </c>
      <c r="D152" s="88" t="s">
        <v>7</v>
      </c>
      <c r="E152" s="88" t="s">
        <v>0</v>
      </c>
      <c r="F152" s="121" t="s">
        <v>999</v>
      </c>
    </row>
    <row r="153" spans="2:9" ht="14.4" thickBot="1">
      <c r="B153" s="92" t="s">
        <v>356</v>
      </c>
      <c r="C153" s="92" t="s">
        <v>26</v>
      </c>
      <c r="D153" s="124" t="s">
        <v>36</v>
      </c>
      <c r="E153" s="123"/>
      <c r="F153" s="92"/>
    </row>
    <row r="154" spans="2:9" ht="14.4" thickBot="1">
      <c r="B154" s="92" t="s">
        <v>269</v>
      </c>
      <c r="C154" s="92"/>
      <c r="D154" s="92"/>
      <c r="E154" s="123"/>
      <c r="F154" s="124"/>
    </row>
    <row r="155" spans="2:9">
      <c r="B155" s="51" t="str">
        <f t="shared" ref="B155:B178" si="10">M7</f>
        <v>RSD_DTA1_LI_E01</v>
      </c>
      <c r="C155" s="51" t="str">
        <f t="shared" ref="C155:C178" si="11">N7</f>
        <v>Detached A1 Light Standard  (E)</v>
      </c>
      <c r="E155" s="135" t="str">
        <f>Commodities!$AA$47</f>
        <v>RSD_DTA1_LI</v>
      </c>
      <c r="F155" s="167">
        <v>2</v>
      </c>
    </row>
    <row r="156" spans="2:9">
      <c r="B156" s="51" t="str">
        <f t="shared" si="10"/>
        <v>RSD_DTA1_LI_E02</v>
      </c>
      <c r="C156" s="51" t="str">
        <f t="shared" si="11"/>
        <v>Detached A1 Light Fluorescent  (E)</v>
      </c>
      <c r="E156" s="138" t="str">
        <f>Commodities!$AA$47</f>
        <v>RSD_DTA1_LI</v>
      </c>
      <c r="F156" s="167">
        <v>8</v>
      </c>
    </row>
    <row r="157" spans="2:9">
      <c r="B157" s="51" t="str">
        <f t="shared" si="10"/>
        <v>RSD_DTA1_LI_E03</v>
      </c>
      <c r="C157" s="51" t="str">
        <f t="shared" si="11"/>
        <v>Detached A1 Light LED  (E)</v>
      </c>
      <c r="E157" s="138" t="str">
        <f>Commodities!$AA$47</f>
        <v>RSD_DTA1_LI</v>
      </c>
      <c r="F157" s="167">
        <v>12</v>
      </c>
    </row>
    <row r="158" spans="2:9">
      <c r="B158" s="152" t="str">
        <f t="shared" si="10"/>
        <v>RSD_DTA1_LI_E04</v>
      </c>
      <c r="C158" s="152" t="str">
        <f t="shared" si="11"/>
        <v>Detached A1 Light Halogen  (E)</v>
      </c>
      <c r="D158" s="152"/>
      <c r="E158" s="153" t="str">
        <f>Commodities!$AA$47</f>
        <v>RSD_DTA1_LI</v>
      </c>
      <c r="F158" s="168">
        <v>5</v>
      </c>
    </row>
    <row r="159" spans="2:9">
      <c r="B159" s="41" t="str">
        <f t="shared" si="10"/>
        <v>RSD_APA1_LI_E01</v>
      </c>
      <c r="C159" s="41" t="str">
        <f t="shared" si="11"/>
        <v>Apartment A1  Light Standard  (E)</v>
      </c>
      <c r="D159" s="41"/>
      <c r="E159" s="157" t="str">
        <f>Commodities!$AA$48</f>
        <v>RSD_APA1_LI</v>
      </c>
      <c r="F159" s="167">
        <v>2</v>
      </c>
    </row>
    <row r="160" spans="2:9">
      <c r="B160" s="41" t="str">
        <f t="shared" si="10"/>
        <v>RSD_APA1_LI_E02</v>
      </c>
      <c r="C160" s="41" t="str">
        <f t="shared" si="11"/>
        <v>Apartment A1  Light Fluorescent  (E)</v>
      </c>
      <c r="D160" s="41"/>
      <c r="E160" s="138" t="str">
        <f>Commodities!$AA$48</f>
        <v>RSD_APA1_LI</v>
      </c>
      <c r="F160" s="167">
        <v>8</v>
      </c>
    </row>
    <row r="161" spans="2:6">
      <c r="B161" s="41" t="str">
        <f t="shared" si="10"/>
        <v>RSD_APA1_LI_E03</v>
      </c>
      <c r="C161" s="41" t="str">
        <f t="shared" si="11"/>
        <v>Apartment A1  Light LED  (E)</v>
      </c>
      <c r="D161" s="41"/>
      <c r="E161" s="138" t="str">
        <f>Commodities!$AA$48</f>
        <v>RSD_APA1_LI</v>
      </c>
      <c r="F161" s="167">
        <v>12</v>
      </c>
    </row>
    <row r="162" spans="2:6">
      <c r="B162" s="152" t="str">
        <f t="shared" si="10"/>
        <v>RSD_APA1_LI_E04</v>
      </c>
      <c r="C162" s="152" t="str">
        <f t="shared" si="11"/>
        <v>Apartment A1  Light Halogen  (E)</v>
      </c>
      <c r="D162" s="152"/>
      <c r="E162" s="153" t="str">
        <f>Commodities!$AA$48</f>
        <v>RSD_APA1_LI</v>
      </c>
      <c r="F162" s="168">
        <v>5</v>
      </c>
    </row>
    <row r="163" spans="2:6" hidden="1">
      <c r="B163" s="41" t="str">
        <f t="shared" si="10"/>
        <v>RSD_DTA2_LI_E01</v>
      </c>
      <c r="C163" s="41" t="str">
        <f t="shared" si="11"/>
        <v>Detached A2  Light Standard  (E)</v>
      </c>
      <c r="D163" s="41"/>
      <c r="E163" s="157" t="str">
        <f>Commodities!$AA$49</f>
        <v>RSD_DTA2_LI</v>
      </c>
      <c r="F163" s="167">
        <v>2</v>
      </c>
    </row>
    <row r="164" spans="2:6" hidden="1">
      <c r="B164" s="41" t="str">
        <f t="shared" si="10"/>
        <v>RSD_DTA2_LI_E02</v>
      </c>
      <c r="C164" s="41" t="str">
        <f t="shared" si="11"/>
        <v>Detached A2  Light Fluorescent  (E)</v>
      </c>
      <c r="D164" s="41"/>
      <c r="E164" s="138" t="str">
        <f>Commodities!$AA$49</f>
        <v>RSD_DTA2_LI</v>
      </c>
      <c r="F164" s="167">
        <v>8</v>
      </c>
    </row>
    <row r="165" spans="2:6" hidden="1">
      <c r="B165" s="41" t="str">
        <f t="shared" si="10"/>
        <v>RSD_DTA2_LI_E03</v>
      </c>
      <c r="C165" s="41" t="str">
        <f t="shared" si="11"/>
        <v>Detached A2  Light LED  (E)</v>
      </c>
      <c r="D165" s="41"/>
      <c r="E165" s="138" t="str">
        <f>Commodities!$AA$49</f>
        <v>RSD_DTA2_LI</v>
      </c>
      <c r="F165" s="167">
        <v>12</v>
      </c>
    </row>
    <row r="166" spans="2:6" hidden="1">
      <c r="B166" s="152" t="str">
        <f t="shared" si="10"/>
        <v>RSD_DTA2_LI_E04</v>
      </c>
      <c r="C166" s="152" t="str">
        <f t="shared" si="11"/>
        <v>Detached A2  Light Halogen  (E)</v>
      </c>
      <c r="D166" s="152"/>
      <c r="E166" s="153" t="str">
        <f>Commodities!$AA$49</f>
        <v>RSD_DTA2_LI</v>
      </c>
      <c r="F166" s="168">
        <v>5</v>
      </c>
    </row>
    <row r="167" spans="2:6" hidden="1">
      <c r="B167" s="41" t="str">
        <f t="shared" si="10"/>
        <v>RSD_APA2_LI_E01</v>
      </c>
      <c r="C167" s="41" t="str">
        <f t="shared" si="11"/>
        <v>Apartment A2   Light Standard  (E)</v>
      </c>
      <c r="D167" s="41"/>
      <c r="E167" s="157" t="str">
        <f>Commodities!$AA$50</f>
        <v>RSD_APA2_LI</v>
      </c>
      <c r="F167" s="167">
        <v>2</v>
      </c>
    </row>
    <row r="168" spans="2:6" hidden="1">
      <c r="B168" s="41" t="str">
        <f t="shared" si="10"/>
        <v>RSD_APA2_LI_E02</v>
      </c>
      <c r="C168" s="41" t="str">
        <f t="shared" si="11"/>
        <v>Apartment A2   Light Fluorescent  (E)</v>
      </c>
      <c r="D168" s="41"/>
      <c r="E168" s="138" t="str">
        <f>Commodities!$AA$50</f>
        <v>RSD_APA2_LI</v>
      </c>
      <c r="F168" s="167">
        <v>8</v>
      </c>
    </row>
    <row r="169" spans="2:6" hidden="1">
      <c r="B169" s="41" t="str">
        <f t="shared" si="10"/>
        <v>RSD_APA2_LI_E03</v>
      </c>
      <c r="C169" s="41" t="str">
        <f t="shared" si="11"/>
        <v>Apartment A2   Light LED  (E)</v>
      </c>
      <c r="D169" s="41"/>
      <c r="E169" s="138" t="str">
        <f>Commodities!$AA$50</f>
        <v>RSD_APA2_LI</v>
      </c>
      <c r="F169" s="167">
        <v>12</v>
      </c>
    </row>
    <row r="170" spans="2:6" hidden="1">
      <c r="B170" s="152" t="str">
        <f t="shared" si="10"/>
        <v>RSD_APA2_LI_E04</v>
      </c>
      <c r="C170" s="152" t="str">
        <f t="shared" si="11"/>
        <v>Apartment A2   Light Halogen  (E)</v>
      </c>
      <c r="D170" s="152"/>
      <c r="E170" s="153" t="str">
        <f>Commodities!$AA$50</f>
        <v>RSD_APA2_LI</v>
      </c>
      <c r="F170" s="168">
        <v>5</v>
      </c>
    </row>
    <row r="171" spans="2:6" hidden="1">
      <c r="B171" s="41" t="str">
        <f t="shared" si="10"/>
        <v>RSD_DTA3_LI_E01</v>
      </c>
      <c r="C171" s="41" t="str">
        <f t="shared" si="11"/>
        <v>Detached A3  Light Standard  (E)</v>
      </c>
      <c r="D171" s="41"/>
      <c r="E171" s="157" t="str">
        <f>Commodities!$AA$51</f>
        <v>RSD_DTA3_LI</v>
      </c>
      <c r="F171" s="167">
        <v>2</v>
      </c>
    </row>
    <row r="172" spans="2:6" hidden="1">
      <c r="B172" s="41" t="str">
        <f t="shared" si="10"/>
        <v>RSD_DTA3_LI_E02</v>
      </c>
      <c r="C172" s="41" t="str">
        <f t="shared" si="11"/>
        <v>Detached A3  Light Fluorescent  (E)</v>
      </c>
      <c r="D172" s="41"/>
      <c r="E172" s="138" t="str">
        <f>Commodities!$AA$51</f>
        <v>RSD_DTA3_LI</v>
      </c>
      <c r="F172" s="167">
        <v>8</v>
      </c>
    </row>
    <row r="173" spans="2:6" hidden="1">
      <c r="B173" s="41" t="str">
        <f t="shared" si="10"/>
        <v>RSD_DTA3_LI_E03</v>
      </c>
      <c r="C173" s="41" t="str">
        <f t="shared" si="11"/>
        <v>Detached A3  Light LED  (E)</v>
      </c>
      <c r="D173" s="41"/>
      <c r="E173" s="138" t="str">
        <f>Commodities!$AA$51</f>
        <v>RSD_DTA3_LI</v>
      </c>
      <c r="F173" s="167">
        <v>12</v>
      </c>
    </row>
    <row r="174" spans="2:6" hidden="1">
      <c r="B174" s="152" t="str">
        <f t="shared" si="10"/>
        <v>RSD_DTA3_LI_E04</v>
      </c>
      <c r="C174" s="152" t="str">
        <f t="shared" si="11"/>
        <v>Detached A3  Light Halogen  (E)</v>
      </c>
      <c r="D174" s="152"/>
      <c r="E174" s="153" t="str">
        <f>Commodities!$AA$51</f>
        <v>RSD_DTA3_LI</v>
      </c>
      <c r="F174" s="168">
        <v>5</v>
      </c>
    </row>
    <row r="175" spans="2:6" hidden="1">
      <c r="B175" s="41" t="str">
        <f t="shared" si="10"/>
        <v>RSD_APA3_LI_E01</v>
      </c>
      <c r="C175" s="41" t="str">
        <f t="shared" si="11"/>
        <v>Apartment A3  Light Standard  (E)</v>
      </c>
      <c r="D175" s="41"/>
      <c r="E175" s="157" t="str">
        <f>Commodities!$AA$52</f>
        <v>RSD_APA3_LI</v>
      </c>
      <c r="F175" s="167">
        <v>2</v>
      </c>
    </row>
    <row r="176" spans="2:6" hidden="1">
      <c r="B176" s="41" t="str">
        <f t="shared" si="10"/>
        <v>RSD_APA3_LI_E02</v>
      </c>
      <c r="C176" s="41" t="str">
        <f t="shared" si="11"/>
        <v>Apartment A3  Light Fluorescent  (E)</v>
      </c>
      <c r="D176" s="41"/>
      <c r="E176" s="138" t="str">
        <f>Commodities!$AA$52</f>
        <v>RSD_APA3_LI</v>
      </c>
      <c r="F176" s="167">
        <v>8</v>
      </c>
    </row>
    <row r="177" spans="2:6" hidden="1">
      <c r="B177" s="41" t="str">
        <f t="shared" si="10"/>
        <v>RSD_APA3_LI_E03</v>
      </c>
      <c r="C177" s="41" t="str">
        <f t="shared" si="11"/>
        <v>Apartment A3  Light LED  (E)</v>
      </c>
      <c r="D177" s="41"/>
      <c r="E177" s="138" t="str">
        <f>Commodities!$AA$52</f>
        <v>RSD_APA3_LI</v>
      </c>
      <c r="F177" s="167">
        <v>12</v>
      </c>
    </row>
    <row r="178" spans="2:6" hidden="1">
      <c r="B178" s="152" t="str">
        <f t="shared" si="10"/>
        <v>RSD_APA3_LI_E04</v>
      </c>
      <c r="C178" s="152" t="str">
        <f t="shared" si="11"/>
        <v>Apartment A3  Light Halogen  (E)</v>
      </c>
      <c r="D178" s="152"/>
      <c r="E178" s="153" t="str">
        <f>Commodities!$AA$52</f>
        <v>RSD_APA3_LI</v>
      </c>
      <c r="F178" s="168">
        <v>5</v>
      </c>
    </row>
    <row r="179" spans="2:6" hidden="1">
      <c r="B179" s="41" t="str">
        <f t="shared" ref="B179:B186" si="12">M31</f>
        <v>RSD_DTA4_LI_E01</v>
      </c>
      <c r="C179" s="41" t="str">
        <f t="shared" ref="C179:C186" si="13">N31</f>
        <v>Detached A4  Light Standard  (E)</v>
      </c>
      <c r="D179" s="41"/>
      <c r="E179" s="157" t="str">
        <f>Commodities!$AA$53</f>
        <v>RSD_DTA4_LI</v>
      </c>
      <c r="F179" s="167">
        <v>2</v>
      </c>
    </row>
    <row r="180" spans="2:6" hidden="1">
      <c r="B180" s="41" t="str">
        <f t="shared" si="12"/>
        <v>RSD_DTA4_LI_E02</v>
      </c>
      <c r="C180" s="41" t="str">
        <f t="shared" si="13"/>
        <v>Detached A4  Light Fluorescent  (E)</v>
      </c>
      <c r="D180" s="41"/>
      <c r="E180" s="138" t="str">
        <f>Commodities!$AA$53</f>
        <v>RSD_DTA4_LI</v>
      </c>
      <c r="F180" s="167">
        <v>8</v>
      </c>
    </row>
    <row r="181" spans="2:6" hidden="1">
      <c r="B181" s="41" t="str">
        <f t="shared" si="12"/>
        <v>RSD_DTA4_LI_E03</v>
      </c>
      <c r="C181" s="41" t="str">
        <f t="shared" si="13"/>
        <v>Detached A4  Light LED  (E)</v>
      </c>
      <c r="D181" s="41"/>
      <c r="E181" s="138" t="str">
        <f>Commodities!$AA$53</f>
        <v>RSD_DTA4_LI</v>
      </c>
      <c r="F181" s="167">
        <v>12</v>
      </c>
    </row>
    <row r="182" spans="2:6" hidden="1">
      <c r="B182" s="152" t="str">
        <f t="shared" si="12"/>
        <v>RSD_DTA4_LI_E04</v>
      </c>
      <c r="C182" s="152" t="str">
        <f t="shared" si="13"/>
        <v>Detached A4  Light Halogen  (E)</v>
      </c>
      <c r="D182" s="152"/>
      <c r="E182" s="153" t="str">
        <f>Commodities!$AA$53</f>
        <v>RSD_DTA4_LI</v>
      </c>
      <c r="F182" s="168">
        <v>5</v>
      </c>
    </row>
    <row r="183" spans="2:6" hidden="1">
      <c r="B183" s="41" t="str">
        <f t="shared" si="12"/>
        <v>RSD_APA4_LI_E01</v>
      </c>
      <c r="C183" s="41" t="str">
        <f t="shared" si="13"/>
        <v>Apartment A4  Light Standard  (E)</v>
      </c>
      <c r="D183" s="41"/>
      <c r="E183" s="157" t="str">
        <f>Commodities!$AA$54</f>
        <v>RSD_APA4_LI</v>
      </c>
      <c r="F183" s="167">
        <v>2</v>
      </c>
    </row>
    <row r="184" spans="2:6" hidden="1">
      <c r="B184" s="41" t="str">
        <f t="shared" si="12"/>
        <v>RSD_APA4_LI_E02</v>
      </c>
      <c r="C184" s="41" t="str">
        <f t="shared" si="13"/>
        <v>Apartment A4  Light Fluorescent  (E)</v>
      </c>
      <c r="D184" s="41"/>
      <c r="E184" s="138" t="str">
        <f>Commodities!$AA$54</f>
        <v>RSD_APA4_LI</v>
      </c>
      <c r="F184" s="167">
        <v>8</v>
      </c>
    </row>
    <row r="185" spans="2:6" hidden="1">
      <c r="B185" s="41" t="str">
        <f t="shared" si="12"/>
        <v>RSD_APA4_LI_E03</v>
      </c>
      <c r="C185" s="41" t="str">
        <f t="shared" si="13"/>
        <v>Apartment A4  Light LED  (E)</v>
      </c>
      <c r="D185" s="41"/>
      <c r="E185" s="138" t="str">
        <f>Commodities!$AA$54</f>
        <v>RSD_APA4_LI</v>
      </c>
      <c r="F185" s="167">
        <v>12</v>
      </c>
    </row>
    <row r="186" spans="2:6" hidden="1">
      <c r="B186" s="152" t="str">
        <f t="shared" si="12"/>
        <v>RSD_APA4_LI_E04</v>
      </c>
      <c r="C186" s="152" t="str">
        <f t="shared" si="13"/>
        <v>Apartment A4  Light Halogen  (E)</v>
      </c>
      <c r="D186" s="152"/>
      <c r="E186" s="153" t="str">
        <f>Commodities!$AA$54</f>
        <v>RSD_APA4_LI</v>
      </c>
      <c r="F186" s="168">
        <v>5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AA266"/>
  <sheetViews>
    <sheetView topLeftCell="A200" zoomScale="70" zoomScaleNormal="70" workbookViewId="0">
      <selection activeCell="A200" sqref="A1:XFD1048576"/>
    </sheetView>
  </sheetViews>
  <sheetFormatPr defaultColWidth="9.33203125" defaultRowHeight="13.2"/>
  <cols>
    <col min="1" max="1" width="6.44140625" style="51" customWidth="1"/>
    <col min="2" max="2" width="23.44140625" style="51" bestFit="1" customWidth="1"/>
    <col min="3" max="3" width="84.5546875" style="51" bestFit="1" customWidth="1"/>
    <col min="4" max="4" width="17.109375" style="51" bestFit="1" customWidth="1"/>
    <col min="5" max="5" width="25.44140625" style="51" bestFit="1" customWidth="1"/>
    <col min="6" max="6" width="12.109375" style="51" bestFit="1" customWidth="1"/>
    <col min="7" max="7" width="5.44140625" style="51" customWidth="1"/>
    <col min="8" max="8" width="20.6640625" style="51" customWidth="1"/>
    <col min="9" max="9" width="23.109375" style="51" customWidth="1"/>
    <col min="10" max="13" width="9.44140625" style="51" customWidth="1"/>
    <col min="14" max="14" width="31.44140625" style="51" customWidth="1"/>
    <col min="15" max="15" width="40.88671875" style="51" bestFit="1" customWidth="1"/>
    <col min="16" max="16" width="13.44140625" style="51" bestFit="1" customWidth="1"/>
    <col min="17" max="17" width="14.6640625" style="51" bestFit="1" customWidth="1"/>
    <col min="18" max="18" width="35" style="51" bestFit="1" customWidth="1"/>
    <col min="19" max="19" width="17.33203125" style="51" customWidth="1"/>
    <col min="20" max="20" width="25.5546875" style="51" customWidth="1"/>
    <col min="21" max="21" width="40.88671875" style="41" bestFit="1" customWidth="1"/>
    <col min="22" max="22" width="18.88671875" style="51" customWidth="1"/>
    <col min="23" max="23" width="14" style="51" bestFit="1" customWidth="1"/>
    <col min="24" max="24" width="21.88671875" style="51" customWidth="1"/>
    <col min="25" max="25" width="20.109375" style="51" customWidth="1"/>
    <col min="26" max="26" width="6.88671875" style="51" customWidth="1"/>
    <col min="27" max="27" width="61.44140625" style="51" bestFit="1" customWidth="1"/>
    <col min="28" max="28" width="24.33203125" style="51" bestFit="1" customWidth="1"/>
    <col min="29" max="16384" width="9.33203125" style="51"/>
  </cols>
  <sheetData>
    <row r="1" spans="1:24" ht="17.399999999999999">
      <c r="A1" s="36" t="s">
        <v>386</v>
      </c>
      <c r="B1" s="36"/>
      <c r="C1" s="36"/>
      <c r="P1" s="5"/>
      <c r="Q1" s="5"/>
      <c r="R1" s="5"/>
      <c r="S1" s="85"/>
      <c r="T1" s="85"/>
      <c r="U1" s="11"/>
      <c r="V1" s="85"/>
      <c r="W1" s="5"/>
      <c r="X1" s="5"/>
    </row>
    <row r="2" spans="1:24" ht="13.8">
      <c r="A2" s="86"/>
      <c r="F2" s="32">
        <v>3</v>
      </c>
      <c r="L2" s="5" t="s">
        <v>145</v>
      </c>
      <c r="M2" s="5"/>
      <c r="N2" s="5"/>
      <c r="O2" s="5"/>
      <c r="P2" s="85"/>
      <c r="Q2" s="85"/>
      <c r="R2" s="85"/>
      <c r="S2" s="85"/>
      <c r="T2" s="85"/>
      <c r="U2" s="8"/>
    </row>
    <row r="3" spans="1:24" ht="13.8">
      <c r="E3" s="86" t="s">
        <v>350</v>
      </c>
      <c r="H3" s="118" t="s">
        <v>980</v>
      </c>
      <c r="I3" s="119"/>
      <c r="J3" s="119"/>
      <c r="L3" s="87" t="s">
        <v>39</v>
      </c>
      <c r="M3" s="87"/>
      <c r="N3" s="87" t="s">
        <v>317</v>
      </c>
      <c r="O3" s="87"/>
      <c r="P3" s="120"/>
      <c r="Q3" s="120"/>
      <c r="R3" s="120"/>
      <c r="S3" s="120"/>
      <c r="T3" s="120"/>
      <c r="U3" s="8"/>
    </row>
    <row r="4" spans="1:24" ht="13.8">
      <c r="B4" s="88" t="s">
        <v>1</v>
      </c>
      <c r="C4" s="89" t="s">
        <v>42</v>
      </c>
      <c r="D4" s="88" t="s">
        <v>7</v>
      </c>
      <c r="E4" s="89" t="s">
        <v>8</v>
      </c>
      <c r="F4" s="121" t="s">
        <v>999</v>
      </c>
      <c r="H4" s="89" t="s">
        <v>361</v>
      </c>
      <c r="I4" s="31" t="s">
        <v>362</v>
      </c>
      <c r="J4" s="122" t="s">
        <v>358</v>
      </c>
      <c r="L4" s="106" t="s">
        <v>19</v>
      </c>
      <c r="M4" s="106"/>
      <c r="N4" s="87"/>
      <c r="O4" s="87"/>
      <c r="P4" s="120"/>
      <c r="Q4" s="120"/>
      <c r="R4" s="120"/>
      <c r="S4" s="120"/>
      <c r="T4" s="120"/>
      <c r="U4" s="8"/>
    </row>
    <row r="5" spans="1:24" ht="14.4" thickBot="1">
      <c r="B5" s="92" t="s">
        <v>356</v>
      </c>
      <c r="C5" s="123" t="s">
        <v>26</v>
      </c>
      <c r="D5" s="124" t="s">
        <v>36</v>
      </c>
      <c r="E5" s="123" t="s">
        <v>37</v>
      </c>
      <c r="F5" s="92"/>
      <c r="H5" s="121" t="s">
        <v>999</v>
      </c>
      <c r="I5" s="121" t="s">
        <v>999</v>
      </c>
      <c r="J5" s="125"/>
      <c r="L5" s="91" t="s">
        <v>13</v>
      </c>
      <c r="M5" s="91" t="s">
        <v>34</v>
      </c>
      <c r="N5" s="91" t="s">
        <v>1</v>
      </c>
      <c r="O5" s="91" t="s">
        <v>2</v>
      </c>
      <c r="P5" s="126" t="s">
        <v>20</v>
      </c>
      <c r="Q5" s="126" t="s">
        <v>21</v>
      </c>
      <c r="R5" s="126" t="s">
        <v>22</v>
      </c>
      <c r="S5" s="126" t="s">
        <v>23</v>
      </c>
      <c r="T5" s="126" t="s">
        <v>24</v>
      </c>
      <c r="U5" s="38"/>
    </row>
    <row r="6" spans="1:24" s="134" customFormat="1" ht="13.5" customHeight="1" thickBot="1">
      <c r="B6" s="127" t="s">
        <v>269</v>
      </c>
      <c r="C6" s="128"/>
      <c r="D6" s="127"/>
      <c r="E6" s="129"/>
      <c r="F6" s="130" t="str">
        <f>General!$D$18</f>
        <v>000s_Units</v>
      </c>
      <c r="H6" s="130" t="str">
        <f>General!$B$2</f>
        <v>PJ</v>
      </c>
      <c r="I6" s="130" t="str">
        <f>General!$B$2</f>
        <v>PJ</v>
      </c>
      <c r="J6" s="130"/>
      <c r="L6" s="131" t="s">
        <v>44</v>
      </c>
      <c r="M6" s="131" t="s">
        <v>35</v>
      </c>
      <c r="N6" s="131" t="s">
        <v>25</v>
      </c>
      <c r="O6" s="131" t="s">
        <v>26</v>
      </c>
      <c r="P6" s="110" t="s">
        <v>27</v>
      </c>
      <c r="Q6" s="110" t="s">
        <v>28</v>
      </c>
      <c r="R6" s="110" t="s">
        <v>48</v>
      </c>
      <c r="S6" s="110" t="s">
        <v>47</v>
      </c>
      <c r="T6" s="110" t="s">
        <v>29</v>
      </c>
      <c r="U6" s="39"/>
    </row>
    <row r="7" spans="1:24" ht="13.8">
      <c r="B7" s="51" t="str">
        <f t="shared" ref="B7:C8" si="0">N7</f>
        <v>RSD_DTA1_RF_E01</v>
      </c>
      <c r="C7" s="51" t="str">
        <f t="shared" si="0"/>
        <v>Detached A1 Refrigerating (E)|</v>
      </c>
      <c r="D7" s="51" t="str">
        <f>Commodities!$D$48</f>
        <v>RSDELC</v>
      </c>
      <c r="E7" s="135" t="str">
        <f>Commodities!$AA$55</f>
        <v>RSD_DTA1_RF</v>
      </c>
      <c r="F7" s="136">
        <f>VLOOKUP(LEFT($B7,8),RSD_Stock!$H$21:$L$28,F$2,FALSE)*VLOOKUP(B7,RSD_Demands!$H$186:$J$193,F$2,FALSE)</f>
        <v>760.01111999999989</v>
      </c>
      <c r="H7" s="137">
        <f>F7*F20</f>
        <v>0.83499655139999984</v>
      </c>
      <c r="I7" s="136">
        <f>VLOOKUP(LEFT($B7,11),RSD_En_Balance!$C$109:$R$190,MATCH($D7,RSD_En_Balance!$D$109:$R$109,0)+1,FALSE)</f>
        <v>0.83499655139999984</v>
      </c>
      <c r="J7" s="136">
        <f>SUM(H7:H7)-SUM(I7:I7)</f>
        <v>0</v>
      </c>
      <c r="L7" s="5" t="s">
        <v>270</v>
      </c>
      <c r="M7" s="5"/>
      <c r="N7" s="5" t="str">
        <f>Commodities!$AA55&amp;"_"&amp;$N$3&amp;"01"</f>
        <v>RSD_DTA1_RF_E01</v>
      </c>
      <c r="O7" s="5" t="str">
        <f>"Detached A1 Refrigerating (E)|"&amp;U7</f>
        <v>Detached A1 Refrigerating (E)|</v>
      </c>
      <c r="P7" s="85" t="str">
        <f>General!$D$18</f>
        <v>000s_Units</v>
      </c>
      <c r="Q7" s="85" t="str">
        <f>General!$D$18</f>
        <v>000s_Units</v>
      </c>
      <c r="R7" s="85" t="s">
        <v>125</v>
      </c>
      <c r="S7" s="85"/>
      <c r="T7" s="85"/>
      <c r="U7" s="8"/>
    </row>
    <row r="8" spans="1:24" ht="13.8">
      <c r="B8" s="51" t="str">
        <f t="shared" si="0"/>
        <v>RSD_APA1_RF_E01</v>
      </c>
      <c r="C8" s="51" t="str">
        <f t="shared" si="0"/>
        <v>Apartment A1 Refrigerating (E)|</v>
      </c>
      <c r="D8" s="51" t="str">
        <f>Commodities!$D$48</f>
        <v>RSDELC</v>
      </c>
      <c r="E8" s="138" t="str">
        <f>Commodities!$AA$56</f>
        <v>RSD_APA1_RF</v>
      </c>
      <c r="F8" s="136">
        <f>VLOOKUP(LEFT($B8,8),RSD_Stock!$H$22:$L$28,F$2,FALSE)*VLOOKUP(B8,RSD_Demands!$H$186:$J$193,F$2,FALSE)</f>
        <v>775.36488000000008</v>
      </c>
      <c r="H8" s="137">
        <f t="shared" ref="H8" si="1">F8*F21</f>
        <v>0.85186516860000028</v>
      </c>
      <c r="I8" s="136">
        <f>VLOOKUP(LEFT($B8,11),RSD_En_Balance!$C$109:$R$190,MATCH($D8,RSD_En_Balance!$D$109:$R$109,0)+1,FALSE)</f>
        <v>0.85186516860000017</v>
      </c>
      <c r="J8" s="136">
        <f t="shared" ref="J8" si="2">SUM(H8:H8)-SUM(I8:I8)</f>
        <v>0</v>
      </c>
      <c r="L8" s="5" t="s">
        <v>270</v>
      </c>
      <c r="M8" s="8"/>
      <c r="N8" s="5" t="str">
        <f>Commodities!$AA56&amp;"_"&amp;$N$3&amp;"01"</f>
        <v>RSD_APA1_RF_E01</v>
      </c>
      <c r="O8" s="5" t="str">
        <f>"Apartment A1 Refrigerating (E)|"&amp;U8</f>
        <v>Apartment A1 Refrigerating (E)|</v>
      </c>
      <c r="P8" s="85" t="str">
        <f>General!$D$18</f>
        <v>000s_Units</v>
      </c>
      <c r="Q8" s="85" t="str">
        <f>General!$D$18</f>
        <v>000s_Units</v>
      </c>
      <c r="R8" s="85" t="s">
        <v>125</v>
      </c>
      <c r="S8" s="11"/>
      <c r="T8" s="11"/>
      <c r="U8" s="8"/>
    </row>
    <row r="9" spans="1:24" ht="13.8">
      <c r="E9" s="138"/>
      <c r="F9" s="136"/>
      <c r="H9" s="137"/>
      <c r="I9" s="136"/>
      <c r="J9" s="136"/>
      <c r="L9" s="8" t="s">
        <v>147</v>
      </c>
      <c r="M9" s="8"/>
      <c r="N9" s="8"/>
      <c r="O9" s="8"/>
      <c r="P9" s="11"/>
      <c r="Q9" s="11"/>
      <c r="R9" s="11"/>
      <c r="S9" s="11"/>
      <c r="T9" s="11"/>
      <c r="U9" s="8"/>
      <c r="V9" s="41"/>
    </row>
    <row r="10" spans="1:24" ht="13.8">
      <c r="E10" s="138"/>
      <c r="F10" s="136"/>
      <c r="H10" s="137"/>
      <c r="I10" s="136"/>
      <c r="J10" s="136"/>
      <c r="L10" s="8" t="s">
        <v>147</v>
      </c>
      <c r="M10" s="8"/>
      <c r="N10" s="8"/>
      <c r="O10" s="8"/>
      <c r="P10" s="11"/>
      <c r="Q10" s="11"/>
      <c r="R10" s="11"/>
      <c r="S10" s="11"/>
      <c r="T10" s="11"/>
      <c r="U10" s="8"/>
      <c r="V10" s="41"/>
    </row>
    <row r="11" spans="1:24" ht="13.8">
      <c r="E11" s="138"/>
      <c r="F11" s="136"/>
      <c r="H11" s="137"/>
      <c r="I11" s="136"/>
      <c r="J11" s="136"/>
      <c r="L11" s="8" t="s">
        <v>147</v>
      </c>
      <c r="M11" s="8"/>
      <c r="N11" s="8"/>
      <c r="O11" s="8"/>
      <c r="P11" s="11"/>
      <c r="Q11" s="11"/>
      <c r="R11" s="11"/>
      <c r="S11" s="11"/>
      <c r="T11" s="11"/>
      <c r="U11" s="8"/>
      <c r="V11" s="41"/>
    </row>
    <row r="12" spans="1:24" ht="13.8">
      <c r="E12" s="138"/>
      <c r="F12" s="136"/>
      <c r="G12" s="41"/>
      <c r="H12" s="137"/>
      <c r="I12" s="136"/>
      <c r="J12" s="136"/>
      <c r="L12" s="8" t="s">
        <v>147</v>
      </c>
      <c r="M12" s="8"/>
      <c r="N12" s="8"/>
      <c r="O12" s="8"/>
      <c r="P12" s="11"/>
      <c r="Q12" s="11"/>
      <c r="R12" s="11"/>
      <c r="S12" s="11"/>
      <c r="T12" s="11"/>
      <c r="U12" s="8"/>
      <c r="V12" s="41"/>
    </row>
    <row r="13" spans="1:24" ht="13.8">
      <c r="E13" s="138"/>
      <c r="F13" s="136"/>
      <c r="G13" s="41"/>
      <c r="H13" s="137"/>
      <c r="I13" s="136"/>
      <c r="J13" s="136"/>
      <c r="L13" s="8" t="s">
        <v>147</v>
      </c>
      <c r="M13" s="8"/>
      <c r="N13" s="8"/>
      <c r="O13" s="8"/>
      <c r="P13" s="11"/>
      <c r="Q13" s="11"/>
      <c r="R13" s="11"/>
      <c r="S13" s="11"/>
      <c r="T13" s="11"/>
      <c r="U13" s="8"/>
      <c r="V13" s="41"/>
    </row>
    <row r="14" spans="1:24" ht="13.8">
      <c r="E14" s="138"/>
      <c r="F14" s="136"/>
      <c r="G14" s="41"/>
      <c r="H14" s="137"/>
      <c r="I14" s="136"/>
      <c r="J14" s="136"/>
      <c r="L14" s="8" t="s">
        <v>147</v>
      </c>
      <c r="M14" s="100"/>
      <c r="N14" s="100"/>
      <c r="O14" s="100"/>
      <c r="P14" s="101"/>
      <c r="Q14" s="101"/>
      <c r="R14" s="101"/>
      <c r="S14" s="101"/>
      <c r="T14" s="101"/>
      <c r="U14" s="8"/>
      <c r="V14" s="41"/>
    </row>
    <row r="15" spans="1:24" ht="13.8">
      <c r="A15" s="41"/>
      <c r="B15" s="41"/>
      <c r="C15" s="41"/>
      <c r="D15" s="41"/>
      <c r="E15" s="41"/>
      <c r="F15" s="139"/>
      <c r="G15" s="41"/>
      <c r="H15" s="140"/>
      <c r="I15" s="140"/>
      <c r="J15" s="141"/>
      <c r="L15" s="5" t="s">
        <v>270</v>
      </c>
      <c r="M15" s="5"/>
      <c r="N15" s="5" t="str">
        <f>Commodities!$AA63&amp;"_"&amp;$N$3&amp;"01"</f>
        <v>RSD_DTA1_CW_E01</v>
      </c>
      <c r="O15" s="5" t="str">
        <f>"Detached A1 Cloth Washing (E)|"&amp;U13</f>
        <v>Detached A1 Cloth Washing (E)|</v>
      </c>
      <c r="P15" s="85" t="str">
        <f>General!$D$18</f>
        <v>000s_Units</v>
      </c>
      <c r="Q15" s="85" t="str">
        <f>General!$D$18</f>
        <v>000s_Units</v>
      </c>
      <c r="R15" s="85" t="s">
        <v>125</v>
      </c>
      <c r="S15" s="85"/>
      <c r="T15" s="85"/>
      <c r="U15" s="8"/>
      <c r="V15" s="41"/>
    </row>
    <row r="16" spans="1:24" ht="13.8">
      <c r="E16" s="86" t="s">
        <v>320</v>
      </c>
      <c r="L16" s="5" t="s">
        <v>270</v>
      </c>
      <c r="M16" s="8"/>
      <c r="N16" s="5" t="str">
        <f>Commodities!$AA64&amp;"_"&amp;$N$3&amp;"01"</f>
        <v>RSD_APA1_CW_E01</v>
      </c>
      <c r="O16" s="5" t="str">
        <f>"Apartment A1 Cloth Washing (E)|"&amp;U14</f>
        <v>Apartment A1 Cloth Washing (E)|</v>
      </c>
      <c r="P16" s="85" t="str">
        <f>General!$D$18</f>
        <v>000s_Units</v>
      </c>
      <c r="Q16" s="85" t="str">
        <f>General!$D$18</f>
        <v>000s_Units</v>
      </c>
      <c r="R16" s="85" t="s">
        <v>125</v>
      </c>
      <c r="S16" s="11"/>
      <c r="T16" s="11"/>
      <c r="U16" s="8"/>
      <c r="V16" s="41"/>
    </row>
    <row r="17" spans="2:26" ht="13.8">
      <c r="B17" s="88" t="s">
        <v>1</v>
      </c>
      <c r="C17" s="88" t="s">
        <v>42</v>
      </c>
      <c r="D17" s="88" t="s">
        <v>7</v>
      </c>
      <c r="E17" s="88" t="s">
        <v>0</v>
      </c>
      <c r="F17" s="121" t="s">
        <v>999</v>
      </c>
      <c r="L17" s="8" t="s">
        <v>147</v>
      </c>
      <c r="M17" s="8"/>
      <c r="N17" s="8"/>
      <c r="O17" s="8"/>
      <c r="P17" s="11"/>
      <c r="Q17" s="11"/>
      <c r="R17" s="11"/>
      <c r="S17" s="11"/>
      <c r="T17" s="11"/>
      <c r="U17" s="8"/>
      <c r="V17" s="41"/>
    </row>
    <row r="18" spans="2:26" ht="14.4" thickBot="1">
      <c r="B18" s="92" t="s">
        <v>356</v>
      </c>
      <c r="C18" s="92" t="s">
        <v>26</v>
      </c>
      <c r="D18" s="124" t="s">
        <v>36</v>
      </c>
      <c r="E18" s="123" t="s">
        <v>37</v>
      </c>
      <c r="F18" s="92"/>
      <c r="L18" s="8" t="s">
        <v>147</v>
      </c>
      <c r="M18" s="8"/>
      <c r="N18" s="8"/>
      <c r="O18" s="8"/>
      <c r="P18" s="11"/>
      <c r="Q18" s="11"/>
      <c r="R18" s="11"/>
      <c r="S18" s="11"/>
      <c r="T18" s="11"/>
      <c r="U18" s="8"/>
      <c r="V18" s="41"/>
    </row>
    <row r="19" spans="2:26" ht="14.4" thickBot="1">
      <c r="B19" s="92" t="s">
        <v>269</v>
      </c>
      <c r="C19" s="92"/>
      <c r="D19" s="92"/>
      <c r="E19" s="123"/>
      <c r="F19" s="132" t="str">
        <f>General!$D$19</f>
        <v>TJ/unit</v>
      </c>
      <c r="H19" s="52" t="s">
        <v>943</v>
      </c>
      <c r="I19" s="51">
        <v>1E-3</v>
      </c>
      <c r="J19" s="51">
        <v>1.5E-3</v>
      </c>
      <c r="L19" s="8" t="s">
        <v>147</v>
      </c>
      <c r="M19" s="8"/>
      <c r="N19" s="8"/>
      <c r="O19" s="8"/>
      <c r="P19" s="11"/>
      <c r="Q19" s="11"/>
      <c r="R19" s="11"/>
      <c r="S19" s="11"/>
      <c r="T19" s="11"/>
      <c r="U19" s="8"/>
      <c r="V19" s="41"/>
    </row>
    <row r="20" spans="2:26" ht="13.8">
      <c r="B20" s="51" t="str">
        <f t="shared" ref="B20:C21" si="3">N7</f>
        <v>RSD_DTA1_RF_E01</v>
      </c>
      <c r="C20" s="51" t="str">
        <f t="shared" si="3"/>
        <v>Detached A1 Refrigerating (E)|</v>
      </c>
      <c r="D20" s="51" t="str">
        <f>Commodities!$D$48</f>
        <v>RSDELC</v>
      </c>
      <c r="E20" s="135"/>
      <c r="F20" s="142">
        <f t="shared" ref="F20:F21" si="4">I7/F7</f>
        <v>1.0986635977115703E-3</v>
      </c>
      <c r="H20" s="52"/>
      <c r="L20" s="8" t="s">
        <v>147</v>
      </c>
      <c r="M20" s="8"/>
      <c r="N20" s="8"/>
      <c r="O20" s="8"/>
      <c r="P20" s="11"/>
      <c r="Q20" s="11"/>
      <c r="R20" s="11"/>
      <c r="S20" s="11"/>
      <c r="T20" s="11"/>
      <c r="U20" s="8"/>
      <c r="V20" s="41"/>
    </row>
    <row r="21" spans="2:26" ht="13.8">
      <c r="B21" s="51" t="str">
        <f t="shared" si="3"/>
        <v>RSD_APA1_RF_E01</v>
      </c>
      <c r="C21" s="51" t="str">
        <f t="shared" si="3"/>
        <v>Apartment A1 Refrigerating (E)|</v>
      </c>
      <c r="D21" s="51" t="str">
        <f>Commodities!$D$48</f>
        <v>RSDELC</v>
      </c>
      <c r="E21" s="138"/>
      <c r="F21" s="142">
        <f t="shared" si="4"/>
        <v>1.0986635977115705E-3</v>
      </c>
      <c r="L21" s="8" t="s">
        <v>147</v>
      </c>
      <c r="M21" s="8"/>
      <c r="N21" s="8"/>
      <c r="O21" s="8"/>
      <c r="P21" s="11"/>
      <c r="Q21" s="11"/>
      <c r="R21" s="11"/>
      <c r="S21" s="11"/>
      <c r="T21" s="11"/>
      <c r="U21" s="8"/>
      <c r="V21" s="41"/>
    </row>
    <row r="22" spans="2:26" ht="13.8">
      <c r="E22" s="138"/>
      <c r="F22" s="142"/>
      <c r="L22" s="8" t="s">
        <v>147</v>
      </c>
      <c r="M22" s="100"/>
      <c r="N22" s="100"/>
      <c r="O22" s="100"/>
      <c r="P22" s="101"/>
      <c r="Q22" s="101"/>
      <c r="R22" s="101"/>
      <c r="S22" s="101"/>
      <c r="T22" s="101"/>
      <c r="U22" s="8"/>
      <c r="V22" s="41"/>
    </row>
    <row r="23" spans="2:26" ht="13.8">
      <c r="E23" s="138"/>
      <c r="F23" s="142"/>
      <c r="L23" s="5" t="s">
        <v>270</v>
      </c>
      <c r="M23" s="5"/>
      <c r="N23" s="5" t="str">
        <f>Commodities!$AA71&amp;"_"&amp;$N$3&amp;"01"</f>
        <v>RSD_DTA1_DW_E01</v>
      </c>
      <c r="O23" s="5" t="str">
        <f>"Detached A1 Dish Washing (E)|"&amp;U19</f>
        <v>Detached A1 Dish Washing (E)|</v>
      </c>
      <c r="P23" s="85" t="str">
        <f>General!$D$18</f>
        <v>000s_Units</v>
      </c>
      <c r="Q23" s="85" t="str">
        <f>General!$D$18</f>
        <v>000s_Units</v>
      </c>
      <c r="R23" s="85" t="s">
        <v>125</v>
      </c>
      <c r="S23" s="85"/>
      <c r="T23" s="85"/>
      <c r="U23" s="8"/>
      <c r="V23" s="41"/>
    </row>
    <row r="24" spans="2:26" ht="13.8">
      <c r="E24" s="138"/>
      <c r="F24" s="142"/>
      <c r="L24" s="5" t="s">
        <v>270</v>
      </c>
      <c r="M24" s="8"/>
      <c r="N24" s="5" t="str">
        <f>Commodities!$AA72&amp;"_"&amp;$N$3&amp;"01"</f>
        <v>RSD_APA1_DW_E01</v>
      </c>
      <c r="O24" s="5" t="str">
        <f>"Apartment A1 Dish Washing (E)|"&amp;U20</f>
        <v>Apartment A1 Dish Washing (E)|</v>
      </c>
      <c r="P24" s="85" t="str">
        <f>General!$D$18</f>
        <v>000s_Units</v>
      </c>
      <c r="Q24" s="85" t="str">
        <f>General!$D$18</f>
        <v>000s_Units</v>
      </c>
      <c r="R24" s="85" t="s">
        <v>125</v>
      </c>
      <c r="S24" s="11"/>
      <c r="T24" s="11"/>
      <c r="U24" s="8"/>
      <c r="V24" s="41"/>
    </row>
    <row r="25" spans="2:26" ht="13.8">
      <c r="E25" s="138"/>
      <c r="F25" s="142"/>
      <c r="L25" s="8" t="s">
        <v>147</v>
      </c>
      <c r="M25" s="8"/>
      <c r="N25" s="8"/>
      <c r="O25" s="8"/>
      <c r="P25" s="11"/>
      <c r="Q25" s="11"/>
      <c r="R25" s="11"/>
      <c r="S25" s="11"/>
      <c r="T25" s="11"/>
      <c r="U25" s="8"/>
      <c r="V25" s="41"/>
    </row>
    <row r="26" spans="2:26" ht="13.8">
      <c r="E26" s="138"/>
      <c r="F26" s="142"/>
      <c r="L26" s="8" t="s">
        <v>147</v>
      </c>
      <c r="M26" s="8"/>
      <c r="N26" s="8"/>
      <c r="O26" s="8"/>
      <c r="P26" s="11"/>
      <c r="Q26" s="11"/>
      <c r="R26" s="11"/>
      <c r="S26" s="11"/>
      <c r="T26" s="11"/>
      <c r="U26" s="8"/>
      <c r="V26" s="41"/>
    </row>
    <row r="27" spans="2:26" ht="13.8">
      <c r="E27" s="138"/>
      <c r="F27" s="142"/>
      <c r="L27" s="8" t="s">
        <v>147</v>
      </c>
      <c r="M27" s="8"/>
      <c r="N27" s="8"/>
      <c r="O27" s="8"/>
      <c r="P27" s="11"/>
      <c r="Q27" s="11"/>
      <c r="R27" s="11"/>
      <c r="S27" s="11"/>
      <c r="T27" s="11"/>
      <c r="U27" s="8"/>
      <c r="V27" s="41"/>
    </row>
    <row r="28" spans="2:26" ht="13.8">
      <c r="L28" s="8" t="s">
        <v>147</v>
      </c>
      <c r="M28" s="8"/>
      <c r="N28" s="8"/>
      <c r="O28" s="8"/>
      <c r="P28" s="11"/>
      <c r="Q28" s="11"/>
      <c r="R28" s="11"/>
      <c r="S28" s="11"/>
      <c r="T28" s="11"/>
      <c r="U28" s="8"/>
      <c r="V28" s="41"/>
    </row>
    <row r="29" spans="2:26" ht="13.8">
      <c r="E29" s="86" t="s">
        <v>352</v>
      </c>
      <c r="L29" s="8" t="s">
        <v>147</v>
      </c>
      <c r="M29" s="8"/>
      <c r="N29" s="8"/>
      <c r="O29" s="8"/>
      <c r="P29" s="11"/>
      <c r="Q29" s="11"/>
      <c r="R29" s="11"/>
      <c r="S29" s="11"/>
      <c r="T29" s="11"/>
      <c r="U29" s="8"/>
      <c r="V29" s="41"/>
    </row>
    <row r="30" spans="2:26" ht="13.8">
      <c r="B30" s="88" t="s">
        <v>1</v>
      </c>
      <c r="C30" s="88" t="s">
        <v>42</v>
      </c>
      <c r="D30" s="88" t="s">
        <v>7</v>
      </c>
      <c r="E30" s="88" t="s">
        <v>0</v>
      </c>
      <c r="F30" s="121" t="s">
        <v>999</v>
      </c>
      <c r="L30" s="8" t="s">
        <v>147</v>
      </c>
      <c r="M30" s="100"/>
      <c r="N30" s="100"/>
      <c r="O30" s="100"/>
      <c r="P30" s="101"/>
      <c r="Q30" s="101"/>
      <c r="R30" s="101"/>
      <c r="S30" s="101"/>
      <c r="T30" s="101"/>
      <c r="U30" s="8"/>
      <c r="V30" s="41"/>
    </row>
    <row r="31" spans="2:26" ht="14.4" thickBot="1">
      <c r="B31" s="92" t="s">
        <v>356</v>
      </c>
      <c r="C31" s="92" t="s">
        <v>26</v>
      </c>
      <c r="D31" s="124" t="s">
        <v>36</v>
      </c>
      <c r="E31" s="123"/>
      <c r="F31" s="92"/>
      <c r="L31" s="5" t="s">
        <v>270</v>
      </c>
      <c r="M31" s="5"/>
      <c r="N31" s="5" t="str">
        <f>Commodities!$AA79&amp;"_"&amp;$N$3&amp;"01"</f>
        <v>RSD_DTA1_AP_E01</v>
      </c>
      <c r="O31" s="5" t="str">
        <f>"Detached A1 Other Appliances (E)|"&amp;U25</f>
        <v>Detached A1 Other Appliances (E)|</v>
      </c>
      <c r="P31" s="85" t="str">
        <f>General!$D$18</f>
        <v>000s_Units</v>
      </c>
      <c r="Q31" s="85" t="str">
        <f>General!$D$18</f>
        <v>000s_Units</v>
      </c>
      <c r="R31" s="85" t="s">
        <v>125</v>
      </c>
      <c r="S31" s="85"/>
      <c r="T31" s="85"/>
    </row>
    <row r="32" spans="2:26" ht="14.4" thickBot="1">
      <c r="B32" s="92" t="s">
        <v>269</v>
      </c>
      <c r="C32" s="92"/>
      <c r="D32" s="92"/>
      <c r="E32" s="123"/>
      <c r="F32" s="124"/>
      <c r="L32" s="5" t="s">
        <v>270</v>
      </c>
      <c r="M32" s="8"/>
      <c r="N32" s="5" t="str">
        <f>Commodities!$AA80&amp;"_"&amp;$N$3&amp;"01"</f>
        <v>RSD_APA1_AP_E01</v>
      </c>
      <c r="O32" s="5" t="str">
        <f>"Apartment A1 Other Appliances (E)|"&amp;U26</f>
        <v>Apartment A1 Other Appliances (E)|</v>
      </c>
      <c r="P32" s="85" t="str">
        <f>General!$D$18</f>
        <v>000s_Units</v>
      </c>
      <c r="Q32" s="85" t="str">
        <f>General!$D$18</f>
        <v>000s_Units</v>
      </c>
      <c r="R32" s="85" t="s">
        <v>125</v>
      </c>
      <c r="S32" s="11"/>
      <c r="T32" s="11"/>
      <c r="V32" s="44"/>
      <c r="W32" s="44"/>
      <c r="X32" s="44"/>
      <c r="Y32" s="44"/>
      <c r="Z32" s="44"/>
    </row>
    <row r="33" spans="2:26" ht="13.8">
      <c r="B33" s="51" t="str">
        <f t="shared" ref="B33:C34" si="5">N7</f>
        <v>RSD_DTA1_RF_E01</v>
      </c>
      <c r="C33" s="51" t="str">
        <f t="shared" si="5"/>
        <v>Detached A1 Refrigerating (E)|</v>
      </c>
      <c r="E33" s="135" t="str">
        <f>Commodities!$AA$55</f>
        <v>RSD_DTA1_RF</v>
      </c>
      <c r="F33" s="136">
        <v>1</v>
      </c>
      <c r="H33" s="51" t="s">
        <v>942</v>
      </c>
      <c r="L33" s="8" t="s">
        <v>147</v>
      </c>
      <c r="M33" s="8"/>
      <c r="N33" s="8"/>
      <c r="O33" s="8"/>
      <c r="P33" s="11"/>
      <c r="Q33" s="11"/>
      <c r="R33" s="11"/>
      <c r="S33" s="11"/>
      <c r="T33" s="11"/>
      <c r="V33" s="44"/>
      <c r="W33" s="44"/>
      <c r="X33" s="44"/>
      <c r="Y33" s="44"/>
      <c r="Z33" s="44"/>
    </row>
    <row r="34" spans="2:26" ht="13.8">
      <c r="B34" s="51" t="str">
        <f t="shared" si="5"/>
        <v>RSD_APA1_RF_E01</v>
      </c>
      <c r="C34" s="51" t="str">
        <f t="shared" si="5"/>
        <v>Apartment A1 Refrigerating (E)|</v>
      </c>
      <c r="E34" s="138" t="str">
        <f>Commodities!$AA$56</f>
        <v>RSD_APA1_RF</v>
      </c>
      <c r="F34" s="136">
        <v>1</v>
      </c>
      <c r="H34" s="51" t="s">
        <v>942</v>
      </c>
      <c r="L34" s="8" t="s">
        <v>147</v>
      </c>
      <c r="M34" s="8"/>
      <c r="N34" s="8"/>
      <c r="O34" s="8"/>
      <c r="P34" s="11"/>
      <c r="Q34" s="11"/>
      <c r="R34" s="11"/>
      <c r="S34" s="11"/>
      <c r="T34" s="11"/>
      <c r="V34" s="44"/>
      <c r="W34" s="44"/>
      <c r="X34" s="44"/>
      <c r="Y34" s="44"/>
      <c r="Z34" s="44"/>
    </row>
    <row r="35" spans="2:26" ht="13.8">
      <c r="E35" s="138"/>
      <c r="F35" s="136"/>
      <c r="L35" s="8" t="s">
        <v>147</v>
      </c>
      <c r="M35" s="8"/>
      <c r="N35" s="8"/>
      <c r="O35" s="8"/>
      <c r="P35" s="11"/>
      <c r="Q35" s="11"/>
      <c r="R35" s="11"/>
      <c r="S35" s="11"/>
      <c r="T35" s="11"/>
      <c r="V35" s="44"/>
      <c r="W35" s="44"/>
      <c r="X35" s="44"/>
      <c r="Y35" s="44"/>
      <c r="Z35" s="44"/>
    </row>
    <row r="36" spans="2:26" ht="13.8">
      <c r="E36" s="138"/>
      <c r="F36" s="136"/>
      <c r="L36" s="8" t="s">
        <v>147</v>
      </c>
      <c r="M36" s="8"/>
      <c r="N36" s="8"/>
      <c r="O36" s="8"/>
      <c r="P36" s="11"/>
      <c r="Q36" s="11"/>
      <c r="R36" s="11"/>
      <c r="S36" s="11"/>
      <c r="T36" s="11"/>
      <c r="V36" s="44"/>
      <c r="W36" s="44"/>
      <c r="X36" s="44"/>
      <c r="Y36" s="44"/>
      <c r="Z36" s="44"/>
    </row>
    <row r="37" spans="2:26" ht="13.8">
      <c r="E37" s="138"/>
      <c r="F37" s="136"/>
      <c r="L37" s="8" t="s">
        <v>147</v>
      </c>
      <c r="M37" s="8"/>
      <c r="N37" s="8"/>
      <c r="O37" s="8"/>
      <c r="P37" s="11"/>
      <c r="Q37" s="11"/>
      <c r="R37" s="11"/>
      <c r="S37" s="11"/>
      <c r="T37" s="11"/>
      <c r="U37" s="143"/>
      <c r="V37" s="44"/>
      <c r="W37" s="44"/>
    </row>
    <row r="38" spans="2:26" ht="13.8">
      <c r="E38" s="138"/>
      <c r="F38" s="136"/>
      <c r="L38" s="100" t="s">
        <v>147</v>
      </c>
      <c r="M38" s="100"/>
      <c r="N38" s="100"/>
      <c r="O38" s="100"/>
      <c r="P38" s="101"/>
      <c r="Q38" s="101"/>
      <c r="R38" s="101"/>
      <c r="S38" s="101"/>
      <c r="T38" s="101"/>
      <c r="U38" s="143"/>
      <c r="V38" s="44"/>
      <c r="W38" s="44"/>
    </row>
    <row r="39" spans="2:26">
      <c r="E39" s="138"/>
      <c r="F39" s="136"/>
      <c r="U39" s="143"/>
      <c r="V39" s="44"/>
      <c r="W39" s="44"/>
    </row>
    <row r="40" spans="2:26">
      <c r="E40" s="138"/>
      <c r="F40" s="136"/>
      <c r="U40" s="143"/>
      <c r="V40" s="44"/>
      <c r="W40" s="44"/>
    </row>
    <row r="41" spans="2:26">
      <c r="U41" s="143"/>
      <c r="V41" s="44"/>
      <c r="W41" s="44"/>
    </row>
    <row r="42" spans="2:26" ht="13.8">
      <c r="E42" s="86" t="s">
        <v>353</v>
      </c>
      <c r="H42" s="86" t="s">
        <v>697</v>
      </c>
      <c r="I42" s="86"/>
      <c r="U42" s="143"/>
      <c r="V42" s="44"/>
      <c r="W42" s="44"/>
    </row>
    <row r="43" spans="2:26" ht="13.8">
      <c r="B43" s="88" t="s">
        <v>1</v>
      </c>
      <c r="C43" s="88" t="s">
        <v>42</v>
      </c>
      <c r="D43" s="88" t="s">
        <v>7</v>
      </c>
      <c r="E43" s="88" t="s">
        <v>0</v>
      </c>
      <c r="F43" s="121" t="s">
        <v>999</v>
      </c>
      <c r="H43" s="88" t="s">
        <v>1</v>
      </c>
      <c r="I43" s="121" t="s">
        <v>999</v>
      </c>
      <c r="T43" s="44"/>
      <c r="U43" s="143"/>
      <c r="V43" s="44"/>
      <c r="W43" s="44"/>
    </row>
    <row r="44" spans="2:26" ht="14.4" thickBot="1">
      <c r="B44" s="92" t="s">
        <v>356</v>
      </c>
      <c r="C44" s="92" t="s">
        <v>26</v>
      </c>
      <c r="D44" s="124" t="s">
        <v>36</v>
      </c>
      <c r="E44" s="123"/>
      <c r="F44" s="92"/>
      <c r="H44" s="92" t="s">
        <v>356</v>
      </c>
      <c r="I44" s="92"/>
      <c r="T44" s="44"/>
      <c r="U44" s="143"/>
      <c r="V44" s="44"/>
      <c r="W44" s="44"/>
    </row>
    <row r="45" spans="2:26" ht="14.4" thickBot="1">
      <c r="B45" s="92" t="s">
        <v>269</v>
      </c>
      <c r="C45" s="92"/>
      <c r="D45" s="92"/>
      <c r="E45" s="123"/>
      <c r="F45" s="124"/>
      <c r="H45" s="133" t="s">
        <v>269</v>
      </c>
      <c r="I45" s="133"/>
      <c r="T45" s="44"/>
      <c r="U45" s="143"/>
      <c r="V45" s="44"/>
      <c r="W45" s="44"/>
    </row>
    <row r="46" spans="2:26">
      <c r="B46" s="51" t="str">
        <f t="shared" ref="B46:C47" si="6">N7</f>
        <v>RSD_DTA1_RF_E01</v>
      </c>
      <c r="C46" s="51" t="str">
        <f t="shared" si="6"/>
        <v>Detached A1 Refrigerating (E)|</v>
      </c>
      <c r="E46" s="135" t="str">
        <f>Commodities!$AA$55</f>
        <v>RSD_DTA1_RF</v>
      </c>
      <c r="F46" s="136">
        <v>1</v>
      </c>
      <c r="H46" s="138" t="str">
        <f t="shared" ref="H46:H47" si="7">B46</f>
        <v>RSD_DTA1_RF_E01</v>
      </c>
      <c r="I46" s="139">
        <f t="shared" ref="I46:I47" si="8">IF(F46*Stk_Mult&gt;1,1,F46*Stk_Mult)</f>
        <v>1</v>
      </c>
      <c r="T46" s="44"/>
      <c r="V46" s="44"/>
      <c r="W46" s="44"/>
      <c r="X46" s="44"/>
      <c r="Y46" s="44"/>
      <c r="Z46" s="44"/>
    </row>
    <row r="47" spans="2:26">
      <c r="B47" s="51" t="str">
        <f t="shared" si="6"/>
        <v>RSD_APA1_RF_E01</v>
      </c>
      <c r="C47" s="51" t="str">
        <f t="shared" si="6"/>
        <v>Apartment A1 Refrigerating (E)|</v>
      </c>
      <c r="E47" s="138" t="str">
        <f>Commodities!$AA$56</f>
        <v>RSD_APA1_RF</v>
      </c>
      <c r="F47" s="136">
        <v>1</v>
      </c>
      <c r="H47" s="138" t="str">
        <f t="shared" si="7"/>
        <v>RSD_APA1_RF_E01</v>
      </c>
      <c r="I47" s="139">
        <f t="shared" si="8"/>
        <v>1</v>
      </c>
      <c r="T47" s="44"/>
      <c r="V47" s="44"/>
      <c r="W47" s="44"/>
      <c r="X47" s="44"/>
      <c r="Y47" s="44"/>
      <c r="Z47" s="44"/>
    </row>
    <row r="48" spans="2:26">
      <c r="E48" s="138"/>
      <c r="F48" s="136"/>
      <c r="H48" s="138"/>
      <c r="I48" s="139"/>
      <c r="T48" s="44"/>
      <c r="V48" s="44"/>
      <c r="W48" s="44"/>
      <c r="X48" s="44"/>
      <c r="Y48" s="44"/>
      <c r="Z48" s="44"/>
    </row>
    <row r="49" spans="2:27">
      <c r="E49" s="138"/>
      <c r="F49" s="136"/>
      <c r="H49" s="138"/>
      <c r="I49" s="139"/>
      <c r="T49" s="44"/>
      <c r="V49" s="44"/>
      <c r="W49" s="44"/>
      <c r="X49" s="44"/>
      <c r="Y49" s="44"/>
      <c r="Z49" s="44"/>
    </row>
    <row r="50" spans="2:27">
      <c r="E50" s="138"/>
      <c r="F50" s="136"/>
      <c r="H50" s="138"/>
      <c r="I50" s="139"/>
      <c r="T50" s="44"/>
      <c r="V50" s="44"/>
      <c r="W50" s="44"/>
      <c r="X50" s="44"/>
      <c r="Y50" s="44"/>
      <c r="Z50" s="44"/>
    </row>
    <row r="51" spans="2:27">
      <c r="E51" s="138"/>
      <c r="F51" s="136"/>
      <c r="H51" s="138"/>
      <c r="I51" s="139"/>
      <c r="T51" s="44"/>
      <c r="V51" s="44"/>
      <c r="W51" s="44"/>
      <c r="X51" s="44"/>
      <c r="Y51" s="44"/>
      <c r="Z51" s="44"/>
    </row>
    <row r="52" spans="2:27">
      <c r="E52" s="138"/>
      <c r="F52" s="136"/>
      <c r="H52" s="138"/>
      <c r="I52" s="139"/>
      <c r="T52" s="44"/>
      <c r="V52" s="44"/>
      <c r="W52" s="44"/>
      <c r="X52" s="44"/>
      <c r="Y52" s="44"/>
      <c r="Z52" s="44"/>
    </row>
    <row r="53" spans="2:27">
      <c r="E53" s="138"/>
      <c r="F53" s="136"/>
      <c r="H53" s="138"/>
      <c r="I53" s="139"/>
      <c r="T53" s="44"/>
      <c r="V53" s="44"/>
      <c r="W53" s="44"/>
      <c r="X53" s="44"/>
      <c r="Y53" s="44"/>
      <c r="Z53" s="44"/>
    </row>
    <row r="54" spans="2:27">
      <c r="V54" s="44"/>
      <c r="W54" s="44"/>
      <c r="X54" s="44"/>
      <c r="Y54" s="44"/>
      <c r="Z54" s="44"/>
    </row>
    <row r="55" spans="2:27" ht="13.8">
      <c r="E55" s="86" t="s">
        <v>354</v>
      </c>
      <c r="V55" s="44"/>
      <c r="W55" s="44"/>
      <c r="X55" s="44"/>
      <c r="Y55" s="44"/>
      <c r="Z55" s="44"/>
    </row>
    <row r="56" spans="2:27" ht="13.8">
      <c r="B56" s="88" t="s">
        <v>1</v>
      </c>
      <c r="C56" s="88" t="s">
        <v>42</v>
      </c>
      <c r="D56" s="88" t="s">
        <v>7</v>
      </c>
      <c r="E56" s="88" t="s">
        <v>0</v>
      </c>
      <c r="F56" s="121" t="s">
        <v>999</v>
      </c>
      <c r="V56" s="44"/>
      <c r="W56" s="44"/>
      <c r="X56" s="44"/>
      <c r="Y56" s="44"/>
      <c r="Z56" s="44"/>
    </row>
    <row r="57" spans="2:27" ht="14.4" thickBot="1">
      <c r="B57" s="92" t="s">
        <v>356</v>
      </c>
      <c r="C57" s="92" t="s">
        <v>26</v>
      </c>
      <c r="D57" s="124" t="s">
        <v>36</v>
      </c>
      <c r="E57" s="123"/>
      <c r="F57" s="92"/>
      <c r="V57" s="44"/>
      <c r="W57" s="44"/>
      <c r="X57" s="44"/>
      <c r="Y57" s="44"/>
      <c r="Z57" s="44"/>
    </row>
    <row r="58" spans="2:27" ht="14.4" thickBot="1">
      <c r="B58" s="92" t="s">
        <v>269</v>
      </c>
      <c r="C58" s="92"/>
      <c r="D58" s="92"/>
      <c r="E58" s="123"/>
      <c r="F58" s="124"/>
      <c r="V58" s="44"/>
      <c r="W58" s="44"/>
      <c r="X58" s="44"/>
      <c r="Y58" s="44"/>
      <c r="Z58" s="44"/>
    </row>
    <row r="59" spans="2:27">
      <c r="B59" s="51" t="str">
        <f t="shared" ref="B59:C60" si="9">N7</f>
        <v>RSD_DTA1_RF_E01</v>
      </c>
      <c r="C59" s="51" t="str">
        <f t="shared" si="9"/>
        <v>Detached A1 Refrigerating (E)|</v>
      </c>
      <c r="E59" s="135" t="str">
        <f>Commodities!$AA$55</f>
        <v>RSD_DTA1_RF</v>
      </c>
      <c r="F59" s="144">
        <v>15</v>
      </c>
      <c r="V59" s="44"/>
      <c r="W59" s="44"/>
      <c r="X59" s="44"/>
      <c r="Y59" s="44"/>
      <c r="Z59" s="44"/>
    </row>
    <row r="60" spans="2:27">
      <c r="B60" s="51" t="str">
        <f t="shared" si="9"/>
        <v>RSD_APA1_RF_E01</v>
      </c>
      <c r="C60" s="51" t="str">
        <f t="shared" si="9"/>
        <v>Apartment A1 Refrigerating (E)|</v>
      </c>
      <c r="E60" s="138" t="str">
        <f>Commodities!$AA$56</f>
        <v>RSD_APA1_RF</v>
      </c>
      <c r="F60" s="144">
        <v>15</v>
      </c>
      <c r="V60" s="44"/>
      <c r="W60" s="44"/>
      <c r="X60" s="44"/>
      <c r="Y60" s="44"/>
      <c r="Z60" s="44"/>
    </row>
    <row r="61" spans="2:27" ht="13.8">
      <c r="E61" s="138"/>
      <c r="F61" s="144"/>
      <c r="U61" s="11"/>
      <c r="V61" s="85"/>
      <c r="W61" s="85"/>
      <c r="X61" s="85"/>
      <c r="Y61" s="85"/>
      <c r="Z61" s="5"/>
      <c r="AA61" s="5"/>
    </row>
    <row r="62" spans="2:27">
      <c r="E62" s="138"/>
      <c r="F62" s="144"/>
      <c r="V62" s="44"/>
      <c r="W62" s="44"/>
      <c r="X62" s="44"/>
      <c r="Y62" s="44"/>
      <c r="Z62" s="44"/>
    </row>
    <row r="63" spans="2:27">
      <c r="E63" s="138"/>
      <c r="F63" s="144"/>
    </row>
    <row r="64" spans="2:27">
      <c r="E64" s="138"/>
      <c r="F64" s="144"/>
    </row>
    <row r="65" spans="1:26">
      <c r="E65" s="138"/>
      <c r="F65" s="144"/>
    </row>
    <row r="66" spans="1:26">
      <c r="E66" s="138"/>
      <c r="F66" s="144"/>
    </row>
    <row r="69" spans="1:26" ht="17.399999999999999">
      <c r="A69" s="36" t="s">
        <v>387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S69" s="5"/>
      <c r="T69" s="5"/>
    </row>
    <row r="70" spans="1:26" ht="13.8">
      <c r="E70" s="86" t="s">
        <v>350</v>
      </c>
      <c r="H70" s="118" t="s">
        <v>980</v>
      </c>
      <c r="I70" s="119"/>
      <c r="J70" s="119"/>
      <c r="K70" s="119"/>
      <c r="L70" s="119"/>
      <c r="M70" s="119"/>
      <c r="N70" s="119"/>
      <c r="O70" s="119"/>
      <c r="P70" s="119"/>
    </row>
    <row r="71" spans="1:26" ht="13.8">
      <c r="B71" s="88" t="s">
        <v>1</v>
      </c>
      <c r="C71" s="89" t="s">
        <v>42</v>
      </c>
      <c r="D71" s="88" t="s">
        <v>7</v>
      </c>
      <c r="E71" s="89" t="s">
        <v>8</v>
      </c>
      <c r="F71" s="121" t="s">
        <v>999</v>
      </c>
      <c r="H71" s="89" t="s">
        <v>361</v>
      </c>
      <c r="I71" s="31" t="s">
        <v>362</v>
      </c>
      <c r="J71" s="122" t="s">
        <v>358</v>
      </c>
      <c r="Q71" s="44"/>
      <c r="R71" s="44"/>
      <c r="S71" s="44"/>
      <c r="T71" s="44"/>
    </row>
    <row r="72" spans="1:26" ht="14.4" thickBot="1">
      <c r="B72" s="92" t="s">
        <v>356</v>
      </c>
      <c r="C72" s="123" t="s">
        <v>26</v>
      </c>
      <c r="D72" s="124" t="s">
        <v>36</v>
      </c>
      <c r="E72" s="123" t="s">
        <v>37</v>
      </c>
      <c r="F72" s="92"/>
      <c r="H72" s="121" t="s">
        <v>999</v>
      </c>
      <c r="I72" s="121" t="s">
        <v>999</v>
      </c>
      <c r="J72" s="125"/>
      <c r="Q72" s="44"/>
      <c r="R72" s="44"/>
      <c r="S72" s="44"/>
      <c r="T72" s="44"/>
    </row>
    <row r="73" spans="1:26" ht="14.4" thickBot="1">
      <c r="A73" s="134"/>
      <c r="B73" s="127" t="s">
        <v>269</v>
      </c>
      <c r="C73" s="128"/>
      <c r="D73" s="127"/>
      <c r="E73" s="129"/>
      <c r="F73" s="130" t="str">
        <f>General!$D$18</f>
        <v>000s_Units</v>
      </c>
      <c r="G73" s="134"/>
      <c r="H73" s="130" t="str">
        <f>General!$B$2</f>
        <v>PJ</v>
      </c>
      <c r="I73" s="130" t="str">
        <f>General!$B$2</f>
        <v>PJ</v>
      </c>
      <c r="J73" s="130"/>
      <c r="Q73" s="44"/>
      <c r="R73" s="44"/>
      <c r="S73" s="44"/>
      <c r="T73" s="44"/>
    </row>
    <row r="74" spans="1:26">
      <c r="B74" s="51" t="str">
        <f t="shared" ref="B74:C75" si="10">N15</f>
        <v>RSD_DTA1_CW_E01</v>
      </c>
      <c r="C74" s="51" t="str">
        <f t="shared" si="10"/>
        <v>Detached A1 Cloth Washing (E)|</v>
      </c>
      <c r="D74" s="51" t="str">
        <f>Commodities!$D$48</f>
        <v>RSDELC</v>
      </c>
      <c r="E74" s="135" t="str">
        <f>Commodities!$AA$63</f>
        <v>RSD_DTA1_CW</v>
      </c>
      <c r="F74" s="136">
        <f>VLOOKUP(LEFT($B74,8),RSD_Stock!$H$21:$L$28,F$2,FALSE)*VLOOKUP(B74,RSD_Demands!$H$196:$J$203,F$2,FALSE)</f>
        <v>620.67574799999988</v>
      </c>
      <c r="H74" s="145">
        <f t="shared" ref="H74:H75" si="11">F74*F87</f>
        <v>0.36838083149999989</v>
      </c>
      <c r="I74" s="136">
        <f>VLOOKUP(LEFT($B74,11),RSD_En_Balance!$C$109:$R$190,MATCH($D74,RSD_En_Balance!$D$109:$R$109,0)+1,FALSE)</f>
        <v>0.36838083149999989</v>
      </c>
      <c r="J74" s="136">
        <f t="shared" ref="J74:J75" si="12">SUM(H74:H74)-SUM(I74:I74)</f>
        <v>0</v>
      </c>
      <c r="Q74" s="44"/>
      <c r="R74" s="44"/>
      <c r="S74" s="44"/>
      <c r="T74" s="44"/>
      <c r="V74" s="44"/>
      <c r="W74" s="44"/>
      <c r="X74" s="44"/>
      <c r="Y74" s="44"/>
      <c r="Z74" s="44"/>
    </row>
    <row r="75" spans="1:26">
      <c r="B75" s="51" t="str">
        <f t="shared" si="10"/>
        <v>RSD_APA1_CW_E01</v>
      </c>
      <c r="C75" s="51" t="str">
        <f t="shared" si="10"/>
        <v>Apartment A1 Cloth Washing (E)|</v>
      </c>
      <c r="D75" s="51" t="str">
        <f>Commodities!$D$48</f>
        <v>RSDELC</v>
      </c>
      <c r="E75" s="138" t="str">
        <f>Commodities!$AA$64</f>
        <v>RSD_APA1_CW</v>
      </c>
      <c r="F75" s="136">
        <f>VLOOKUP(LEFT($B75,8),RSD_Stock!$H$22:$L$28,F$2,FALSE)*VLOOKUP(B75,RSD_Demands!$H$196:$J$203,F$2,FALSE)</f>
        <v>633.214652</v>
      </c>
      <c r="H75" s="145">
        <f t="shared" si="11"/>
        <v>0.37582286849999996</v>
      </c>
      <c r="I75" s="136">
        <f>VLOOKUP(LEFT($B75,11),RSD_En_Balance!$C$109:$R$190,MATCH($D75,RSD_En_Balance!$D$109:$R$109,0)+1,FALSE)</f>
        <v>0.37582286850000002</v>
      </c>
      <c r="J75" s="136">
        <f t="shared" si="12"/>
        <v>0</v>
      </c>
      <c r="Q75" s="44"/>
      <c r="R75" s="44"/>
      <c r="S75" s="44"/>
      <c r="T75" s="44"/>
      <c r="V75" s="44"/>
      <c r="W75" s="44"/>
      <c r="X75" s="44"/>
      <c r="Y75" s="44"/>
      <c r="Z75" s="44"/>
    </row>
    <row r="76" spans="1:26">
      <c r="E76" s="138"/>
      <c r="F76" s="136"/>
      <c r="H76" s="145"/>
      <c r="I76" s="136"/>
      <c r="J76" s="136"/>
      <c r="Q76" s="44"/>
      <c r="R76" s="44"/>
      <c r="S76" s="44"/>
      <c r="T76" s="44"/>
      <c r="V76" s="44"/>
      <c r="W76" s="44"/>
      <c r="X76" s="44"/>
      <c r="Y76" s="44"/>
      <c r="Z76" s="44"/>
    </row>
    <row r="77" spans="1:26">
      <c r="E77" s="138"/>
      <c r="F77" s="136"/>
      <c r="H77" s="145"/>
      <c r="I77" s="136"/>
      <c r="J77" s="136"/>
      <c r="Q77" s="44"/>
      <c r="R77" s="44"/>
      <c r="S77" s="44"/>
      <c r="T77" s="44"/>
      <c r="V77" s="44"/>
      <c r="W77" s="44"/>
      <c r="X77" s="44"/>
      <c r="Y77" s="44"/>
      <c r="Z77" s="44"/>
    </row>
    <row r="78" spans="1:26">
      <c r="E78" s="138"/>
      <c r="F78" s="136"/>
      <c r="H78" s="145"/>
      <c r="I78" s="136"/>
      <c r="J78" s="136"/>
      <c r="K78" s="140"/>
      <c r="Q78" s="44"/>
      <c r="R78" s="44"/>
      <c r="S78" s="44"/>
      <c r="T78" s="44"/>
      <c r="V78" s="44"/>
      <c r="W78" s="44"/>
      <c r="X78" s="44"/>
      <c r="Y78" s="44"/>
      <c r="Z78" s="44"/>
    </row>
    <row r="79" spans="1:26">
      <c r="E79" s="138"/>
      <c r="F79" s="136"/>
      <c r="G79" s="41"/>
      <c r="H79" s="145"/>
      <c r="I79" s="136"/>
      <c r="J79" s="136"/>
      <c r="Q79" s="44"/>
      <c r="R79" s="44"/>
      <c r="S79" s="44"/>
      <c r="T79" s="44"/>
      <c r="V79" s="44"/>
      <c r="W79" s="44"/>
      <c r="X79" s="44"/>
      <c r="Y79" s="44"/>
      <c r="Z79" s="44"/>
    </row>
    <row r="80" spans="1:26">
      <c r="E80" s="138"/>
      <c r="F80" s="136"/>
      <c r="G80" s="41"/>
      <c r="H80" s="145"/>
      <c r="I80" s="136"/>
      <c r="J80" s="136"/>
      <c r="Q80" s="44"/>
      <c r="R80" s="44"/>
      <c r="S80" s="44"/>
      <c r="T80" s="44"/>
      <c r="V80" s="44"/>
      <c r="W80" s="44"/>
      <c r="X80" s="44"/>
      <c r="Y80" s="44"/>
      <c r="Z80" s="44"/>
    </row>
    <row r="81" spans="1:26">
      <c r="E81" s="138"/>
      <c r="F81" s="136"/>
      <c r="G81" s="41"/>
      <c r="H81" s="145"/>
      <c r="I81" s="136"/>
      <c r="J81" s="136"/>
      <c r="Q81" s="44"/>
      <c r="R81" s="44"/>
      <c r="S81" s="44"/>
      <c r="T81" s="44"/>
      <c r="V81" s="44"/>
      <c r="W81" s="44"/>
      <c r="X81" s="44"/>
      <c r="Y81" s="44"/>
      <c r="Z81" s="44"/>
    </row>
    <row r="82" spans="1:26">
      <c r="A82" s="41"/>
      <c r="B82" s="41"/>
      <c r="C82" s="41"/>
      <c r="D82" s="41"/>
      <c r="E82" s="41"/>
      <c r="F82" s="139"/>
      <c r="G82" s="41"/>
      <c r="H82" s="140"/>
      <c r="I82" s="140"/>
      <c r="J82" s="140"/>
      <c r="L82" s="140"/>
      <c r="M82" s="140"/>
      <c r="N82" s="140"/>
      <c r="O82" s="140"/>
      <c r="P82" s="141"/>
      <c r="V82" s="44"/>
      <c r="W82" s="44"/>
      <c r="X82" s="44"/>
      <c r="Y82" s="44"/>
      <c r="Z82" s="44"/>
    </row>
    <row r="83" spans="1:26" ht="13.8">
      <c r="E83" s="86" t="s">
        <v>320</v>
      </c>
      <c r="V83" s="44"/>
      <c r="W83" s="44"/>
      <c r="X83" s="44"/>
      <c r="Y83" s="44"/>
      <c r="Z83" s="44"/>
    </row>
    <row r="84" spans="1:26" ht="13.8">
      <c r="B84" s="88" t="s">
        <v>1</v>
      </c>
      <c r="C84" s="88" t="s">
        <v>42</v>
      </c>
      <c r="D84" s="88" t="s">
        <v>7</v>
      </c>
      <c r="E84" s="88" t="s">
        <v>0</v>
      </c>
      <c r="F84" s="121" t="s">
        <v>999</v>
      </c>
      <c r="V84" s="44"/>
      <c r="W84" s="44"/>
      <c r="X84" s="44"/>
      <c r="Y84" s="44"/>
      <c r="Z84" s="44"/>
    </row>
    <row r="85" spans="1:26" ht="14.4" thickBot="1">
      <c r="B85" s="92" t="s">
        <v>356</v>
      </c>
      <c r="C85" s="92" t="s">
        <v>26</v>
      </c>
      <c r="D85" s="124" t="s">
        <v>36</v>
      </c>
      <c r="E85" s="123" t="s">
        <v>37</v>
      </c>
      <c r="F85" s="92"/>
      <c r="V85" s="44"/>
      <c r="W85" s="44"/>
      <c r="X85" s="44"/>
      <c r="Y85" s="44"/>
      <c r="Z85" s="44"/>
    </row>
    <row r="86" spans="1:26" ht="14.4" thickBot="1">
      <c r="B86" s="92" t="s">
        <v>269</v>
      </c>
      <c r="C86" s="92"/>
      <c r="D86" s="92"/>
      <c r="E86" s="123"/>
      <c r="F86" s="132" t="str">
        <f>General!$D$19</f>
        <v>TJ/unit</v>
      </c>
      <c r="H86" s="52" t="s">
        <v>943</v>
      </c>
      <c r="I86" s="51">
        <v>5.9999999999999995E-4</v>
      </c>
      <c r="J86" s="51">
        <v>6.9999999999999999E-4</v>
      </c>
      <c r="V86" s="44"/>
      <c r="W86" s="44"/>
      <c r="X86" s="44"/>
      <c r="Y86" s="44"/>
      <c r="Z86" s="44"/>
    </row>
    <row r="87" spans="1:26">
      <c r="B87" s="51" t="str">
        <f t="shared" ref="B87:C88" si="13">N15</f>
        <v>RSD_DTA1_CW_E01</v>
      </c>
      <c r="C87" s="51" t="str">
        <f t="shared" si="13"/>
        <v>Detached A1 Cloth Washing (E)|</v>
      </c>
      <c r="D87" s="51" t="str">
        <f>Commodities!$D$48</f>
        <v>RSDELC</v>
      </c>
      <c r="E87" s="135"/>
      <c r="F87" s="142">
        <f t="shared" ref="F87:F88" si="14">I74/F74</f>
        <v>5.9351574906387351E-4</v>
      </c>
      <c r="H87" s="52"/>
      <c r="V87" s="44"/>
      <c r="W87" s="44"/>
      <c r="X87" s="44"/>
      <c r="Y87" s="44"/>
      <c r="Z87" s="44"/>
    </row>
    <row r="88" spans="1:26">
      <c r="B88" s="51" t="str">
        <f t="shared" si="13"/>
        <v>RSD_APA1_CW_E01</v>
      </c>
      <c r="C88" s="51" t="str">
        <f t="shared" si="13"/>
        <v>Apartment A1 Cloth Washing (E)|</v>
      </c>
      <c r="D88" s="51" t="str">
        <f>Commodities!$D$48</f>
        <v>RSDELC</v>
      </c>
      <c r="E88" s="138"/>
      <c r="F88" s="142">
        <f t="shared" si="14"/>
        <v>5.9351574906387351E-4</v>
      </c>
      <c r="H88" s="52"/>
      <c r="V88" s="44"/>
      <c r="W88" s="44"/>
      <c r="X88" s="44"/>
      <c r="Y88" s="44"/>
      <c r="Z88" s="44"/>
    </row>
    <row r="89" spans="1:26">
      <c r="E89" s="138"/>
      <c r="F89" s="142"/>
      <c r="V89" s="44"/>
      <c r="W89" s="44"/>
      <c r="X89" s="44"/>
      <c r="Y89" s="44"/>
      <c r="Z89" s="44"/>
    </row>
    <row r="90" spans="1:26">
      <c r="E90" s="138"/>
      <c r="F90" s="142"/>
      <c r="V90" s="44"/>
      <c r="W90" s="44"/>
      <c r="X90" s="44"/>
      <c r="Y90" s="44"/>
      <c r="Z90" s="44"/>
    </row>
    <row r="91" spans="1:26">
      <c r="E91" s="138"/>
      <c r="F91" s="142"/>
    </row>
    <row r="92" spans="1:26">
      <c r="E92" s="138"/>
      <c r="F92" s="142"/>
    </row>
    <row r="93" spans="1:26">
      <c r="E93" s="138"/>
      <c r="F93" s="142"/>
    </row>
    <row r="94" spans="1:26">
      <c r="E94" s="138"/>
      <c r="F94" s="142"/>
    </row>
    <row r="96" spans="1:26" ht="13.8">
      <c r="E96" s="86" t="s">
        <v>352</v>
      </c>
    </row>
    <row r="97" spans="2:9" ht="13.8">
      <c r="B97" s="88" t="s">
        <v>1</v>
      </c>
      <c r="C97" s="88" t="s">
        <v>42</v>
      </c>
      <c r="D97" s="88" t="s">
        <v>7</v>
      </c>
      <c r="E97" s="88" t="s">
        <v>0</v>
      </c>
      <c r="F97" s="121" t="s">
        <v>999</v>
      </c>
    </row>
    <row r="98" spans="2:9" ht="14.4" thickBot="1">
      <c r="B98" s="92" t="s">
        <v>356</v>
      </c>
      <c r="C98" s="92" t="s">
        <v>26</v>
      </c>
      <c r="D98" s="124" t="s">
        <v>36</v>
      </c>
      <c r="E98" s="123"/>
      <c r="F98" s="92"/>
    </row>
    <row r="99" spans="2:9" ht="14.4" thickBot="1">
      <c r="B99" s="92" t="s">
        <v>269</v>
      </c>
      <c r="C99" s="92"/>
      <c r="D99" s="92"/>
      <c r="E99" s="123"/>
      <c r="F99" s="124"/>
    </row>
    <row r="100" spans="2:9">
      <c r="B100" s="51" t="str">
        <f t="shared" ref="B100:C101" si="15">N15</f>
        <v>RSD_DTA1_CW_E01</v>
      </c>
      <c r="C100" s="51" t="str">
        <f t="shared" si="15"/>
        <v>Detached A1 Cloth Washing (E)|</v>
      </c>
      <c r="E100" s="135" t="str">
        <f>Commodities!$AA$63</f>
        <v>RSD_DTA1_CW</v>
      </c>
      <c r="F100" s="136">
        <v>1.8340000000000001</v>
      </c>
      <c r="H100" s="51" t="s">
        <v>942</v>
      </c>
    </row>
    <row r="101" spans="2:9">
      <c r="B101" s="51" t="str">
        <f t="shared" si="15"/>
        <v>RSD_APA1_CW_E01</v>
      </c>
      <c r="C101" s="51" t="str">
        <f t="shared" si="15"/>
        <v>Apartment A1 Cloth Washing (E)|</v>
      </c>
      <c r="E101" s="138" t="str">
        <f>Commodities!$AA$64</f>
        <v>RSD_APA1_CW</v>
      </c>
      <c r="F101" s="136">
        <v>1.8340000000000001</v>
      </c>
      <c r="H101" s="51" t="s">
        <v>942</v>
      </c>
    </row>
    <row r="102" spans="2:9">
      <c r="E102" s="138"/>
      <c r="F102" s="136"/>
    </row>
    <row r="103" spans="2:9">
      <c r="E103" s="138"/>
      <c r="F103" s="136"/>
    </row>
    <row r="104" spans="2:9">
      <c r="E104" s="138"/>
      <c r="F104" s="136"/>
    </row>
    <row r="105" spans="2:9">
      <c r="E105" s="138"/>
      <c r="F105" s="136"/>
    </row>
    <row r="106" spans="2:9">
      <c r="E106" s="138"/>
      <c r="F106" s="136"/>
    </row>
    <row r="107" spans="2:9">
      <c r="E107" s="138"/>
      <c r="F107" s="136"/>
    </row>
    <row r="109" spans="2:9" ht="13.8">
      <c r="E109" s="86" t="s">
        <v>353</v>
      </c>
      <c r="H109" s="86" t="s">
        <v>697</v>
      </c>
      <c r="I109" s="86"/>
    </row>
    <row r="110" spans="2:9" ht="13.8">
      <c r="B110" s="88" t="s">
        <v>1</v>
      </c>
      <c r="C110" s="88" t="s">
        <v>42</v>
      </c>
      <c r="D110" s="88" t="s">
        <v>7</v>
      </c>
      <c r="E110" s="88" t="s">
        <v>0</v>
      </c>
      <c r="F110" s="121" t="s">
        <v>999</v>
      </c>
      <c r="H110" s="88" t="s">
        <v>1</v>
      </c>
      <c r="I110" s="121" t="s">
        <v>999</v>
      </c>
    </row>
    <row r="111" spans="2:9" ht="14.4" thickBot="1">
      <c r="B111" s="92" t="s">
        <v>356</v>
      </c>
      <c r="C111" s="92" t="s">
        <v>26</v>
      </c>
      <c r="D111" s="124" t="s">
        <v>36</v>
      </c>
      <c r="E111" s="123"/>
      <c r="F111" s="92"/>
      <c r="H111" s="92" t="s">
        <v>356</v>
      </c>
      <c r="I111" s="92"/>
    </row>
    <row r="112" spans="2:9" ht="14.4" thickBot="1">
      <c r="B112" s="92" t="s">
        <v>269</v>
      </c>
      <c r="C112" s="92"/>
      <c r="D112" s="92"/>
      <c r="E112" s="123"/>
      <c r="F112" s="124"/>
      <c r="H112" s="133" t="s">
        <v>269</v>
      </c>
      <c r="I112" s="133"/>
    </row>
    <row r="113" spans="2:27">
      <c r="B113" s="51" t="str">
        <f t="shared" ref="B113:C114" si="16">N15</f>
        <v>RSD_DTA1_CW_E01</v>
      </c>
      <c r="C113" s="51" t="str">
        <f t="shared" si="16"/>
        <v>Detached A1 Cloth Washing (E)|</v>
      </c>
      <c r="E113" s="135" t="str">
        <f>Commodities!$AA$63</f>
        <v>RSD_DTA1_CW</v>
      </c>
      <c r="F113" s="136">
        <v>1</v>
      </c>
      <c r="H113" s="138" t="str">
        <f t="shared" ref="H113:H114" si="17">B113</f>
        <v>RSD_DTA1_CW_E01</v>
      </c>
      <c r="I113" s="139">
        <f t="shared" ref="I113:I114" si="18">IF(F113*Stk_Mult&gt;1,1,F113*Stk_Mult)</f>
        <v>1</v>
      </c>
    </row>
    <row r="114" spans="2:27">
      <c r="B114" s="51" t="str">
        <f t="shared" si="16"/>
        <v>RSD_APA1_CW_E01</v>
      </c>
      <c r="C114" s="51" t="str">
        <f t="shared" si="16"/>
        <v>Apartment A1 Cloth Washing (E)|</v>
      </c>
      <c r="E114" s="138" t="str">
        <f>Commodities!$AA$64</f>
        <v>RSD_APA1_CW</v>
      </c>
      <c r="F114" s="136">
        <v>1</v>
      </c>
      <c r="H114" s="138" t="str">
        <f t="shared" si="17"/>
        <v>RSD_APA1_CW_E01</v>
      </c>
      <c r="I114" s="139">
        <f t="shared" si="18"/>
        <v>1</v>
      </c>
    </row>
    <row r="115" spans="2:27">
      <c r="E115" s="138"/>
      <c r="F115" s="136"/>
      <c r="H115" s="138"/>
      <c r="I115" s="139"/>
    </row>
    <row r="116" spans="2:27">
      <c r="E116" s="138"/>
      <c r="F116" s="136"/>
      <c r="H116" s="138"/>
      <c r="I116" s="139"/>
    </row>
    <row r="117" spans="2:27">
      <c r="E117" s="138"/>
      <c r="F117" s="136"/>
      <c r="H117" s="138"/>
      <c r="I117" s="139"/>
    </row>
    <row r="118" spans="2:27">
      <c r="E118" s="138"/>
      <c r="F118" s="136"/>
      <c r="H118" s="138"/>
      <c r="I118" s="139"/>
    </row>
    <row r="119" spans="2:27">
      <c r="E119" s="138"/>
      <c r="F119" s="136"/>
      <c r="H119" s="138"/>
      <c r="I119" s="139"/>
    </row>
    <row r="120" spans="2:27">
      <c r="E120" s="138"/>
      <c r="F120" s="136"/>
      <c r="H120" s="138"/>
      <c r="I120" s="139"/>
    </row>
    <row r="122" spans="2:27" ht="13.8">
      <c r="E122" s="86" t="s">
        <v>354</v>
      </c>
    </row>
    <row r="123" spans="2:27" ht="13.8">
      <c r="B123" s="88" t="s">
        <v>1</v>
      </c>
      <c r="C123" s="88" t="s">
        <v>42</v>
      </c>
      <c r="D123" s="88" t="s">
        <v>7</v>
      </c>
      <c r="E123" s="88" t="s">
        <v>0</v>
      </c>
      <c r="F123" s="121" t="s">
        <v>999</v>
      </c>
    </row>
    <row r="124" spans="2:27" ht="14.4" thickBot="1">
      <c r="B124" s="92" t="s">
        <v>356</v>
      </c>
      <c r="C124" s="92" t="s">
        <v>26</v>
      </c>
      <c r="D124" s="124" t="s">
        <v>36</v>
      </c>
      <c r="E124" s="123"/>
      <c r="F124" s="92"/>
    </row>
    <row r="125" spans="2:27" ht="14.4" thickBot="1">
      <c r="B125" s="92" t="s">
        <v>269</v>
      </c>
      <c r="C125" s="92"/>
      <c r="D125" s="92"/>
      <c r="E125" s="123"/>
      <c r="F125" s="124"/>
    </row>
    <row r="126" spans="2:27">
      <c r="B126" s="51" t="str">
        <f t="shared" ref="B126:C127" si="19">N15</f>
        <v>RSD_DTA1_CW_E01</v>
      </c>
      <c r="C126" s="51" t="str">
        <f t="shared" si="19"/>
        <v>Detached A1 Cloth Washing (E)|</v>
      </c>
      <c r="E126" s="135" t="str">
        <f>Commodities!$AA$63</f>
        <v>RSD_DTA1_CW</v>
      </c>
      <c r="F126" s="144">
        <v>15</v>
      </c>
    </row>
    <row r="127" spans="2:27">
      <c r="B127" s="51" t="str">
        <f t="shared" si="19"/>
        <v>RSD_APA1_CW_E01</v>
      </c>
      <c r="C127" s="51" t="str">
        <f t="shared" si="19"/>
        <v>Apartment A1 Cloth Washing (E)|</v>
      </c>
      <c r="E127" s="138" t="str">
        <f>Commodities!$AA$64</f>
        <v>RSD_APA1_CW</v>
      </c>
      <c r="F127" s="144">
        <v>15</v>
      </c>
    </row>
    <row r="128" spans="2:27" ht="13.8">
      <c r="E128" s="138"/>
      <c r="F128" s="144"/>
      <c r="U128" s="11"/>
      <c r="V128" s="85"/>
      <c r="W128" s="85"/>
      <c r="X128" s="85"/>
      <c r="Y128" s="85"/>
      <c r="Z128" s="5"/>
      <c r="AA128" s="5"/>
    </row>
    <row r="129" spans="1:26">
      <c r="E129" s="138"/>
      <c r="F129" s="144"/>
      <c r="V129" s="44"/>
      <c r="W129" s="44"/>
      <c r="X129" s="44"/>
      <c r="Y129" s="44"/>
      <c r="Z129" s="44"/>
    </row>
    <row r="130" spans="1:26">
      <c r="E130" s="138"/>
      <c r="F130" s="144"/>
    </row>
    <row r="131" spans="1:26">
      <c r="E131" s="138"/>
      <c r="F131" s="144"/>
    </row>
    <row r="132" spans="1:26">
      <c r="E132" s="138"/>
      <c r="F132" s="144"/>
    </row>
    <row r="133" spans="1:26">
      <c r="E133" s="138"/>
      <c r="F133" s="144"/>
    </row>
    <row r="136" spans="1:26" ht="17.399999999999999">
      <c r="A136" s="36" t="s">
        <v>388</v>
      </c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S136" s="5"/>
      <c r="T136" s="5"/>
    </row>
    <row r="137" spans="1:26" ht="13.8">
      <c r="E137" s="86" t="s">
        <v>350</v>
      </c>
      <c r="H137" s="118" t="s">
        <v>980</v>
      </c>
      <c r="I137" s="119"/>
      <c r="J137" s="119"/>
      <c r="K137" s="119"/>
      <c r="L137" s="119"/>
      <c r="M137" s="119"/>
      <c r="N137" s="119"/>
      <c r="O137" s="119"/>
      <c r="P137" s="119"/>
    </row>
    <row r="138" spans="1:26" ht="13.8">
      <c r="B138" s="88" t="s">
        <v>1</v>
      </c>
      <c r="C138" s="89" t="s">
        <v>42</v>
      </c>
      <c r="D138" s="88" t="s">
        <v>7</v>
      </c>
      <c r="E138" s="89" t="s">
        <v>8</v>
      </c>
      <c r="F138" s="121" t="s">
        <v>999</v>
      </c>
      <c r="H138" s="89" t="s">
        <v>361</v>
      </c>
      <c r="I138" s="31" t="s">
        <v>362</v>
      </c>
      <c r="J138" s="122" t="s">
        <v>358</v>
      </c>
      <c r="Q138" s="44"/>
      <c r="R138" s="44"/>
      <c r="S138" s="44"/>
      <c r="T138" s="44"/>
    </row>
    <row r="139" spans="1:26" ht="14.4" thickBot="1">
      <c r="B139" s="92" t="s">
        <v>356</v>
      </c>
      <c r="C139" s="123" t="s">
        <v>26</v>
      </c>
      <c r="D139" s="124" t="s">
        <v>36</v>
      </c>
      <c r="E139" s="123" t="s">
        <v>37</v>
      </c>
      <c r="F139" s="92"/>
      <c r="H139" s="121" t="s">
        <v>999</v>
      </c>
      <c r="I139" s="121" t="s">
        <v>999</v>
      </c>
      <c r="J139" s="125"/>
      <c r="Q139" s="44"/>
      <c r="R139" s="44"/>
      <c r="S139" s="44"/>
      <c r="T139" s="44"/>
    </row>
    <row r="140" spans="1:26" ht="14.4" thickBot="1">
      <c r="A140" s="134"/>
      <c r="B140" s="127" t="s">
        <v>269</v>
      </c>
      <c r="C140" s="128"/>
      <c r="D140" s="127"/>
      <c r="E140" s="129"/>
      <c r="F140" s="130" t="str">
        <f>General!$D$18</f>
        <v>000s_Units</v>
      </c>
      <c r="G140" s="134"/>
      <c r="H140" s="130" t="str">
        <f>General!$B$2</f>
        <v>PJ</v>
      </c>
      <c r="I140" s="130" t="str">
        <f>General!$B$2</f>
        <v>PJ</v>
      </c>
      <c r="J140" s="130"/>
      <c r="Q140" s="44"/>
      <c r="R140" s="44"/>
      <c r="S140" s="44"/>
      <c r="T140" s="44"/>
    </row>
    <row r="141" spans="1:26">
      <c r="B141" s="51" t="str">
        <f t="shared" ref="B141:C142" si="20">N23</f>
        <v>RSD_DTA1_DW_E01</v>
      </c>
      <c r="C141" s="51" t="str">
        <f t="shared" si="20"/>
        <v>Detached A1 Dish Washing (E)|</v>
      </c>
      <c r="D141" s="51" t="str">
        <f>Commodities!$D$48</f>
        <v>RSDELC</v>
      </c>
      <c r="E141" s="135" t="str">
        <f>Commodities!$AA$71</f>
        <v>RSD_DTA1_DW</v>
      </c>
      <c r="F141" s="136">
        <f>VLOOKUP(LEFT($B141,8),RSD_Stock!$H$21:$L$28,F$2,FALSE)*VLOOKUP(B141,RSD_Demands!$H$206:$J$213,F$2,FALSE)</f>
        <v>6.3334259999999993</v>
      </c>
      <c r="H141" s="145">
        <f>F141*F154</f>
        <v>4.9117444199999992E-3</v>
      </c>
      <c r="I141" s="136">
        <f>VLOOKUP(LEFT($B141,11),RSD_En_Balance!$C$109:$R$190,MATCH($D141,RSD_En_Balance!$D$109:$R$109,0)+1,FALSE)</f>
        <v>4.9117444199999992E-3</v>
      </c>
      <c r="J141" s="136">
        <f>SUM(H141:H141)-SUM(I141:I141)</f>
        <v>0</v>
      </c>
      <c r="Q141" s="44"/>
      <c r="R141" s="44"/>
      <c r="S141" s="44"/>
      <c r="T141" s="44"/>
      <c r="V141" s="44"/>
      <c r="W141" s="44"/>
      <c r="X141" s="44"/>
      <c r="Y141" s="44"/>
      <c r="Z141" s="44"/>
    </row>
    <row r="142" spans="1:26">
      <c r="B142" s="51" t="str">
        <f t="shared" si="20"/>
        <v>RSD_APA1_DW_E01</v>
      </c>
      <c r="C142" s="51" t="str">
        <f t="shared" si="20"/>
        <v>Apartment A1 Dish Washing (E)|</v>
      </c>
      <c r="D142" s="51" t="str">
        <f>Commodities!$D$48</f>
        <v>RSDELC</v>
      </c>
      <c r="E142" s="138" t="str">
        <f>Commodities!$AA$72</f>
        <v>RSD_APA1_DW</v>
      </c>
      <c r="F142" s="136">
        <f>VLOOKUP(LEFT($B142,8),RSD_Stock!$H$22:$L$28,F$2,FALSE)*VLOOKUP(B142,RSD_Demands!$H$206:$J$213,F$2,FALSE)</f>
        <v>6.4613740000000011</v>
      </c>
      <c r="H142" s="145">
        <f t="shared" ref="H142" si="21">F142*F155</f>
        <v>5.0109715800000006E-3</v>
      </c>
      <c r="I142" s="136">
        <f>VLOOKUP(LEFT($B142,11),RSD_En_Balance!$C$109:$R$190,MATCH($D142,RSD_En_Balance!$D$109:$R$109,0)+1,FALSE)</f>
        <v>5.0109715800000006E-3</v>
      </c>
      <c r="J142" s="136">
        <f t="shared" ref="J142" si="22">SUM(H142:H142)-SUM(I142:I142)</f>
        <v>0</v>
      </c>
      <c r="Q142" s="44"/>
      <c r="R142" s="44"/>
      <c r="S142" s="44"/>
      <c r="T142" s="44"/>
      <c r="V142" s="44"/>
      <c r="W142" s="44"/>
      <c r="X142" s="44"/>
      <c r="Y142" s="44"/>
      <c r="Z142" s="44"/>
    </row>
    <row r="143" spans="1:26">
      <c r="E143" s="138"/>
      <c r="F143" s="136"/>
      <c r="H143" s="145"/>
      <c r="I143" s="136"/>
      <c r="J143" s="136"/>
      <c r="Q143" s="44"/>
      <c r="R143" s="44"/>
      <c r="S143" s="44"/>
      <c r="T143" s="44"/>
      <c r="V143" s="44"/>
      <c r="W143" s="44"/>
      <c r="X143" s="44"/>
      <c r="Y143" s="44"/>
      <c r="Z143" s="44"/>
    </row>
    <row r="144" spans="1:26">
      <c r="E144" s="138"/>
      <c r="F144" s="136"/>
      <c r="H144" s="145"/>
      <c r="I144" s="136"/>
      <c r="J144" s="136"/>
      <c r="Q144" s="44"/>
      <c r="R144" s="44"/>
      <c r="S144" s="44"/>
      <c r="T144" s="44"/>
      <c r="V144" s="44"/>
      <c r="W144" s="44"/>
      <c r="X144" s="44"/>
      <c r="Y144" s="44"/>
      <c r="Z144" s="44"/>
    </row>
    <row r="145" spans="1:26">
      <c r="E145" s="138"/>
      <c r="F145" s="136"/>
      <c r="H145" s="145"/>
      <c r="I145" s="136"/>
      <c r="J145" s="136"/>
      <c r="K145" s="140"/>
      <c r="Q145" s="44"/>
      <c r="R145" s="44"/>
      <c r="S145" s="44"/>
      <c r="T145" s="44"/>
      <c r="V145" s="44"/>
      <c r="W145" s="44"/>
      <c r="X145" s="44"/>
      <c r="Y145" s="44"/>
      <c r="Z145" s="44"/>
    </row>
    <row r="146" spans="1:26">
      <c r="E146" s="138"/>
      <c r="F146" s="136"/>
      <c r="G146" s="41"/>
      <c r="H146" s="145"/>
      <c r="I146" s="136"/>
      <c r="J146" s="136"/>
      <c r="Q146" s="44"/>
      <c r="R146" s="44"/>
      <c r="S146" s="44"/>
      <c r="T146" s="44"/>
      <c r="V146" s="44"/>
      <c r="W146" s="44"/>
      <c r="X146" s="44"/>
      <c r="Y146" s="44"/>
      <c r="Z146" s="44"/>
    </row>
    <row r="147" spans="1:26">
      <c r="E147" s="138"/>
      <c r="F147" s="136"/>
      <c r="G147" s="41"/>
      <c r="H147" s="145"/>
      <c r="I147" s="136"/>
      <c r="J147" s="136"/>
      <c r="Q147" s="44"/>
      <c r="R147" s="44"/>
      <c r="S147" s="44"/>
      <c r="T147" s="44"/>
      <c r="V147" s="44"/>
      <c r="W147" s="44"/>
      <c r="X147" s="44"/>
      <c r="Y147" s="44"/>
      <c r="Z147" s="44"/>
    </row>
    <row r="148" spans="1:26">
      <c r="E148" s="138"/>
      <c r="F148" s="136"/>
      <c r="G148" s="41"/>
      <c r="H148" s="145"/>
      <c r="I148" s="136"/>
      <c r="J148" s="136"/>
      <c r="Q148" s="44"/>
      <c r="R148" s="44"/>
      <c r="S148" s="44"/>
      <c r="T148" s="44"/>
      <c r="V148" s="44"/>
      <c r="W148" s="44"/>
      <c r="X148" s="44"/>
      <c r="Y148" s="44"/>
      <c r="Z148" s="44"/>
    </row>
    <row r="149" spans="1:26">
      <c r="A149" s="41"/>
      <c r="B149" s="41"/>
      <c r="C149" s="41"/>
      <c r="D149" s="41"/>
      <c r="E149" s="41"/>
      <c r="F149" s="139"/>
      <c r="G149" s="41"/>
      <c r="H149" s="140"/>
      <c r="I149" s="140"/>
      <c r="J149" s="140"/>
      <c r="L149" s="140"/>
      <c r="M149" s="140"/>
      <c r="N149" s="140"/>
      <c r="O149" s="140"/>
      <c r="P149" s="141"/>
      <c r="V149" s="44"/>
      <c r="W149" s="44"/>
      <c r="X149" s="44"/>
      <c r="Y149" s="44"/>
      <c r="Z149" s="44"/>
    </row>
    <row r="150" spans="1:26" ht="13.8">
      <c r="E150" s="86" t="s">
        <v>320</v>
      </c>
      <c r="V150" s="44"/>
      <c r="W150" s="44"/>
      <c r="X150" s="44"/>
      <c r="Y150" s="44"/>
      <c r="Z150" s="44"/>
    </row>
    <row r="151" spans="1:26" ht="13.8">
      <c r="B151" s="88" t="s">
        <v>1</v>
      </c>
      <c r="C151" s="88" t="s">
        <v>42</v>
      </c>
      <c r="D151" s="88" t="s">
        <v>7</v>
      </c>
      <c r="E151" s="88" t="s">
        <v>0</v>
      </c>
      <c r="F151" s="121" t="s">
        <v>999</v>
      </c>
      <c r="V151" s="44"/>
      <c r="W151" s="44"/>
      <c r="X151" s="44"/>
      <c r="Y151" s="44"/>
      <c r="Z151" s="44"/>
    </row>
    <row r="152" spans="1:26" ht="14.4" thickBot="1">
      <c r="B152" s="92" t="s">
        <v>356</v>
      </c>
      <c r="C152" s="92" t="s">
        <v>26</v>
      </c>
      <c r="D152" s="124" t="s">
        <v>36</v>
      </c>
      <c r="E152" s="123" t="s">
        <v>37</v>
      </c>
      <c r="F152" s="92"/>
      <c r="V152" s="44"/>
      <c r="W152" s="44"/>
      <c r="X152" s="44"/>
      <c r="Y152" s="44"/>
      <c r="Z152" s="44"/>
    </row>
    <row r="153" spans="1:26" ht="14.4" thickBot="1">
      <c r="B153" s="92" t="s">
        <v>269</v>
      </c>
      <c r="C153" s="92"/>
      <c r="D153" s="92"/>
      <c r="E153" s="123"/>
      <c r="F153" s="132" t="str">
        <f>General!$D$19</f>
        <v>TJ/unit</v>
      </c>
      <c r="H153" s="52" t="s">
        <v>943</v>
      </c>
      <c r="I153" s="51">
        <v>8.0000000000000004E-4</v>
      </c>
      <c r="J153" s="51">
        <v>8.9999999999999998E-4</v>
      </c>
      <c r="V153" s="44"/>
      <c r="W153" s="44"/>
      <c r="X153" s="44"/>
      <c r="Y153" s="44"/>
      <c r="Z153" s="44"/>
    </row>
    <row r="154" spans="1:26">
      <c r="B154" s="51" t="str">
        <f t="shared" ref="B154:C155" si="23">N23</f>
        <v>RSD_DTA1_DW_E01</v>
      </c>
      <c r="C154" s="51" t="str">
        <f t="shared" si="23"/>
        <v>Detached A1 Dish Washing (E)|</v>
      </c>
      <c r="D154" s="51" t="str">
        <f>Commodities!$D$48</f>
        <v>RSDELC</v>
      </c>
      <c r="E154" s="135"/>
      <c r="F154" s="142">
        <f>I141/F141</f>
        <v>7.7552724544346138E-4</v>
      </c>
      <c r="H154" s="52"/>
      <c r="V154" s="44"/>
      <c r="W154" s="44"/>
      <c r="X154" s="44"/>
      <c r="Y154" s="44"/>
      <c r="Z154" s="44"/>
    </row>
    <row r="155" spans="1:26">
      <c r="B155" s="51" t="str">
        <f t="shared" si="23"/>
        <v>RSD_APA1_DW_E01</v>
      </c>
      <c r="C155" s="51" t="str">
        <f t="shared" si="23"/>
        <v>Apartment A1 Dish Washing (E)|</v>
      </c>
      <c r="D155" s="51" t="str">
        <f>Commodities!$D$48</f>
        <v>RSDELC</v>
      </c>
      <c r="E155" s="138"/>
      <c r="F155" s="142">
        <f t="shared" ref="F155" si="24">I142/F142</f>
        <v>7.7552724544346138E-4</v>
      </c>
      <c r="H155" s="52"/>
      <c r="V155" s="44"/>
      <c r="W155" s="44"/>
      <c r="X155" s="44"/>
      <c r="Y155" s="44"/>
      <c r="Z155" s="44"/>
    </row>
    <row r="156" spans="1:26">
      <c r="E156" s="138"/>
      <c r="F156" s="142"/>
      <c r="V156" s="44"/>
      <c r="W156" s="44"/>
      <c r="X156" s="44"/>
      <c r="Y156" s="44"/>
      <c r="Z156" s="44"/>
    </row>
    <row r="157" spans="1:26">
      <c r="E157" s="138"/>
      <c r="F157" s="142"/>
      <c r="V157" s="44"/>
      <c r="W157" s="44"/>
      <c r="X157" s="44"/>
      <c r="Y157" s="44"/>
      <c r="Z157" s="44"/>
    </row>
    <row r="158" spans="1:26">
      <c r="E158" s="138"/>
      <c r="F158" s="142"/>
    </row>
    <row r="159" spans="1:26">
      <c r="E159" s="138"/>
      <c r="F159" s="142"/>
    </row>
    <row r="160" spans="1:26">
      <c r="E160" s="138"/>
      <c r="F160" s="142"/>
    </row>
    <row r="161" spans="2:9">
      <c r="E161" s="138"/>
      <c r="F161" s="142"/>
    </row>
    <row r="163" spans="2:9" ht="13.8">
      <c r="E163" s="86" t="s">
        <v>352</v>
      </c>
    </row>
    <row r="164" spans="2:9" ht="13.8">
      <c r="B164" s="88" t="s">
        <v>1</v>
      </c>
      <c r="C164" s="88" t="s">
        <v>42</v>
      </c>
      <c r="D164" s="88" t="s">
        <v>7</v>
      </c>
      <c r="E164" s="88" t="s">
        <v>0</v>
      </c>
      <c r="F164" s="121" t="s">
        <v>999</v>
      </c>
    </row>
    <row r="165" spans="2:9" ht="14.4" thickBot="1">
      <c r="B165" s="92" t="s">
        <v>356</v>
      </c>
      <c r="C165" s="92" t="s">
        <v>26</v>
      </c>
      <c r="D165" s="124" t="s">
        <v>36</v>
      </c>
      <c r="E165" s="123"/>
      <c r="F165" s="92"/>
    </row>
    <row r="166" spans="2:9" ht="14.4" thickBot="1">
      <c r="B166" s="92" t="s">
        <v>269</v>
      </c>
      <c r="C166" s="92"/>
      <c r="D166" s="92"/>
      <c r="E166" s="123"/>
      <c r="F166" s="124"/>
    </row>
    <row r="167" spans="2:9">
      <c r="B167" s="51" t="str">
        <f t="shared" ref="B167:C168" si="25">N23</f>
        <v>RSD_DTA1_DW_E01</v>
      </c>
      <c r="C167" s="51" t="str">
        <f t="shared" si="25"/>
        <v>Detached A1 Dish Washing (E)|</v>
      </c>
      <c r="E167" s="135" t="str">
        <f>Commodities!$AA$71</f>
        <v>RSD_DTA1_DW</v>
      </c>
      <c r="F167" s="136">
        <v>1.8340000000000001</v>
      </c>
      <c r="H167" s="51" t="s">
        <v>942</v>
      </c>
    </row>
    <row r="168" spans="2:9">
      <c r="B168" s="51" t="str">
        <f t="shared" si="25"/>
        <v>RSD_APA1_DW_E01</v>
      </c>
      <c r="C168" s="51" t="str">
        <f t="shared" si="25"/>
        <v>Apartment A1 Dish Washing (E)|</v>
      </c>
      <c r="E168" s="138" t="str">
        <f>Commodities!$AA$72</f>
        <v>RSD_APA1_DW</v>
      </c>
      <c r="F168" s="136">
        <v>1.8340000000000001</v>
      </c>
      <c r="H168" s="51" t="s">
        <v>942</v>
      </c>
    </row>
    <row r="169" spans="2:9">
      <c r="E169" s="138"/>
      <c r="F169" s="136"/>
    </row>
    <row r="170" spans="2:9">
      <c r="E170" s="138"/>
      <c r="F170" s="136"/>
    </row>
    <row r="171" spans="2:9">
      <c r="E171" s="138"/>
      <c r="F171" s="136"/>
    </row>
    <row r="172" spans="2:9">
      <c r="E172" s="138"/>
      <c r="F172" s="136"/>
    </row>
    <row r="173" spans="2:9">
      <c r="E173" s="138"/>
      <c r="F173" s="136"/>
    </row>
    <row r="174" spans="2:9">
      <c r="E174" s="138"/>
      <c r="F174" s="136"/>
    </row>
    <row r="176" spans="2:9" ht="13.8">
      <c r="E176" s="86" t="s">
        <v>353</v>
      </c>
      <c r="H176" s="86" t="s">
        <v>697</v>
      </c>
      <c r="I176" s="86"/>
    </row>
    <row r="177" spans="2:9" ht="13.8">
      <c r="B177" s="88" t="s">
        <v>1</v>
      </c>
      <c r="C177" s="88" t="s">
        <v>42</v>
      </c>
      <c r="D177" s="88" t="s">
        <v>7</v>
      </c>
      <c r="E177" s="88" t="s">
        <v>0</v>
      </c>
      <c r="F177" s="121" t="s">
        <v>999</v>
      </c>
      <c r="H177" s="88" t="s">
        <v>1</v>
      </c>
      <c r="I177" s="121" t="s">
        <v>999</v>
      </c>
    </row>
    <row r="178" spans="2:9" ht="14.4" thickBot="1">
      <c r="B178" s="92" t="s">
        <v>356</v>
      </c>
      <c r="C178" s="92" t="s">
        <v>26</v>
      </c>
      <c r="D178" s="124" t="s">
        <v>36</v>
      </c>
      <c r="E178" s="123"/>
      <c r="F178" s="92"/>
      <c r="H178" s="92" t="s">
        <v>356</v>
      </c>
      <c r="I178" s="92"/>
    </row>
    <row r="179" spans="2:9" ht="14.4" thickBot="1">
      <c r="B179" s="92" t="s">
        <v>269</v>
      </c>
      <c r="C179" s="92"/>
      <c r="D179" s="92"/>
      <c r="E179" s="123"/>
      <c r="F179" s="124"/>
      <c r="H179" s="133" t="s">
        <v>269</v>
      </c>
      <c r="I179" s="133"/>
    </row>
    <row r="180" spans="2:9">
      <c r="B180" s="51" t="str">
        <f t="shared" ref="B180:C181" si="26">N23</f>
        <v>RSD_DTA1_DW_E01</v>
      </c>
      <c r="C180" s="51" t="str">
        <f t="shared" si="26"/>
        <v>Detached A1 Dish Washing (E)|</v>
      </c>
      <c r="E180" s="135" t="str">
        <f>Commodities!$AA$71</f>
        <v>RSD_DTA1_DW</v>
      </c>
      <c r="F180" s="136">
        <v>1</v>
      </c>
      <c r="H180" s="138" t="str">
        <f t="shared" ref="H180:H181" si="27">B180</f>
        <v>RSD_DTA1_DW_E01</v>
      </c>
      <c r="I180" s="139">
        <f t="shared" ref="I180:I181" si="28">IF(F180*Stk_Mult&gt;1,1,F180*Stk_Mult)</f>
        <v>1</v>
      </c>
    </row>
    <row r="181" spans="2:9">
      <c r="B181" s="51" t="str">
        <f t="shared" si="26"/>
        <v>RSD_APA1_DW_E01</v>
      </c>
      <c r="C181" s="51" t="str">
        <f t="shared" si="26"/>
        <v>Apartment A1 Dish Washing (E)|</v>
      </c>
      <c r="E181" s="138" t="str">
        <f>Commodities!$AA$72</f>
        <v>RSD_APA1_DW</v>
      </c>
      <c r="F181" s="136">
        <v>1</v>
      </c>
      <c r="H181" s="138" t="str">
        <f t="shared" si="27"/>
        <v>RSD_APA1_DW_E01</v>
      </c>
      <c r="I181" s="139">
        <f t="shared" si="28"/>
        <v>1</v>
      </c>
    </row>
    <row r="182" spans="2:9">
      <c r="E182" s="138"/>
      <c r="F182" s="136"/>
      <c r="H182" s="138"/>
      <c r="I182" s="139"/>
    </row>
    <row r="183" spans="2:9">
      <c r="E183" s="138"/>
      <c r="F183" s="136"/>
      <c r="H183" s="138"/>
      <c r="I183" s="139"/>
    </row>
    <row r="184" spans="2:9">
      <c r="E184" s="138"/>
      <c r="F184" s="136"/>
      <c r="H184" s="138"/>
      <c r="I184" s="139"/>
    </row>
    <row r="185" spans="2:9">
      <c r="E185" s="138"/>
      <c r="F185" s="136"/>
      <c r="H185" s="138"/>
      <c r="I185" s="139"/>
    </row>
    <row r="186" spans="2:9">
      <c r="E186" s="138"/>
      <c r="F186" s="136"/>
      <c r="H186" s="138"/>
      <c r="I186" s="139"/>
    </row>
    <row r="187" spans="2:9">
      <c r="E187" s="138"/>
      <c r="F187" s="136"/>
      <c r="H187" s="138"/>
      <c r="I187" s="139"/>
    </row>
    <row r="189" spans="2:9" ht="13.8">
      <c r="E189" s="86" t="s">
        <v>354</v>
      </c>
    </row>
    <row r="190" spans="2:9" ht="13.8">
      <c r="B190" s="88" t="s">
        <v>1</v>
      </c>
      <c r="C190" s="88" t="s">
        <v>42</v>
      </c>
      <c r="D190" s="88" t="s">
        <v>7</v>
      </c>
      <c r="E190" s="88" t="s">
        <v>0</v>
      </c>
      <c r="F190" s="121" t="s">
        <v>999</v>
      </c>
    </row>
    <row r="191" spans="2:9" ht="14.4" thickBot="1">
      <c r="B191" s="92" t="s">
        <v>356</v>
      </c>
      <c r="C191" s="92" t="s">
        <v>26</v>
      </c>
      <c r="D191" s="124" t="s">
        <v>36</v>
      </c>
      <c r="E191" s="123"/>
      <c r="F191" s="92"/>
    </row>
    <row r="192" spans="2:9" ht="12.75" customHeight="1" thickBot="1">
      <c r="B192" s="92" t="s">
        <v>269</v>
      </c>
      <c r="C192" s="92"/>
      <c r="D192" s="92"/>
      <c r="E192" s="123"/>
      <c r="F192" s="124"/>
    </row>
    <row r="193" spans="1:27" ht="12.75" customHeight="1">
      <c r="B193" s="51" t="str">
        <f t="shared" ref="B193:C194" si="29">N23</f>
        <v>RSD_DTA1_DW_E01</v>
      </c>
      <c r="C193" s="51" t="str">
        <f t="shared" si="29"/>
        <v>Detached A1 Dish Washing (E)|</v>
      </c>
      <c r="E193" s="135" t="str">
        <f>Commodities!$AA$71</f>
        <v>RSD_DTA1_DW</v>
      </c>
      <c r="F193" s="144">
        <v>15</v>
      </c>
    </row>
    <row r="194" spans="1:27" ht="12.75" customHeight="1">
      <c r="B194" s="51" t="str">
        <f t="shared" si="29"/>
        <v>RSD_APA1_DW_E01</v>
      </c>
      <c r="C194" s="51" t="str">
        <f t="shared" si="29"/>
        <v>Apartment A1 Dish Washing (E)|</v>
      </c>
      <c r="E194" s="138" t="str">
        <f>Commodities!$AA$72</f>
        <v>RSD_APA1_DW</v>
      </c>
      <c r="F194" s="144">
        <v>15</v>
      </c>
      <c r="U194" s="11"/>
      <c r="V194" s="85"/>
      <c r="W194" s="85"/>
      <c r="X194" s="85"/>
      <c r="Y194" s="85"/>
      <c r="Z194" s="5"/>
      <c r="AA194" s="5"/>
    </row>
    <row r="195" spans="1:27" ht="12.75" customHeight="1">
      <c r="E195" s="138"/>
      <c r="F195" s="144"/>
      <c r="V195" s="44"/>
      <c r="W195" s="44"/>
      <c r="X195" s="44"/>
      <c r="Y195" s="44"/>
      <c r="Z195" s="44"/>
    </row>
    <row r="196" spans="1:27" ht="12.75" customHeight="1">
      <c r="E196" s="138"/>
      <c r="F196" s="144"/>
    </row>
    <row r="197" spans="1:27" ht="12.75" customHeight="1">
      <c r="E197" s="138"/>
      <c r="F197" s="144"/>
    </row>
    <row r="198" spans="1:27" ht="12.75" customHeight="1">
      <c r="E198" s="138"/>
      <c r="F198" s="144"/>
    </row>
    <row r="199" spans="1:27" ht="12.75" customHeight="1">
      <c r="E199" s="138"/>
      <c r="F199" s="144"/>
    </row>
    <row r="200" spans="1:27" ht="12.75" customHeight="1">
      <c r="E200" s="138"/>
      <c r="F200" s="144"/>
    </row>
    <row r="201" spans="1:27" ht="12.75" customHeight="1"/>
    <row r="202" spans="1:27" ht="17.399999999999999">
      <c r="A202" s="36" t="s">
        <v>389</v>
      </c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S202" s="5"/>
      <c r="T202" s="5"/>
    </row>
    <row r="203" spans="1:27" ht="13.8">
      <c r="E203" s="86" t="s">
        <v>350</v>
      </c>
      <c r="H203" s="118" t="s">
        <v>980</v>
      </c>
      <c r="I203" s="119"/>
      <c r="J203" s="119"/>
      <c r="K203" s="119"/>
      <c r="L203" s="119"/>
      <c r="M203" s="119"/>
      <c r="N203" s="119"/>
      <c r="O203" s="119"/>
      <c r="P203" s="119"/>
    </row>
    <row r="204" spans="1:27" ht="13.8">
      <c r="B204" s="88" t="s">
        <v>1</v>
      </c>
      <c r="C204" s="89" t="s">
        <v>42</v>
      </c>
      <c r="D204" s="88" t="s">
        <v>7</v>
      </c>
      <c r="E204" s="89" t="s">
        <v>8</v>
      </c>
      <c r="F204" s="121" t="s">
        <v>999</v>
      </c>
      <c r="H204" s="89" t="s">
        <v>361</v>
      </c>
      <c r="I204" s="31" t="s">
        <v>362</v>
      </c>
      <c r="J204" s="122" t="s">
        <v>358</v>
      </c>
      <c r="Q204" s="44"/>
      <c r="R204" s="44"/>
      <c r="S204" s="44"/>
      <c r="T204" s="44"/>
    </row>
    <row r="205" spans="1:27" ht="14.4" thickBot="1">
      <c r="B205" s="92" t="s">
        <v>356</v>
      </c>
      <c r="C205" s="123" t="s">
        <v>26</v>
      </c>
      <c r="D205" s="124" t="s">
        <v>36</v>
      </c>
      <c r="E205" s="123" t="s">
        <v>37</v>
      </c>
      <c r="F205" s="92"/>
      <c r="H205" s="121" t="s">
        <v>999</v>
      </c>
      <c r="I205" s="121" t="s">
        <v>999</v>
      </c>
      <c r="J205" s="125"/>
      <c r="Q205" s="44"/>
      <c r="R205" s="44"/>
      <c r="S205" s="44"/>
      <c r="T205" s="44"/>
    </row>
    <row r="206" spans="1:27" ht="14.4" thickBot="1">
      <c r="A206" s="134"/>
      <c r="B206" s="127" t="s">
        <v>269</v>
      </c>
      <c r="C206" s="128"/>
      <c r="D206" s="127"/>
      <c r="E206" s="129"/>
      <c r="F206" s="130" t="str">
        <f>General!$D$18</f>
        <v>000s_Units</v>
      </c>
      <c r="G206" s="134"/>
      <c r="H206" s="130" t="str">
        <f>General!$B$2</f>
        <v>PJ</v>
      </c>
      <c r="I206" s="130" t="str">
        <f>General!$B$2</f>
        <v>PJ</v>
      </c>
      <c r="J206" s="130"/>
      <c r="Q206" s="44"/>
      <c r="R206" s="44"/>
      <c r="S206" s="44"/>
      <c r="T206" s="44"/>
    </row>
    <row r="207" spans="1:27">
      <c r="B207" s="51" t="str">
        <f>N31</f>
        <v>RSD_DTA1_AP_E01</v>
      </c>
      <c r="C207" s="51" t="str">
        <f>O31</f>
        <v>Detached A1 Other Appliances (E)|</v>
      </c>
      <c r="D207" s="51" t="str">
        <f>Commodities!$D$48</f>
        <v>RSDELC</v>
      </c>
      <c r="E207" s="135" t="str">
        <f>Commodities!$AA$79</f>
        <v>RSD_DTA1_AP</v>
      </c>
      <c r="F207" s="136">
        <f>VLOOKUP(LEFT($B207,8),RSD_Stock!$H$21:$L$28,F$2,FALSE)*VLOOKUP(B207,RSD_Demands!$H$216:$J$223,F$2,FALSE)</f>
        <v>633.34259999999995</v>
      </c>
      <c r="H207" s="145">
        <f>F207*F220</f>
        <v>1.52755251462</v>
      </c>
      <c r="I207" s="136">
        <f>VLOOKUP(LEFT($B207,11),RSD_En_Balance!$C$109:$R$190,MATCH($D207,RSD_En_Balance!$D$109:$R$109,0)+1,FALSE)</f>
        <v>1.52755251462</v>
      </c>
      <c r="J207" s="136">
        <f>SUM(H207:H207)-SUM(I207:I207)</f>
        <v>0</v>
      </c>
      <c r="Q207" s="44"/>
      <c r="R207" s="44"/>
      <c r="S207" s="44"/>
      <c r="T207" s="44"/>
      <c r="V207" s="44"/>
      <c r="W207" s="44"/>
      <c r="X207" s="44"/>
      <c r="Y207" s="44"/>
      <c r="Z207" s="44"/>
    </row>
    <row r="208" spans="1:27">
      <c r="B208" s="51" t="str">
        <f t="shared" ref="B208:C208" si="30">N32</f>
        <v>RSD_APA1_AP_E01</v>
      </c>
      <c r="C208" s="51" t="str">
        <f t="shared" si="30"/>
        <v>Apartment A1 Other Appliances (E)|</v>
      </c>
      <c r="D208" s="51" t="str">
        <f>Commodities!$D$48</f>
        <v>RSDELC</v>
      </c>
      <c r="E208" s="138" t="str">
        <f>Commodities!$AA$80</f>
        <v>RSD_APA1_AP</v>
      </c>
      <c r="F208" s="136">
        <f>VLOOKUP(LEFT($B208,8),RSD_Stock!$H$22:$L$28,F$2,FALSE)*VLOOKUP(B208,RSD_Demands!$H$216:$J$223,F$2,FALSE)</f>
        <v>646.13740000000007</v>
      </c>
      <c r="H208" s="145">
        <f t="shared" ref="H208" si="31">F208*F221</f>
        <v>1.6586315929799997</v>
      </c>
      <c r="I208" s="136">
        <f>VLOOKUP(LEFT($B208,11),RSD_En_Balance!$C$109:$R$190,MATCH($D208,RSD_En_Balance!$D$109:$R$109,0)+1,FALSE)</f>
        <v>1.65863159298</v>
      </c>
      <c r="J208" s="136">
        <f t="shared" ref="J208" si="32">SUM(H208:H208)-SUM(I208:I208)</f>
        <v>0</v>
      </c>
      <c r="Q208" s="44"/>
      <c r="R208" s="44"/>
      <c r="S208" s="44"/>
      <c r="T208" s="44"/>
      <c r="V208" s="44"/>
      <c r="W208" s="44"/>
      <c r="X208" s="44"/>
      <c r="Y208" s="44"/>
      <c r="Z208" s="44"/>
    </row>
    <row r="209" spans="1:26">
      <c r="E209" s="138"/>
      <c r="F209" s="136"/>
      <c r="H209" s="145"/>
      <c r="I209" s="136"/>
      <c r="J209" s="136"/>
      <c r="Q209" s="44"/>
      <c r="R209" s="44"/>
      <c r="S209" s="44"/>
      <c r="T209" s="44"/>
      <c r="V209" s="44"/>
      <c r="W209" s="44"/>
      <c r="X209" s="44"/>
      <c r="Y209" s="44"/>
      <c r="Z209" s="44"/>
    </row>
    <row r="210" spans="1:26">
      <c r="E210" s="138"/>
      <c r="F210" s="136"/>
      <c r="H210" s="145"/>
      <c r="I210" s="136"/>
      <c r="J210" s="136"/>
      <c r="Q210" s="44"/>
      <c r="R210" s="44"/>
      <c r="S210" s="44"/>
      <c r="T210" s="44"/>
      <c r="V210" s="44"/>
      <c r="W210" s="44"/>
      <c r="X210" s="44"/>
      <c r="Y210" s="44"/>
      <c r="Z210" s="44"/>
    </row>
    <row r="211" spans="1:26">
      <c r="E211" s="138"/>
      <c r="F211" s="136"/>
      <c r="H211" s="145"/>
      <c r="I211" s="136"/>
      <c r="J211" s="136"/>
      <c r="K211" s="140"/>
      <c r="Q211" s="44"/>
      <c r="R211" s="44"/>
      <c r="S211" s="44"/>
      <c r="T211" s="44"/>
      <c r="V211" s="44"/>
      <c r="W211" s="44"/>
      <c r="X211" s="44"/>
      <c r="Y211" s="44"/>
      <c r="Z211" s="44"/>
    </row>
    <row r="212" spans="1:26">
      <c r="E212" s="138"/>
      <c r="F212" s="136"/>
      <c r="G212" s="41"/>
      <c r="H212" s="145"/>
      <c r="I212" s="136"/>
      <c r="J212" s="136"/>
      <c r="Q212" s="44"/>
      <c r="R212" s="44"/>
      <c r="S212" s="44"/>
      <c r="T212" s="44"/>
      <c r="V212" s="44"/>
      <c r="W212" s="44"/>
      <c r="X212" s="44"/>
      <c r="Y212" s="44"/>
      <c r="Z212" s="44"/>
    </row>
    <row r="213" spans="1:26">
      <c r="E213" s="138"/>
      <c r="F213" s="136"/>
      <c r="G213" s="41"/>
      <c r="H213" s="145"/>
      <c r="I213" s="136"/>
      <c r="J213" s="136"/>
      <c r="Q213" s="44"/>
      <c r="R213" s="44"/>
      <c r="S213" s="44"/>
      <c r="T213" s="44"/>
      <c r="V213" s="44"/>
      <c r="W213" s="44"/>
      <c r="X213" s="44"/>
      <c r="Y213" s="44"/>
      <c r="Z213" s="44"/>
    </row>
    <row r="214" spans="1:26">
      <c r="E214" s="138"/>
      <c r="F214" s="136"/>
      <c r="G214" s="41"/>
      <c r="H214" s="145"/>
      <c r="I214" s="136"/>
      <c r="J214" s="136"/>
      <c r="Q214" s="44"/>
      <c r="R214" s="44"/>
      <c r="S214" s="44"/>
      <c r="T214" s="44"/>
      <c r="V214" s="44"/>
      <c r="W214" s="44"/>
      <c r="X214" s="44"/>
      <c r="Y214" s="44"/>
      <c r="Z214" s="44"/>
    </row>
    <row r="215" spans="1:26">
      <c r="A215" s="41"/>
      <c r="B215" s="41"/>
      <c r="C215" s="41"/>
      <c r="D215" s="41"/>
      <c r="E215" s="41"/>
      <c r="F215" s="139"/>
      <c r="G215" s="41"/>
      <c r="H215" s="140"/>
      <c r="I215" s="140"/>
      <c r="J215" s="140"/>
      <c r="L215" s="140"/>
      <c r="M215" s="140"/>
      <c r="N215" s="140"/>
      <c r="O215" s="140"/>
      <c r="P215" s="141"/>
      <c r="V215" s="44"/>
      <c r="W215" s="44"/>
      <c r="X215" s="44"/>
      <c r="Y215" s="44"/>
      <c r="Z215" s="44"/>
    </row>
    <row r="216" spans="1:26" ht="13.8">
      <c r="E216" s="86" t="s">
        <v>320</v>
      </c>
      <c r="V216" s="44"/>
      <c r="W216" s="44"/>
      <c r="X216" s="44"/>
      <c r="Y216" s="44"/>
      <c r="Z216" s="44"/>
    </row>
    <row r="217" spans="1:26" ht="13.8">
      <c r="B217" s="88" t="s">
        <v>1</v>
      </c>
      <c r="C217" s="88" t="s">
        <v>42</v>
      </c>
      <c r="D217" s="88" t="s">
        <v>7</v>
      </c>
      <c r="E217" s="88" t="s">
        <v>0</v>
      </c>
      <c r="F217" s="121" t="s">
        <v>999</v>
      </c>
      <c r="V217" s="44"/>
      <c r="W217" s="44"/>
      <c r="X217" s="44"/>
      <c r="Y217" s="44"/>
      <c r="Z217" s="44"/>
    </row>
    <row r="218" spans="1:26" ht="14.4" thickBot="1">
      <c r="B218" s="92" t="s">
        <v>356</v>
      </c>
      <c r="C218" s="92" t="s">
        <v>26</v>
      </c>
      <c r="D218" s="124" t="s">
        <v>36</v>
      </c>
      <c r="E218" s="123" t="s">
        <v>37</v>
      </c>
      <c r="F218" s="92"/>
      <c r="V218" s="44"/>
      <c r="W218" s="44"/>
      <c r="X218" s="44"/>
      <c r="Y218" s="44"/>
      <c r="Z218" s="44"/>
    </row>
    <row r="219" spans="1:26" ht="14.4" thickBot="1">
      <c r="B219" s="92" t="s">
        <v>269</v>
      </c>
      <c r="C219" s="92"/>
      <c r="D219" s="92"/>
      <c r="E219" s="123"/>
      <c r="F219" s="132" t="str">
        <f>General!$D$19</f>
        <v>TJ/unit</v>
      </c>
      <c r="H219" s="52"/>
      <c r="V219" s="44"/>
      <c r="W219" s="44"/>
      <c r="X219" s="44"/>
      <c r="Y219" s="44"/>
      <c r="Z219" s="44"/>
    </row>
    <row r="220" spans="1:26">
      <c r="B220" s="51" t="str">
        <f>N31</f>
        <v>RSD_DTA1_AP_E01</v>
      </c>
      <c r="C220" s="51" t="str">
        <f>O31</f>
        <v>Detached A1 Other Appliances (E)|</v>
      </c>
      <c r="D220" s="51" t="str">
        <f>Commodities!$D$48</f>
        <v>RSDELC</v>
      </c>
      <c r="E220" s="135"/>
      <c r="F220" s="142">
        <f t="shared" ref="F220:F221" si="33">I207/F207</f>
        <v>2.4118897333291651E-3</v>
      </c>
      <c r="H220" s="52"/>
      <c r="V220" s="44"/>
      <c r="W220" s="44"/>
      <c r="X220" s="44"/>
      <c r="Y220" s="44"/>
      <c r="Z220" s="44"/>
    </row>
    <row r="221" spans="1:26">
      <c r="B221" s="51" t="str">
        <f t="shared" ref="B221:C221" si="34">N32</f>
        <v>RSD_APA1_AP_E01</v>
      </c>
      <c r="C221" s="51" t="str">
        <f t="shared" si="34"/>
        <v>Apartment A1 Other Appliances (E)|</v>
      </c>
      <c r="D221" s="51" t="str">
        <f>Commodities!$D$48</f>
        <v>RSDELC</v>
      </c>
      <c r="E221" s="138"/>
      <c r="F221" s="142">
        <f t="shared" si="33"/>
        <v>2.5669951824178567E-3</v>
      </c>
      <c r="H221" s="52"/>
      <c r="V221" s="44"/>
      <c r="W221" s="44"/>
      <c r="X221" s="44"/>
      <c r="Y221" s="44"/>
      <c r="Z221" s="44"/>
    </row>
    <row r="222" spans="1:26">
      <c r="E222" s="138"/>
      <c r="F222" s="142"/>
      <c r="V222" s="44"/>
      <c r="W222" s="44"/>
      <c r="X222" s="44"/>
      <c r="Y222" s="44"/>
      <c r="Z222" s="44"/>
    </row>
    <row r="223" spans="1:26">
      <c r="E223" s="138"/>
      <c r="F223" s="142"/>
      <c r="V223" s="44"/>
      <c r="W223" s="44"/>
      <c r="X223" s="44"/>
      <c r="Y223" s="44"/>
      <c r="Z223" s="44"/>
    </row>
    <row r="224" spans="1:26">
      <c r="E224" s="138"/>
      <c r="F224" s="142"/>
    </row>
    <row r="225" spans="2:6">
      <c r="E225" s="138"/>
      <c r="F225" s="142"/>
    </row>
    <row r="226" spans="2:6">
      <c r="E226" s="138"/>
      <c r="F226" s="142"/>
    </row>
    <row r="227" spans="2:6">
      <c r="E227" s="138"/>
      <c r="F227" s="142"/>
    </row>
    <row r="229" spans="2:6" ht="13.8">
      <c r="E229" s="86" t="s">
        <v>352</v>
      </c>
    </row>
    <row r="230" spans="2:6" ht="13.8">
      <c r="B230" s="88" t="s">
        <v>1</v>
      </c>
      <c r="C230" s="88" t="s">
        <v>42</v>
      </c>
      <c r="D230" s="88" t="s">
        <v>7</v>
      </c>
      <c r="E230" s="88" t="s">
        <v>0</v>
      </c>
      <c r="F230" s="121" t="s">
        <v>999</v>
      </c>
    </row>
    <row r="231" spans="2:6" ht="14.4" thickBot="1">
      <c r="B231" s="92" t="s">
        <v>356</v>
      </c>
      <c r="C231" s="92" t="s">
        <v>26</v>
      </c>
      <c r="D231" s="124" t="s">
        <v>36</v>
      </c>
      <c r="E231" s="123"/>
      <c r="F231" s="92"/>
    </row>
    <row r="232" spans="2:6" ht="14.4" thickBot="1">
      <c r="B232" s="92" t="s">
        <v>269</v>
      </c>
      <c r="C232" s="92"/>
      <c r="D232" s="92"/>
      <c r="E232" s="123"/>
      <c r="F232" s="124"/>
    </row>
    <row r="233" spans="2:6">
      <c r="B233" s="51" t="str">
        <f>N31</f>
        <v>RSD_DTA1_AP_E01</v>
      </c>
      <c r="C233" s="51" t="str">
        <f>O31</f>
        <v>Detached A1 Other Appliances (E)|</v>
      </c>
      <c r="E233" s="135" t="str">
        <f>Commodities!$AA$79</f>
        <v>RSD_DTA1_AP</v>
      </c>
      <c r="F233" s="136">
        <v>1.34</v>
      </c>
    </row>
    <row r="234" spans="2:6">
      <c r="B234" s="51" t="str">
        <f t="shared" ref="B234:C234" si="35">N32</f>
        <v>RSD_APA1_AP_E01</v>
      </c>
      <c r="C234" s="51" t="str">
        <f t="shared" si="35"/>
        <v>Apartment A1 Other Appliances (E)|</v>
      </c>
      <c r="E234" s="138" t="str">
        <f>Commodities!$AA$80</f>
        <v>RSD_APA1_AP</v>
      </c>
      <c r="F234" s="136">
        <v>1.34</v>
      </c>
    </row>
    <row r="235" spans="2:6">
      <c r="E235" s="138"/>
      <c r="F235" s="136"/>
    </row>
    <row r="236" spans="2:6">
      <c r="E236" s="138"/>
      <c r="F236" s="136"/>
    </row>
    <row r="237" spans="2:6">
      <c r="E237" s="138"/>
      <c r="F237" s="136"/>
    </row>
    <row r="238" spans="2:6">
      <c r="E238" s="138"/>
      <c r="F238" s="136"/>
    </row>
    <row r="239" spans="2:6">
      <c r="E239" s="138"/>
      <c r="F239" s="136"/>
    </row>
    <row r="240" spans="2:6">
      <c r="E240" s="138"/>
      <c r="F240" s="136"/>
    </row>
    <row r="242" spans="2:9" ht="13.8">
      <c r="E242" s="86" t="s">
        <v>353</v>
      </c>
      <c r="H242" s="86" t="s">
        <v>697</v>
      </c>
      <c r="I242" s="86"/>
    </row>
    <row r="243" spans="2:9" ht="13.8">
      <c r="B243" s="88" t="s">
        <v>1</v>
      </c>
      <c r="C243" s="88" t="s">
        <v>42</v>
      </c>
      <c r="D243" s="88" t="s">
        <v>7</v>
      </c>
      <c r="E243" s="88" t="s">
        <v>0</v>
      </c>
      <c r="F243" s="121" t="s">
        <v>999</v>
      </c>
      <c r="H243" s="88" t="s">
        <v>1</v>
      </c>
      <c r="I243" s="121" t="s">
        <v>999</v>
      </c>
    </row>
    <row r="244" spans="2:9" ht="14.4" thickBot="1">
      <c r="B244" s="92" t="s">
        <v>356</v>
      </c>
      <c r="C244" s="92" t="s">
        <v>26</v>
      </c>
      <c r="D244" s="124" t="s">
        <v>36</v>
      </c>
      <c r="E244" s="123"/>
      <c r="F244" s="92"/>
      <c r="H244" s="92" t="s">
        <v>356</v>
      </c>
      <c r="I244" s="92"/>
    </row>
    <row r="245" spans="2:9" ht="14.4" thickBot="1">
      <c r="B245" s="92" t="s">
        <v>269</v>
      </c>
      <c r="C245" s="92"/>
      <c r="D245" s="92"/>
      <c r="E245" s="123"/>
      <c r="F245" s="124"/>
      <c r="H245" s="133" t="s">
        <v>269</v>
      </c>
      <c r="I245" s="133"/>
    </row>
    <row r="246" spans="2:9">
      <c r="B246" s="51" t="str">
        <f>N31</f>
        <v>RSD_DTA1_AP_E01</v>
      </c>
      <c r="C246" s="51" t="str">
        <f>O31</f>
        <v>Detached A1 Other Appliances (E)|</v>
      </c>
      <c r="E246" s="135" t="str">
        <f>Commodities!$AA$79</f>
        <v>RSD_DTA1_AP</v>
      </c>
      <c r="F246" s="136">
        <v>1</v>
      </c>
      <c r="H246" s="138" t="str">
        <f t="shared" ref="H246:H247" si="36">B246</f>
        <v>RSD_DTA1_AP_E01</v>
      </c>
      <c r="I246" s="139">
        <f t="shared" ref="I246:I247" si="37">IF(F246*Stk_Mult&gt;1,1,F246*Stk_Mult)</f>
        <v>1</v>
      </c>
    </row>
    <row r="247" spans="2:9">
      <c r="B247" s="51" t="str">
        <f t="shared" ref="B247:C247" si="38">N32</f>
        <v>RSD_APA1_AP_E01</v>
      </c>
      <c r="C247" s="51" t="str">
        <f t="shared" si="38"/>
        <v>Apartment A1 Other Appliances (E)|</v>
      </c>
      <c r="E247" s="138" t="str">
        <f>Commodities!$AA$80</f>
        <v>RSD_APA1_AP</v>
      </c>
      <c r="F247" s="136">
        <v>1</v>
      </c>
      <c r="H247" s="138" t="str">
        <f t="shared" si="36"/>
        <v>RSD_APA1_AP_E01</v>
      </c>
      <c r="I247" s="139">
        <f t="shared" si="37"/>
        <v>1</v>
      </c>
    </row>
    <row r="248" spans="2:9">
      <c r="E248" s="138"/>
      <c r="F248" s="136"/>
      <c r="H248" s="138"/>
      <c r="I248" s="139"/>
    </row>
    <row r="249" spans="2:9">
      <c r="E249" s="138"/>
      <c r="F249" s="136"/>
      <c r="H249" s="138"/>
      <c r="I249" s="139"/>
    </row>
    <row r="250" spans="2:9">
      <c r="E250" s="138"/>
      <c r="F250" s="136"/>
      <c r="H250" s="138"/>
      <c r="I250" s="139"/>
    </row>
    <row r="251" spans="2:9">
      <c r="E251" s="138"/>
      <c r="F251" s="136"/>
      <c r="H251" s="138"/>
      <c r="I251" s="139"/>
    </row>
    <row r="252" spans="2:9">
      <c r="E252" s="138"/>
      <c r="F252" s="136"/>
      <c r="H252" s="138"/>
      <c r="I252" s="139"/>
    </row>
    <row r="253" spans="2:9">
      <c r="E253" s="138"/>
      <c r="F253" s="136"/>
      <c r="H253" s="138"/>
      <c r="I253" s="139"/>
    </row>
    <row r="255" spans="2:9" ht="13.8">
      <c r="E255" s="86" t="s">
        <v>354</v>
      </c>
    </row>
    <row r="256" spans="2:9" ht="13.8">
      <c r="B256" s="88" t="s">
        <v>1</v>
      </c>
      <c r="C256" s="88" t="s">
        <v>42</v>
      </c>
      <c r="D256" s="88" t="s">
        <v>7</v>
      </c>
      <c r="E256" s="88" t="s">
        <v>0</v>
      </c>
      <c r="F256" s="121" t="s">
        <v>999</v>
      </c>
    </row>
    <row r="257" spans="2:6" ht="14.4" thickBot="1">
      <c r="B257" s="92" t="s">
        <v>356</v>
      </c>
      <c r="C257" s="92" t="s">
        <v>26</v>
      </c>
      <c r="D257" s="124" t="s">
        <v>36</v>
      </c>
      <c r="E257" s="123"/>
      <c r="F257" s="92"/>
    </row>
    <row r="258" spans="2:6" ht="14.4" thickBot="1">
      <c r="B258" s="92" t="s">
        <v>269</v>
      </c>
      <c r="C258" s="92"/>
      <c r="D258" s="92"/>
      <c r="E258" s="123"/>
      <c r="F258" s="124"/>
    </row>
    <row r="259" spans="2:6">
      <c r="B259" s="51" t="str">
        <f>N31</f>
        <v>RSD_DTA1_AP_E01</v>
      </c>
      <c r="C259" s="51" t="str">
        <f>O31</f>
        <v>Detached A1 Other Appliances (E)|</v>
      </c>
      <c r="E259" s="135" t="str">
        <f>Commodities!$AA$79</f>
        <v>RSD_DTA1_AP</v>
      </c>
      <c r="F259" s="144">
        <v>10</v>
      </c>
    </row>
    <row r="260" spans="2:6">
      <c r="B260" s="51" t="str">
        <f t="shared" ref="B260:C260" si="39">N32</f>
        <v>RSD_APA1_AP_E01</v>
      </c>
      <c r="C260" s="51" t="str">
        <f t="shared" si="39"/>
        <v>Apartment A1 Other Appliances (E)|</v>
      </c>
      <c r="E260" s="138" t="str">
        <f>Commodities!$AA$80</f>
        <v>RSD_APA1_AP</v>
      </c>
      <c r="F260" s="144">
        <v>10</v>
      </c>
    </row>
    <row r="261" spans="2:6">
      <c r="E261" s="138"/>
      <c r="F261" s="144"/>
    </row>
    <row r="262" spans="2:6">
      <c r="E262" s="138"/>
      <c r="F262" s="144"/>
    </row>
    <row r="263" spans="2:6">
      <c r="E263" s="138"/>
      <c r="F263" s="144"/>
    </row>
    <row r="264" spans="2:6">
      <c r="E264" s="138"/>
      <c r="F264" s="144"/>
    </row>
    <row r="265" spans="2:6">
      <c r="E265" s="138"/>
      <c r="F265" s="144"/>
    </row>
    <row r="266" spans="2:6">
      <c r="E266" s="138"/>
      <c r="F266" s="144"/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RSD_En_Balance</vt:lpstr>
      <vt:lpstr>RSD_Stock</vt:lpstr>
      <vt:lpstr>RSD_Demands</vt:lpstr>
      <vt:lpstr>RSD_Tech_SpHeat</vt:lpstr>
      <vt:lpstr>RSD_Tech_WaterHeat</vt:lpstr>
      <vt:lpstr>RSD_Tech_SpCool</vt:lpstr>
      <vt:lpstr>RSD_Tech_Cook</vt:lpstr>
      <vt:lpstr>RSD_Tech_Lighting</vt:lpstr>
      <vt:lpstr>RSD_Tech_Appliances</vt:lpstr>
      <vt:lpstr>Emissions_Table</vt:lpstr>
      <vt:lpstr>Commodities</vt:lpstr>
      <vt:lpstr>RSD_Fuels</vt:lpstr>
      <vt:lpstr>En.Bal-Final_Energy</vt:lpstr>
      <vt:lpstr>General</vt:lpstr>
      <vt:lpstr>BASE_YEAR</vt:lpstr>
      <vt:lpstr>END_YEAR</vt:lpstr>
      <vt:lpstr>Stk_Mult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2018-06-13T07:19:28Z</cp:lastPrinted>
  <dcterms:created xsi:type="dcterms:W3CDTF">2000-12-13T15:53:11Z</dcterms:created>
  <dcterms:modified xsi:type="dcterms:W3CDTF">2022-09-23T19:03:22Z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693016171455383</vt:r8>
  </property>
</Properties>
</file>