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Objects="placeholders" codeName="ThisWorkbook"/>
  <mc:AlternateContent xmlns:mc="http://schemas.openxmlformats.org/markup-compatibility/2006">
    <mc:Choice Requires="x15">
      <x15ac:absPath xmlns:x15ac="http://schemas.microsoft.com/office/spreadsheetml/2010/11/ac" url="C:\Users\rocco\Desktop\TIMES-CAC_v2021_Open\"/>
    </mc:Choice>
  </mc:AlternateContent>
  <xr:revisionPtr revIDLastSave="0" documentId="13_ncr:1_{18CCEF75-884F-4A02-A2AC-68BE607EE7FC}" xr6:coauthVersionLast="47" xr6:coauthVersionMax="47" xr10:uidLastSave="{00000000-0000-0000-0000-000000000000}"/>
  <bookViews>
    <workbookView xWindow="372" yWindow="0" windowWidth="22668" windowHeight="12240" tabRatio="901" activeTab="9" xr2:uid="{00000000-000D-0000-FFFF-FFFF00000000}"/>
  </bookViews>
  <sheets>
    <sheet name="PRI_Coal" sheetId="162" r:id="rId1"/>
    <sheet name="PRI_Oil" sheetId="151" r:id="rId2"/>
    <sheet name="PRI_Gas" sheetId="154" r:id="rId3"/>
    <sheet name="PRI_RES" sheetId="157" r:id="rId4"/>
    <sheet name="PRI_Bio" sheetId="159" r:id="rId5"/>
    <sheet name="TRN_Bio" sheetId="158" r:id="rId6"/>
    <sheet name="TRN_Coal" sheetId="163" r:id="rId7"/>
    <sheet name="TRN_Oil" sheetId="152" r:id="rId8"/>
    <sheet name="En.Bal-Primary-Transf." sheetId="142" state="hidden" r:id="rId9"/>
    <sheet name="Commodities" sheetId="144" r:id="rId10"/>
    <sheet name="SUP_Fuel" sheetId="146" r:id="rId11"/>
    <sheet name="Emissions_table" sheetId="126" r:id="rId12"/>
    <sheet name="General" sheetId="136" state="hidden" r:id="rId13"/>
  </sheets>
  <externalReferences>
    <externalReference r:id="rId14"/>
  </externalReferences>
  <definedNames>
    <definedName name="BASE_YEAR">General!$F$1</definedName>
    <definedName name="ConversionFactors">OFFSET('[1]Conversion factors'!$B$6,0,0,100,16)</definedName>
    <definedName name="END_YEAR">General!$F$2</definedName>
    <definedName name="MJ_per_toe">41868</definedName>
    <definedName name="RawData">'[1]Data in physical units'!$B$10:$BT$111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3" i="154" l="1"/>
  <c r="K83" i="154"/>
  <c r="N83" i="154" s="1"/>
  <c r="K88" i="154"/>
  <c r="O80" i="154"/>
  <c r="L33" i="159" l="1"/>
  <c r="K33" i="159"/>
  <c r="N9" i="152" l="1"/>
  <c r="L65" i="151"/>
  <c r="L61" i="151"/>
  <c r="L60" i="151"/>
  <c r="P65" i="151" l="1"/>
  <c r="O65" i="151"/>
  <c r="N65" i="151"/>
  <c r="M65" i="151"/>
  <c r="J26" i="162" l="1"/>
  <c r="J25" i="162"/>
  <c r="J24" i="162"/>
  <c r="J23" i="162"/>
  <c r="J22" i="162"/>
  <c r="J21" i="162"/>
  <c r="N9" i="163" l="1"/>
  <c r="D46" i="162" l="1"/>
  <c r="BH4" i="142" l="1"/>
  <c r="H25" i="154" l="1"/>
  <c r="G23" i="151"/>
  <c r="AU17" i="142" l="1"/>
  <c r="Q28" i="152" l="1"/>
  <c r="AF9" i="152"/>
  <c r="V83" i="154" l="1"/>
  <c r="P28" i="152" l="1"/>
  <c r="N28" i="152"/>
  <c r="I31" i="152"/>
  <c r="I30" i="152"/>
  <c r="I29" i="152"/>
  <c r="F31" i="152"/>
  <c r="F30" i="152"/>
  <c r="F29" i="152"/>
  <c r="D28" i="152"/>
  <c r="C28" i="152"/>
  <c r="B28" i="152"/>
  <c r="AD9" i="152"/>
  <c r="AC9" i="152"/>
  <c r="AA9" i="152"/>
  <c r="U83" i="154" l="1"/>
  <c r="L23" i="154" l="1"/>
  <c r="K42" i="154"/>
  <c r="S83" i="154"/>
  <c r="I81" i="154" l="1"/>
  <c r="I83" i="154"/>
  <c r="AU135" i="142"/>
  <c r="L86" i="154" l="1"/>
  <c r="K86" i="154"/>
  <c r="J42" i="154"/>
  <c r="AT135" i="142"/>
  <c r="AT136" i="142" l="1"/>
  <c r="K20" i="152" l="1"/>
  <c r="I20" i="152"/>
  <c r="H9" i="152"/>
  <c r="G10" i="152"/>
  <c r="H31" i="142" l="1"/>
  <c r="L81" i="154"/>
  <c r="Y31" i="142" l="1"/>
  <c r="BF12" i="142"/>
  <c r="BF5" i="142"/>
  <c r="AT14" i="142"/>
  <c r="J50" i="151" l="1"/>
  <c r="J49" i="151"/>
  <c r="J48" i="151"/>
  <c r="J46" i="151"/>
  <c r="J45" i="151"/>
  <c r="J43" i="151"/>
  <c r="J42" i="151"/>
  <c r="I50" i="151"/>
  <c r="I49" i="151"/>
  <c r="I48" i="151"/>
  <c r="I46" i="151"/>
  <c r="I45" i="151"/>
  <c r="I43" i="151"/>
  <c r="I42" i="151"/>
  <c r="Q6" i="126" l="1"/>
  <c r="D83" i="154" l="1"/>
  <c r="V24" i="154"/>
  <c r="U24" i="154"/>
  <c r="C83" i="154"/>
  <c r="M83" i="154" l="1"/>
  <c r="Q3" i="126"/>
  <c r="N80" i="154" l="1"/>
  <c r="M80" i="154"/>
  <c r="L80" i="154"/>
  <c r="K80" i="154"/>
  <c r="J80" i="154"/>
  <c r="I80" i="154"/>
  <c r="H80" i="154"/>
  <c r="O42" i="154" l="1"/>
  <c r="G25" i="151" l="1"/>
  <c r="H26" i="154"/>
  <c r="F26" i="154"/>
  <c r="E25" i="151"/>
  <c r="E16" i="152"/>
  <c r="U16" i="126" l="1"/>
  <c r="U15" i="126"/>
  <c r="Y17" i="142" l="1"/>
  <c r="X17" i="142"/>
  <c r="D63" i="151"/>
  <c r="G24" i="151" l="1"/>
  <c r="G30" i="151" s="1"/>
  <c r="F42" i="151" l="1"/>
  <c r="F15" i="162" l="1"/>
  <c r="J15" i="162" s="1"/>
  <c r="F14" i="162"/>
  <c r="J14" i="162" s="1"/>
  <c r="F13" i="162"/>
  <c r="J13" i="162" s="1"/>
  <c r="F12" i="162"/>
  <c r="J12" i="162" s="1"/>
  <c r="G69" i="151" l="1"/>
  <c r="K69" i="151" s="1"/>
  <c r="G68" i="151"/>
  <c r="K68" i="151" s="1"/>
  <c r="H14" i="163" l="1"/>
  <c r="F16" i="162" l="1"/>
  <c r="J16" i="162" s="1"/>
  <c r="V11" i="162"/>
  <c r="D16" i="162"/>
  <c r="F24" i="162"/>
  <c r="X31" i="142" l="1"/>
  <c r="I44" i="151" l="1"/>
  <c r="J44" i="151" s="1"/>
  <c r="G67" i="151" l="1"/>
  <c r="K67" i="151" s="1"/>
  <c r="M11" i="162" l="1"/>
  <c r="H9" i="163" l="1"/>
  <c r="F13" i="163" l="1"/>
  <c r="C14" i="163" l="1"/>
  <c r="D9" i="163" l="1"/>
  <c r="D14" i="163"/>
  <c r="G60" i="151"/>
  <c r="G61" i="151"/>
  <c r="G65" i="151"/>
  <c r="G64" i="151"/>
  <c r="G62" i="151"/>
  <c r="H62" i="151" s="1"/>
  <c r="M60" i="151" l="1"/>
  <c r="M61" i="151"/>
  <c r="G55" i="151"/>
  <c r="G84" i="162" l="1"/>
  <c r="D83" i="162"/>
  <c r="C83" i="162"/>
  <c r="Y31" i="162"/>
  <c r="X31" i="162"/>
  <c r="L82" i="162"/>
  <c r="J82" i="162"/>
  <c r="F69" i="162"/>
  <c r="E83" i="162" s="1"/>
  <c r="F63" i="162"/>
  <c r="G62" i="162"/>
  <c r="AA28" i="162" s="1"/>
  <c r="I9" i="158" l="1"/>
  <c r="D13" i="152" l="1"/>
  <c r="C69" i="151" l="1"/>
  <c r="AC32" i="151"/>
  <c r="E69" i="151" s="1"/>
  <c r="X32" i="151"/>
  <c r="W32" i="151"/>
  <c r="S32" i="151"/>
  <c r="C68" i="151"/>
  <c r="C67" i="151"/>
  <c r="AC31" i="151"/>
  <c r="E68" i="151" s="1"/>
  <c r="AC30" i="151"/>
  <c r="E67" i="151" s="1"/>
  <c r="X31" i="151"/>
  <c r="W31" i="151"/>
  <c r="S31" i="151"/>
  <c r="X30" i="151"/>
  <c r="W30" i="151"/>
  <c r="S30" i="151"/>
  <c r="D26" i="162"/>
  <c r="C26" i="162"/>
  <c r="V27" i="162"/>
  <c r="B26" i="162" s="1"/>
  <c r="Y27" i="162"/>
  <c r="X27" i="162"/>
  <c r="D24" i="162"/>
  <c r="D25" i="162"/>
  <c r="U32" i="151" l="1"/>
  <c r="B69" i="151" s="1"/>
  <c r="U31" i="151"/>
  <c r="B68" i="151" s="1"/>
  <c r="U30" i="151"/>
  <c r="B67" i="151" s="1"/>
  <c r="N74" i="154"/>
  <c r="N73" i="154"/>
  <c r="M73" i="154"/>
  <c r="K73" i="154"/>
  <c r="L73" i="154" l="1"/>
  <c r="K62" i="151"/>
  <c r="K64" i="151"/>
  <c r="K65" i="151"/>
  <c r="J15" i="158" l="1"/>
  <c r="J11" i="158"/>
  <c r="J9" i="158"/>
  <c r="F44" i="159"/>
  <c r="F43" i="159"/>
  <c r="F34" i="159"/>
  <c r="F33" i="159"/>
  <c r="F18" i="159"/>
  <c r="F14" i="159"/>
  <c r="F13" i="159"/>
  <c r="F12" i="159"/>
  <c r="F11" i="159"/>
  <c r="F10" i="159"/>
  <c r="F9" i="159"/>
  <c r="E82" i="151"/>
  <c r="E81" i="151"/>
  <c r="E80" i="151"/>
  <c r="E79" i="151"/>
  <c r="E78" i="151"/>
  <c r="E77" i="151"/>
  <c r="E76" i="151"/>
  <c r="F50" i="151"/>
  <c r="F49" i="151"/>
  <c r="F48" i="151"/>
  <c r="F47" i="151"/>
  <c r="F46" i="151"/>
  <c r="F45" i="151"/>
  <c r="F44" i="151"/>
  <c r="G44" i="151" s="1"/>
  <c r="F43" i="151"/>
  <c r="F23" i="162"/>
  <c r="E42" i="162"/>
  <c r="E41" i="162"/>
  <c r="F21" i="162"/>
  <c r="F22" i="162"/>
  <c r="H81" i="154"/>
  <c r="H83" i="154" s="1"/>
  <c r="G66" i="151"/>
  <c r="F65" i="151"/>
  <c r="F66" i="151" s="1"/>
  <c r="F67" i="151" s="1"/>
  <c r="F68" i="151" s="1"/>
  <c r="F69" i="151" s="1"/>
  <c r="F64" i="151"/>
  <c r="F62" i="151"/>
  <c r="G47" i="151" l="1"/>
  <c r="H47" i="151" s="1"/>
  <c r="I47" i="151" s="1"/>
  <c r="J47" i="151" s="1"/>
  <c r="K66" i="151"/>
  <c r="H66" i="151"/>
  <c r="F37" i="151"/>
  <c r="L7" i="126"/>
  <c r="K7" i="126"/>
  <c r="J7" i="126"/>
  <c r="I7" i="126"/>
  <c r="H7" i="126"/>
  <c r="G7" i="126"/>
  <c r="F7" i="126"/>
  <c r="E7" i="126"/>
  <c r="D7" i="126"/>
  <c r="C7" i="126"/>
  <c r="P6" i="126"/>
  <c r="K6" i="126"/>
  <c r="J6" i="126"/>
  <c r="I6" i="126"/>
  <c r="H6" i="126"/>
  <c r="G6" i="126"/>
  <c r="L6" i="126" s="1"/>
  <c r="F6" i="126"/>
  <c r="E6" i="126"/>
  <c r="D6" i="126"/>
  <c r="C6" i="126"/>
  <c r="U14" i="126" l="1"/>
  <c r="P7" i="126"/>
  <c r="P5" i="126"/>
  <c r="W89" i="142" l="1"/>
  <c r="H89" i="142" s="1"/>
  <c r="W31" i="142"/>
  <c r="L14" i="152" l="1"/>
  <c r="L16" i="152"/>
  <c r="G9" i="152"/>
  <c r="H13" i="152"/>
  <c r="H12" i="152"/>
  <c r="H11" i="152"/>
  <c r="G13" i="152"/>
  <c r="G12" i="152"/>
  <c r="G11" i="152"/>
  <c r="W4" i="142"/>
  <c r="AT4" i="142"/>
  <c r="AT17" i="142" s="1"/>
  <c r="J22" i="151" l="1"/>
  <c r="W17" i="142"/>
  <c r="P9" i="152"/>
  <c r="Q9" i="152"/>
  <c r="R9" i="152"/>
  <c r="O9" i="152"/>
  <c r="AT1" i="142"/>
  <c r="M4" i="126"/>
  <c r="N4" i="126"/>
  <c r="O4" i="126"/>
  <c r="O3" i="126"/>
  <c r="N3" i="126"/>
  <c r="M3" i="126"/>
  <c r="E64" i="162" l="1"/>
  <c r="E70" i="162" s="1"/>
  <c r="E75" i="162" s="1"/>
  <c r="K65" i="162"/>
  <c r="K71" i="162" s="1"/>
  <c r="Q4" i="126"/>
  <c r="C71" i="162"/>
  <c r="C65" i="162"/>
  <c r="V20" i="162"/>
  <c r="V19" i="162"/>
  <c r="V18" i="162"/>
  <c r="V16" i="162"/>
  <c r="V15" i="162"/>
  <c r="V14" i="162"/>
  <c r="Y30" i="162"/>
  <c r="X30" i="162"/>
  <c r="Y29" i="162"/>
  <c r="X29" i="162"/>
  <c r="Y28" i="162"/>
  <c r="X28" i="162"/>
  <c r="G74" i="162"/>
  <c r="G68" i="162"/>
  <c r="AA29" i="162" s="1"/>
  <c r="B71" i="162"/>
  <c r="B65" i="162"/>
  <c r="E61" i="162"/>
  <c r="E67" i="162" s="1"/>
  <c r="E73" i="162" s="1"/>
  <c r="E60" i="162"/>
  <c r="E66" i="162" s="1"/>
  <c r="E72" i="162" s="1"/>
  <c r="C59" i="162"/>
  <c r="B59" i="162"/>
  <c r="D45" i="162"/>
  <c r="D71" i="162" s="1"/>
  <c r="D44" i="162"/>
  <c r="D65" i="162" s="1"/>
  <c r="D43" i="162"/>
  <c r="H32" i="151" l="1"/>
  <c r="C28" i="151"/>
  <c r="B28" i="151"/>
  <c r="G28" i="154"/>
  <c r="G34" i="154" s="1"/>
  <c r="G27" i="154"/>
  <c r="G33" i="154" s="1"/>
  <c r="D81" i="154" l="1"/>
  <c r="V23" i="154"/>
  <c r="U23" i="154"/>
  <c r="C81" i="154"/>
  <c r="C25" i="162"/>
  <c r="C24" i="162"/>
  <c r="C23" i="162"/>
  <c r="C22" i="162"/>
  <c r="C21" i="162"/>
  <c r="Y26" i="162"/>
  <c r="X26" i="162"/>
  <c r="Y25" i="162"/>
  <c r="X25" i="162"/>
  <c r="Y24" i="162"/>
  <c r="X24" i="162"/>
  <c r="Y23" i="162"/>
  <c r="X23" i="162"/>
  <c r="Y22" i="162"/>
  <c r="X22" i="162"/>
  <c r="V23" i="162"/>
  <c r="B22" i="162" s="1"/>
  <c r="V24" i="162"/>
  <c r="B23" i="162" s="1"/>
  <c r="V25" i="162"/>
  <c r="B24" i="162" s="1"/>
  <c r="V26" i="162"/>
  <c r="B25" i="162" s="1"/>
  <c r="V22" i="162"/>
  <c r="B21" i="162" s="1"/>
  <c r="C62" i="151" l="1"/>
  <c r="C64" i="151"/>
  <c r="C65" i="151"/>
  <c r="C66" i="151"/>
  <c r="W29" i="151"/>
  <c r="X29" i="151"/>
  <c r="S29" i="151"/>
  <c r="E66" i="151"/>
  <c r="AC29" i="151" s="1"/>
  <c r="X28" i="151"/>
  <c r="W28" i="151"/>
  <c r="X27" i="151"/>
  <c r="W27" i="151"/>
  <c r="S28" i="151"/>
  <c r="U28" i="151" s="1"/>
  <c r="B65" i="151" s="1"/>
  <c r="S27" i="151"/>
  <c r="U27" i="151" s="1"/>
  <c r="B64" i="151" s="1"/>
  <c r="X26" i="151"/>
  <c r="W26" i="151"/>
  <c r="S26" i="151"/>
  <c r="U26" i="151" s="1"/>
  <c r="B62" i="151" s="1"/>
  <c r="E65" i="151"/>
  <c r="E64" i="151"/>
  <c r="E62" i="151"/>
  <c r="U29" i="151" l="1"/>
  <c r="B66" i="151" s="1"/>
  <c r="G103" i="154"/>
  <c r="P4" i="126"/>
  <c r="D102" i="154"/>
  <c r="C102" i="154"/>
  <c r="V22" i="154"/>
  <c r="U22" i="154"/>
  <c r="L101" i="154"/>
  <c r="J101" i="154"/>
  <c r="E27" i="151"/>
  <c r="E33" i="151" s="1"/>
  <c r="C50" i="162" l="1"/>
  <c r="C49" i="162"/>
  <c r="C48" i="162"/>
  <c r="C47" i="162"/>
  <c r="V21" i="162"/>
  <c r="B50" i="162" s="1"/>
  <c r="B49" i="162"/>
  <c r="B48" i="162"/>
  <c r="B47" i="162"/>
  <c r="Y21" i="162"/>
  <c r="X21" i="162"/>
  <c r="Y20" i="162"/>
  <c r="X20" i="162"/>
  <c r="Y19" i="162"/>
  <c r="X19" i="162"/>
  <c r="Y18" i="162"/>
  <c r="X18" i="162"/>
  <c r="G32" i="154" l="1"/>
  <c r="G31" i="154"/>
  <c r="E102" i="154" s="1"/>
  <c r="P3" i="126" s="1"/>
  <c r="D30" i="154"/>
  <c r="C30" i="154"/>
  <c r="V16" i="154"/>
  <c r="U16" i="154"/>
  <c r="D15" i="154"/>
  <c r="D14" i="154"/>
  <c r="D13" i="154"/>
  <c r="V14" i="154"/>
  <c r="U14" i="154"/>
  <c r="V13" i="154"/>
  <c r="U13" i="154"/>
  <c r="V12" i="154"/>
  <c r="U12" i="154"/>
  <c r="V11" i="154"/>
  <c r="U11" i="154"/>
  <c r="V10" i="154"/>
  <c r="U10" i="154"/>
  <c r="S14" i="154"/>
  <c r="C15" i="154" s="1"/>
  <c r="S13" i="154"/>
  <c r="C14" i="154" s="1"/>
  <c r="S12" i="154"/>
  <c r="C13" i="154" s="1"/>
  <c r="E13" i="154"/>
  <c r="E30" i="154" s="1"/>
  <c r="D12" i="154"/>
  <c r="C12" i="154"/>
  <c r="D11" i="154"/>
  <c r="C11" i="154"/>
  <c r="D10" i="152"/>
  <c r="C15" i="151"/>
  <c r="C14" i="151"/>
  <c r="C13" i="151"/>
  <c r="X14" i="151"/>
  <c r="W14" i="151"/>
  <c r="X13" i="151"/>
  <c r="W13" i="151"/>
  <c r="X12" i="151"/>
  <c r="W12" i="151"/>
  <c r="S14" i="151"/>
  <c r="S13" i="151"/>
  <c r="S12" i="151"/>
  <c r="D13" i="151"/>
  <c r="D14" i="151" s="1"/>
  <c r="D15" i="151" s="1"/>
  <c r="C12" i="151"/>
  <c r="C11" i="151"/>
  <c r="X11" i="151"/>
  <c r="W11" i="151"/>
  <c r="S11" i="151"/>
  <c r="X10" i="151"/>
  <c r="W10" i="151"/>
  <c r="S10" i="151"/>
  <c r="D42" i="162"/>
  <c r="D50" i="162"/>
  <c r="C16" i="162"/>
  <c r="C46" i="162"/>
  <c r="C45" i="162"/>
  <c r="C44" i="162"/>
  <c r="C43" i="162"/>
  <c r="B43" i="162"/>
  <c r="Y17" i="162"/>
  <c r="X17" i="162"/>
  <c r="Y16" i="162"/>
  <c r="X16" i="162"/>
  <c r="Y15" i="162"/>
  <c r="X15" i="162"/>
  <c r="Y14" i="162"/>
  <c r="X14" i="162"/>
  <c r="Y13" i="162"/>
  <c r="X13" i="162"/>
  <c r="V17" i="162"/>
  <c r="B46" i="162" s="1"/>
  <c r="B45" i="162"/>
  <c r="B44" i="162"/>
  <c r="Y11" i="162"/>
  <c r="X11" i="162"/>
  <c r="B16" i="162"/>
  <c r="V10" i="162"/>
  <c r="F10" i="144"/>
  <c r="D14" i="162"/>
  <c r="C14" i="162"/>
  <c r="Y9" i="162"/>
  <c r="X9" i="162"/>
  <c r="V9" i="162"/>
  <c r="B14" i="162" s="1"/>
  <c r="C12" i="162"/>
  <c r="C13" i="162"/>
  <c r="D49" i="162" l="1"/>
  <c r="D23" i="162"/>
  <c r="E14" i="154"/>
  <c r="E15" i="154" s="1"/>
  <c r="D12" i="152" l="1"/>
  <c r="D11" i="152"/>
  <c r="G7" i="151" l="1"/>
  <c r="H7" i="151"/>
  <c r="I7" i="154" l="1"/>
  <c r="E28" i="146" l="1"/>
  <c r="E32" i="146"/>
  <c r="F33" i="146" s="1"/>
  <c r="D32" i="146"/>
  <c r="S20" i="146"/>
  <c r="R20" i="146"/>
  <c r="P20" i="146"/>
  <c r="C32" i="146" s="1"/>
  <c r="P19" i="146"/>
  <c r="F38" i="144" l="1"/>
  <c r="F40" i="144" s="1"/>
  <c r="L5" i="126" l="1"/>
  <c r="L4" i="126"/>
  <c r="D15" i="162" l="1"/>
  <c r="C15" i="162"/>
  <c r="Y10" i="162"/>
  <c r="X10" i="162"/>
  <c r="B15" i="162"/>
  <c r="C9" i="152" l="1"/>
  <c r="F27" i="152"/>
  <c r="F21" i="152"/>
  <c r="F18" i="152"/>
  <c r="D41" i="162" l="1"/>
  <c r="C41" i="162"/>
  <c r="C42" i="162"/>
  <c r="V13" i="162"/>
  <c r="B42" i="162" s="1"/>
  <c r="V12" i="162"/>
  <c r="B41" i="162" s="1"/>
  <c r="Y12" i="162"/>
  <c r="X12" i="162"/>
  <c r="C93" i="154" l="1"/>
  <c r="B93" i="154"/>
  <c r="E90" i="154"/>
  <c r="E10" i="154" l="1"/>
  <c r="E11" i="154" s="1"/>
  <c r="E12" i="154" s="1"/>
  <c r="E31" i="151"/>
  <c r="E23" i="151"/>
  <c r="E29" i="151" s="1"/>
  <c r="F26" i="151"/>
  <c r="F32" i="151" s="1"/>
  <c r="D42" i="151"/>
  <c r="C22" i="151"/>
  <c r="B22" i="151"/>
  <c r="F19" i="152"/>
  <c r="F20" i="152"/>
  <c r="F22" i="152"/>
  <c r="F23" i="152"/>
  <c r="F24" i="152"/>
  <c r="F25" i="152"/>
  <c r="F26" i="152"/>
  <c r="F17" i="152"/>
  <c r="D9" i="152"/>
  <c r="C76" i="151"/>
  <c r="D76" i="151"/>
  <c r="U33" i="151"/>
  <c r="B76" i="151" s="1"/>
  <c r="W33" i="151"/>
  <c r="X33" i="151"/>
  <c r="F61" i="151"/>
  <c r="F60" i="151"/>
  <c r="D79" i="151"/>
  <c r="D80" i="151"/>
  <c r="D81" i="151"/>
  <c r="D82" i="151"/>
  <c r="D78" i="151"/>
  <c r="D77" i="151"/>
  <c r="C77" i="151"/>
  <c r="C78" i="151"/>
  <c r="C79" i="151"/>
  <c r="C80" i="151"/>
  <c r="C81" i="151"/>
  <c r="C82" i="151"/>
  <c r="E61" i="151"/>
  <c r="E60" i="151"/>
  <c r="C60" i="151"/>
  <c r="C61" i="151"/>
  <c r="D43" i="151"/>
  <c r="D44" i="151"/>
  <c r="D45" i="151"/>
  <c r="D46" i="151"/>
  <c r="D47" i="151"/>
  <c r="D48" i="151"/>
  <c r="D49" i="151"/>
  <c r="D50" i="151"/>
  <c r="C42" i="151"/>
  <c r="C43" i="151"/>
  <c r="C44" i="151"/>
  <c r="C45" i="151"/>
  <c r="C46" i="151"/>
  <c r="C47" i="151"/>
  <c r="C48" i="151"/>
  <c r="C49" i="151"/>
  <c r="C50" i="151"/>
  <c r="U38" i="151"/>
  <c r="B81" i="151" s="1"/>
  <c r="U37" i="151"/>
  <c r="B80" i="151" s="1"/>
  <c r="U36" i="151"/>
  <c r="B79" i="151" s="1"/>
  <c r="U35" i="151"/>
  <c r="B78" i="151" s="1"/>
  <c r="U34" i="151"/>
  <c r="B77" i="151" s="1"/>
  <c r="S15" i="151"/>
  <c r="W15" i="151"/>
  <c r="X15" i="151"/>
  <c r="S16" i="151"/>
  <c r="U16" i="151" s="1"/>
  <c r="B43" i="151" s="1"/>
  <c r="W16" i="151"/>
  <c r="X16" i="151"/>
  <c r="S17" i="151"/>
  <c r="U17" i="151" s="1"/>
  <c r="B44" i="151" s="1"/>
  <c r="W17" i="151"/>
  <c r="X17" i="151"/>
  <c r="S19" i="151"/>
  <c r="U19" i="151" s="1"/>
  <c r="B46" i="151" s="1"/>
  <c r="S20" i="151"/>
  <c r="U20" i="151" s="1"/>
  <c r="B47" i="151" s="1"/>
  <c r="S21" i="151"/>
  <c r="U21" i="151" s="1"/>
  <c r="B48" i="151" s="1"/>
  <c r="S22" i="151"/>
  <c r="U22" i="151" s="1"/>
  <c r="B49" i="151" s="1"/>
  <c r="S23" i="151"/>
  <c r="U23" i="151" s="1"/>
  <c r="B50" i="151" s="1"/>
  <c r="E18" i="159"/>
  <c r="E18" i="146" l="1"/>
  <c r="D13" i="162" l="1"/>
  <c r="D12" i="162"/>
  <c r="D47" i="162" l="1"/>
  <c r="D59" i="162" s="1"/>
  <c r="D21" i="162"/>
  <c r="D48" i="162"/>
  <c r="D22" i="162"/>
  <c r="C9" i="159" l="1"/>
  <c r="Q14" i="159" l="1"/>
  <c r="Q13" i="159"/>
  <c r="Q12" i="159"/>
  <c r="Q11" i="159"/>
  <c r="Q10" i="159"/>
  <c r="Q9" i="159"/>
  <c r="Q9" i="144" l="1"/>
  <c r="Q8" i="144"/>
  <c r="Q7" i="144"/>
  <c r="Q22" i="159" l="1"/>
  <c r="L63" i="154" l="1"/>
  <c r="L53" i="154"/>
  <c r="M41" i="154"/>
  <c r="V21" i="154"/>
  <c r="U21" i="154"/>
  <c r="J5" i="136" l="1"/>
  <c r="W34" i="151" l="1"/>
  <c r="X34" i="151"/>
  <c r="E73" i="151"/>
  <c r="X39" i="151"/>
  <c r="W39" i="151"/>
  <c r="X38" i="151"/>
  <c r="W38" i="151"/>
  <c r="X37" i="151"/>
  <c r="W37" i="151"/>
  <c r="X36" i="151"/>
  <c r="W36" i="151"/>
  <c r="X35" i="151"/>
  <c r="W35" i="151"/>
  <c r="D18" i="159" l="1"/>
  <c r="D12" i="159"/>
  <c r="B18" i="159"/>
  <c r="C18" i="159"/>
  <c r="T22" i="159"/>
  <c r="S22" i="159"/>
  <c r="AA8" i="152" l="1"/>
  <c r="E11" i="162" l="1"/>
  <c r="Y8" i="162"/>
  <c r="X8" i="162"/>
  <c r="V8" i="162"/>
  <c r="B13" i="162" s="1"/>
  <c r="Y7" i="162"/>
  <c r="X7" i="162"/>
  <c r="V7" i="162"/>
  <c r="B12" i="162" s="1"/>
  <c r="F42" i="159"/>
  <c r="G42" i="159" s="1"/>
  <c r="H42" i="159" s="1"/>
  <c r="I42" i="159" s="1"/>
  <c r="E42" i="159"/>
  <c r="D34" i="159"/>
  <c r="D33" i="159"/>
  <c r="E32" i="159"/>
  <c r="D17" i="159"/>
  <c r="D16" i="159"/>
  <c r="D15" i="159"/>
  <c r="T21" i="159"/>
  <c r="S21" i="159"/>
  <c r="Q21" i="159"/>
  <c r="D13" i="159"/>
  <c r="T20" i="159"/>
  <c r="S20" i="159"/>
  <c r="Q20" i="159"/>
  <c r="T19" i="159"/>
  <c r="S19" i="159"/>
  <c r="Q19" i="159"/>
  <c r="T18" i="159"/>
  <c r="S18" i="159"/>
  <c r="Q18" i="159"/>
  <c r="T17" i="159"/>
  <c r="S17" i="159"/>
  <c r="C17" i="159"/>
  <c r="Q17" i="159"/>
  <c r="B17" i="159" s="1"/>
  <c r="T16" i="159"/>
  <c r="S16" i="159"/>
  <c r="C16" i="159"/>
  <c r="Q16" i="159"/>
  <c r="B16" i="159" s="1"/>
  <c r="T15" i="159"/>
  <c r="S15" i="159"/>
  <c r="C15" i="159"/>
  <c r="Q15" i="159"/>
  <c r="B15" i="159" s="1"/>
  <c r="T14" i="159"/>
  <c r="S14" i="159"/>
  <c r="C14" i="159"/>
  <c r="B14" i="159"/>
  <c r="T13" i="159"/>
  <c r="S13" i="159"/>
  <c r="C13" i="159"/>
  <c r="B13" i="159"/>
  <c r="T12" i="159"/>
  <c r="S12" i="159"/>
  <c r="C12" i="159"/>
  <c r="B12" i="159"/>
  <c r="T11" i="159"/>
  <c r="S11" i="159"/>
  <c r="C11" i="159"/>
  <c r="B11" i="159"/>
  <c r="T10" i="159"/>
  <c r="S10" i="159"/>
  <c r="C10" i="159"/>
  <c r="B10" i="159"/>
  <c r="T9" i="159"/>
  <c r="S9" i="159"/>
  <c r="B9" i="159"/>
  <c r="D9" i="159"/>
  <c r="D10" i="159" s="1"/>
  <c r="D11" i="159" s="1"/>
  <c r="E8" i="159"/>
  <c r="D44" i="159"/>
  <c r="D43" i="159"/>
  <c r="F6" i="159"/>
  <c r="F20" i="158"/>
  <c r="D19" i="158"/>
  <c r="D18" i="158"/>
  <c r="F17" i="158"/>
  <c r="D16" i="158"/>
  <c r="D15" i="158"/>
  <c r="F14" i="158"/>
  <c r="D13" i="158"/>
  <c r="D12" i="158"/>
  <c r="D11" i="158"/>
  <c r="V11" i="158"/>
  <c r="U11" i="158"/>
  <c r="S11" i="158"/>
  <c r="B18" i="158" s="1"/>
  <c r="V10" i="158"/>
  <c r="U10" i="158"/>
  <c r="S10" i="158"/>
  <c r="V9" i="158"/>
  <c r="U9" i="158"/>
  <c r="S9" i="158"/>
  <c r="V8" i="158"/>
  <c r="U8" i="158"/>
  <c r="S8" i="158"/>
  <c r="F10" i="158"/>
  <c r="D9" i="158"/>
  <c r="M8" i="158"/>
  <c r="L8" i="158"/>
  <c r="D12" i="157"/>
  <c r="D11" i="157"/>
  <c r="M11" i="157"/>
  <c r="L11" i="157"/>
  <c r="C12" i="157"/>
  <c r="J11" i="157"/>
  <c r="B12" i="157" s="1"/>
  <c r="M10" i="157"/>
  <c r="L10" i="157"/>
  <c r="C11" i="157"/>
  <c r="J10" i="157"/>
  <c r="B11" i="157" s="1"/>
  <c r="D10" i="157"/>
  <c r="M9" i="157"/>
  <c r="L9" i="157"/>
  <c r="C10" i="157"/>
  <c r="J9" i="157"/>
  <c r="B10" i="157" s="1"/>
  <c r="M8" i="157"/>
  <c r="L8" i="157"/>
  <c r="C9" i="157"/>
  <c r="J8" i="157"/>
  <c r="B9" i="157" s="1"/>
  <c r="D9" i="157"/>
  <c r="E8" i="157"/>
  <c r="F6" i="157"/>
  <c r="C9" i="158" l="1"/>
  <c r="C44" i="159"/>
  <c r="J42" i="159"/>
  <c r="L42" i="159" s="1"/>
  <c r="M42" i="159" s="1"/>
  <c r="K42" i="159"/>
  <c r="B9" i="158"/>
  <c r="D14" i="159"/>
  <c r="B44" i="159"/>
  <c r="C34" i="159"/>
  <c r="C43" i="159"/>
  <c r="B33" i="159"/>
  <c r="B34" i="159"/>
  <c r="B43" i="159"/>
  <c r="C33" i="159"/>
  <c r="B11" i="158"/>
  <c r="B15" i="158"/>
  <c r="C11" i="158"/>
  <c r="C15" i="158"/>
  <c r="C18" i="158"/>
  <c r="G29" i="154"/>
  <c r="E15" i="152"/>
  <c r="E30" i="151" l="1"/>
  <c r="E24" i="151"/>
  <c r="D93" i="154"/>
  <c r="G35" i="154"/>
  <c r="F25" i="154"/>
  <c r="E26" i="146" l="1"/>
  <c r="F27" i="146" s="1"/>
  <c r="D26" i="146"/>
  <c r="P17" i="146"/>
  <c r="C26" i="146" s="1"/>
  <c r="R17" i="146"/>
  <c r="S17" i="146"/>
  <c r="Q9" i="154" l="1"/>
  <c r="W19" i="151"/>
  <c r="X19" i="151"/>
  <c r="W25" i="151"/>
  <c r="X25" i="151"/>
  <c r="C4" i="126" l="1"/>
  <c r="D4" i="126"/>
  <c r="E4" i="126"/>
  <c r="F4" i="126"/>
  <c r="G4" i="126"/>
  <c r="H4" i="126"/>
  <c r="I4" i="126"/>
  <c r="J4" i="126"/>
  <c r="K4" i="126"/>
  <c r="F29" i="146"/>
  <c r="J3" i="126" s="1"/>
  <c r="S9" i="151" l="1"/>
  <c r="U12" i="151" l="1"/>
  <c r="B13" i="151" s="1"/>
  <c r="U13" i="151"/>
  <c r="B14" i="151" s="1"/>
  <c r="U14" i="151"/>
  <c r="B15" i="151" s="1"/>
  <c r="U9" i="151"/>
  <c r="U10" i="151"/>
  <c r="B11" i="151" s="1"/>
  <c r="U11" i="151"/>
  <c r="B12" i="151" s="1"/>
  <c r="F44" i="154"/>
  <c r="E82" i="154" l="1"/>
  <c r="E84" i="154"/>
  <c r="G66" i="154"/>
  <c r="G56" i="154"/>
  <c r="E64" i="154" s="1"/>
  <c r="F65" i="154"/>
  <c r="V20" i="154"/>
  <c r="U20" i="154"/>
  <c r="G45" i="154"/>
  <c r="E54" i="154" s="1"/>
  <c r="D64" i="154" l="1"/>
  <c r="C64" i="154"/>
  <c r="E42" i="154" l="1"/>
  <c r="G74" i="154"/>
  <c r="G81" i="154" s="1"/>
  <c r="G83" i="154" s="1"/>
  <c r="U15" i="151" l="1"/>
  <c r="B42" i="151" s="1"/>
  <c r="H73" i="154"/>
  <c r="F55" i="154"/>
  <c r="V19" i="154"/>
  <c r="U19" i="154"/>
  <c r="F43" i="154"/>
  <c r="V18" i="154"/>
  <c r="U18" i="154"/>
  <c r="F24" i="154"/>
  <c r="E23" i="154"/>
  <c r="V17" i="154"/>
  <c r="U17" i="154"/>
  <c r="V15" i="154"/>
  <c r="U15" i="154"/>
  <c r="V9" i="154"/>
  <c r="U9" i="154"/>
  <c r="E14" i="152"/>
  <c r="AD8" i="152"/>
  <c r="AC8" i="152"/>
  <c r="X24" i="151"/>
  <c r="W24" i="151"/>
  <c r="F59" i="151"/>
  <c r="X23" i="151"/>
  <c r="W23" i="151"/>
  <c r="X22" i="151"/>
  <c r="W22" i="151"/>
  <c r="X21" i="151"/>
  <c r="W21" i="151"/>
  <c r="X20" i="151"/>
  <c r="W20" i="151"/>
  <c r="X18" i="151"/>
  <c r="W18" i="151"/>
  <c r="E41" i="151"/>
  <c r="X9" i="151"/>
  <c r="W9" i="151"/>
  <c r="H7" i="154"/>
  <c r="C10" i="151"/>
  <c r="E14" i="136"/>
  <c r="F111" i="144"/>
  <c r="F110" i="144"/>
  <c r="F109" i="144"/>
  <c r="S21" i="146"/>
  <c r="E16" i="136"/>
  <c r="E15" i="136"/>
  <c r="E12" i="136"/>
  <c r="H9" i="146"/>
  <c r="D13" i="136"/>
  <c r="J40" i="146"/>
  <c r="F117" i="144"/>
  <c r="F116" i="144"/>
  <c r="F115" i="144"/>
  <c r="F114" i="144"/>
  <c r="F113" i="144"/>
  <c r="F112" i="144"/>
  <c r="D117" i="144"/>
  <c r="D116" i="144"/>
  <c r="D115" i="144"/>
  <c r="D114" i="144"/>
  <c r="D113" i="144"/>
  <c r="D112" i="144"/>
  <c r="E41" i="146"/>
  <c r="P21" i="146"/>
  <c r="C41" i="146" s="1"/>
  <c r="C30" i="146"/>
  <c r="P18" i="146"/>
  <c r="C28" i="146" s="1"/>
  <c r="P16" i="146"/>
  <c r="C24" i="146" s="1"/>
  <c r="P15" i="146"/>
  <c r="C22" i="146" s="1"/>
  <c r="P14" i="146"/>
  <c r="C20" i="146" s="1"/>
  <c r="P13" i="146"/>
  <c r="C18" i="146" s="1"/>
  <c r="P12" i="146"/>
  <c r="C16" i="146" s="1"/>
  <c r="P11" i="146"/>
  <c r="C14" i="146" s="1"/>
  <c r="P10" i="146"/>
  <c r="C12" i="146" s="1"/>
  <c r="P9" i="146"/>
  <c r="C10" i="146" s="1"/>
  <c r="F14" i="144"/>
  <c r="D41" i="146"/>
  <c r="D30" i="146"/>
  <c r="D28" i="146"/>
  <c r="D24" i="146"/>
  <c r="D22" i="146"/>
  <c r="D20" i="146"/>
  <c r="D18" i="146"/>
  <c r="D16" i="146"/>
  <c r="D14" i="146"/>
  <c r="D12" i="146"/>
  <c r="D10" i="146"/>
  <c r="F43" i="146"/>
  <c r="E30" i="146"/>
  <c r="F31" i="146" s="1"/>
  <c r="K3" i="126" s="1"/>
  <c r="E24" i="146"/>
  <c r="F25" i="146" s="1"/>
  <c r="I3" i="126" s="1"/>
  <c r="E22" i="146"/>
  <c r="F23" i="146" s="1"/>
  <c r="E20" i="146"/>
  <c r="F21" i="146" s="1"/>
  <c r="H3" i="126" s="1"/>
  <c r="F19" i="146"/>
  <c r="G3" i="126" s="1"/>
  <c r="E16" i="146"/>
  <c r="F17" i="146" s="1"/>
  <c r="F3" i="126" s="1"/>
  <c r="E14" i="146"/>
  <c r="F15" i="146" s="1"/>
  <c r="E3" i="126" s="1"/>
  <c r="E12" i="146"/>
  <c r="F13" i="146" s="1"/>
  <c r="D3" i="126" s="1"/>
  <c r="E10" i="146"/>
  <c r="F11" i="146" s="1"/>
  <c r="C3" i="126" s="1"/>
  <c r="R21" i="146"/>
  <c r="R18" i="146"/>
  <c r="S18" i="146"/>
  <c r="R19" i="146"/>
  <c r="S19" i="146"/>
  <c r="S16" i="146"/>
  <c r="R16" i="146"/>
  <c r="S15" i="146"/>
  <c r="R15" i="146"/>
  <c r="S14" i="146"/>
  <c r="R14" i="146"/>
  <c r="S13" i="146"/>
  <c r="R13" i="146"/>
  <c r="S12" i="146"/>
  <c r="R12" i="146"/>
  <c r="S11" i="146"/>
  <c r="R11" i="146"/>
  <c r="S10" i="146"/>
  <c r="R10" i="146"/>
  <c r="S9" i="146"/>
  <c r="R9" i="146"/>
  <c r="F64" i="144"/>
  <c r="F65" i="144"/>
  <c r="F66" i="144"/>
  <c r="F67" i="144"/>
  <c r="B7" i="126"/>
  <c r="B6" i="126"/>
  <c r="B5" i="126"/>
  <c r="F108" i="144"/>
  <c r="F107" i="144"/>
  <c r="F106" i="144"/>
  <c r="F105" i="144"/>
  <c r="F104" i="144"/>
  <c r="F103" i="144"/>
  <c r="F102" i="144"/>
  <c r="F101" i="144"/>
  <c r="F100" i="144"/>
  <c r="F99" i="144"/>
  <c r="F98" i="144"/>
  <c r="F97" i="144"/>
  <c r="F96" i="144"/>
  <c r="F95" i="144"/>
  <c r="F94" i="144"/>
  <c r="F93" i="144"/>
  <c r="F92" i="144"/>
  <c r="F91" i="144"/>
  <c r="F90" i="144"/>
  <c r="F89" i="144"/>
  <c r="F88" i="144"/>
  <c r="F87" i="144"/>
  <c r="F86" i="144"/>
  <c r="F85" i="144"/>
  <c r="F84" i="144"/>
  <c r="F83" i="144"/>
  <c r="F82" i="144"/>
  <c r="F81" i="144"/>
  <c r="F80" i="144"/>
  <c r="F79" i="144"/>
  <c r="F78" i="144"/>
  <c r="F77" i="144"/>
  <c r="F76" i="144"/>
  <c r="F75" i="144"/>
  <c r="F74" i="144"/>
  <c r="F73" i="144"/>
  <c r="F72" i="144"/>
  <c r="F71" i="144"/>
  <c r="F70" i="144"/>
  <c r="F69" i="144"/>
  <c r="F68" i="144"/>
  <c r="F63" i="144"/>
  <c r="F62" i="144"/>
  <c r="F61" i="144"/>
  <c r="F60" i="144"/>
  <c r="F59" i="144"/>
  <c r="F58" i="144"/>
  <c r="F57" i="144"/>
  <c r="F56" i="144"/>
  <c r="F55" i="144"/>
  <c r="F54" i="144"/>
  <c r="F53" i="144"/>
  <c r="F52" i="144"/>
  <c r="F51" i="144"/>
  <c r="F50" i="144"/>
  <c r="F49" i="144"/>
  <c r="F48" i="144"/>
  <c r="F47" i="144"/>
  <c r="F46" i="144"/>
  <c r="F45" i="144"/>
  <c r="F44" i="144"/>
  <c r="F43" i="144"/>
  <c r="F42" i="144"/>
  <c r="F41" i="144"/>
  <c r="F39" i="144"/>
  <c r="F37" i="144"/>
  <c r="F36" i="144"/>
  <c r="F35" i="144"/>
  <c r="F34" i="144"/>
  <c r="F33" i="144"/>
  <c r="F32" i="144"/>
  <c r="F31" i="144"/>
  <c r="F30" i="144"/>
  <c r="F29" i="144"/>
  <c r="F28" i="144"/>
  <c r="F27" i="144"/>
  <c r="F26" i="144"/>
  <c r="F25" i="144"/>
  <c r="F24" i="144"/>
  <c r="F23" i="144"/>
  <c r="F22" i="144"/>
  <c r="F21" i="144"/>
  <c r="F20" i="144"/>
  <c r="F19" i="144"/>
  <c r="F18" i="144"/>
  <c r="F17" i="144"/>
  <c r="F16" i="144"/>
  <c r="F15" i="144"/>
  <c r="F13" i="144"/>
  <c r="F12" i="144"/>
  <c r="F11" i="144"/>
  <c r="F9" i="144"/>
  <c r="F8" i="144"/>
  <c r="F7" i="144"/>
  <c r="I9" i="146"/>
  <c r="I40" i="146"/>
  <c r="H9" i="151" l="1"/>
  <c r="I9" i="154"/>
  <c r="E40" i="162"/>
  <c r="E92" i="154"/>
  <c r="J73" i="154"/>
  <c r="O22" i="154"/>
  <c r="P59" i="151"/>
  <c r="H59" i="151"/>
  <c r="I41" i="151"/>
  <c r="N59" i="151"/>
  <c r="M59" i="151"/>
  <c r="N41" i="151"/>
  <c r="L59" i="151"/>
  <c r="K59" i="151"/>
  <c r="L41" i="151"/>
  <c r="J59" i="151"/>
  <c r="K41" i="151"/>
  <c r="I59" i="151"/>
  <c r="J41" i="151"/>
  <c r="O59" i="151"/>
  <c r="H41" i="151"/>
  <c r="O41" i="151"/>
  <c r="G41" i="151"/>
  <c r="M41" i="151"/>
  <c r="E75" i="151"/>
  <c r="K11" i="162"/>
  <c r="U39" i="151"/>
  <c r="B82" i="151" s="1"/>
  <c r="K32" i="159"/>
  <c r="I11" i="162"/>
  <c r="L32" i="159"/>
  <c r="F8" i="159"/>
  <c r="M32" i="159"/>
  <c r="H11" i="162"/>
  <c r="J32" i="159"/>
  <c r="F32" i="159"/>
  <c r="L11" i="162"/>
  <c r="G11" i="162"/>
  <c r="I32" i="159"/>
  <c r="F8" i="157"/>
  <c r="J11" i="162"/>
  <c r="F11" i="162"/>
  <c r="H32" i="159"/>
  <c r="J8" i="158"/>
  <c r="G32" i="159"/>
  <c r="R8" i="152"/>
  <c r="J63" i="154"/>
  <c r="J53" i="154"/>
  <c r="D10" i="151"/>
  <c r="B10" i="151"/>
  <c r="G9" i="151"/>
  <c r="F41" i="151"/>
  <c r="L22" i="154"/>
  <c r="H9" i="154"/>
  <c r="F1" i="136"/>
  <c r="G59" i="151"/>
  <c r="K41" i="154"/>
  <c r="I73" i="154"/>
  <c r="B9" i="152"/>
  <c r="C42" i="154"/>
  <c r="D10" i="154"/>
  <c r="D42" i="154"/>
  <c r="C54" i="154"/>
  <c r="D54" i="154"/>
  <c r="D2" i="144"/>
  <c r="C10" i="154"/>
  <c r="C74" i="154"/>
  <c r="D22" i="151" l="1"/>
  <c r="D28" i="151" s="1"/>
  <c r="D11" i="151"/>
  <c r="D12" i="151" s="1"/>
  <c r="Q21" i="154"/>
  <c r="S35" i="151"/>
  <c r="S39" i="151"/>
  <c r="S36" i="151"/>
  <c r="S38" i="151"/>
  <c r="D23" i="154"/>
  <c r="S18" i="151"/>
  <c r="U18" i="151" s="1"/>
  <c r="B45" i="151" s="1"/>
  <c r="D74" i="154"/>
  <c r="C23" i="154"/>
  <c r="S37" i="151" l="1"/>
  <c r="S25" i="151"/>
  <c r="U25" i="151" s="1"/>
  <c r="B61" i="151" s="1"/>
  <c r="S24" i="151"/>
  <c r="U24" i="151" s="1"/>
  <c r="B60" i="151" s="1"/>
  <c r="F17" i="159" l="1"/>
  <c r="G48" i="151"/>
  <c r="K61" i="151"/>
  <c r="E93" i="154"/>
  <c r="K60" i="151"/>
  <c r="G50" i="151" l="1"/>
  <c r="G49" i="151"/>
  <c r="K26" i="152"/>
  <c r="I26" i="152"/>
  <c r="B26" i="152" s="1"/>
  <c r="G33" i="159"/>
  <c r="M33" i="159"/>
  <c r="I24" i="152"/>
  <c r="B24" i="152" s="1"/>
  <c r="K24" i="152"/>
  <c r="K27" i="152"/>
  <c r="I27" i="152"/>
  <c r="B27" i="152" s="1"/>
  <c r="B20" i="152"/>
  <c r="L15" i="152"/>
  <c r="B15" i="152" s="1"/>
  <c r="I23" i="152"/>
  <c r="B23" i="152" s="1"/>
  <c r="K23" i="152"/>
  <c r="O61" i="151"/>
  <c r="P61" i="151"/>
  <c r="N61" i="151"/>
  <c r="G45" i="151"/>
  <c r="I18" i="152"/>
  <c r="B18" i="152" s="1"/>
  <c r="K18" i="152"/>
  <c r="H43" i="159"/>
  <c r="G43" i="159"/>
  <c r="I43" i="159"/>
  <c r="J43" i="159"/>
  <c r="H44" i="159"/>
  <c r="G44" i="159"/>
  <c r="I44" i="159"/>
  <c r="J44" i="159"/>
  <c r="K25" i="152"/>
  <c r="I25" i="152"/>
  <c r="B25" i="152" s="1"/>
  <c r="G29" i="151"/>
  <c r="G31" i="151"/>
  <c r="B16" i="152"/>
  <c r="I21" i="152"/>
  <c r="B21" i="152" s="1"/>
  <c r="K21" i="152"/>
  <c r="I19" i="152"/>
  <c r="K19" i="152"/>
  <c r="I22" i="152"/>
  <c r="J22" i="152" s="1"/>
  <c r="K22" i="152"/>
  <c r="N60" i="151"/>
  <c r="P60" i="151"/>
  <c r="O60" i="151"/>
  <c r="G43" i="151"/>
  <c r="G46" i="151"/>
  <c r="G42" i="151"/>
  <c r="K34" i="159"/>
  <c r="M34" i="159"/>
  <c r="L34" i="159"/>
  <c r="G34" i="159"/>
  <c r="K17" i="152"/>
  <c r="I17" i="152"/>
  <c r="B17" i="152" s="1"/>
  <c r="B19" i="152" l="1"/>
  <c r="J19" i="152"/>
  <c r="B22" i="152"/>
  <c r="H34" i="159"/>
  <c r="J34" i="159"/>
  <c r="I34" i="159"/>
  <c r="J33" i="159"/>
  <c r="H33" i="159"/>
  <c r="I33" i="159"/>
  <c r="M9" i="152" l="1"/>
  <c r="B14" i="152"/>
  <c r="S9" i="152" l="1"/>
  <c r="T9" i="152"/>
  <c r="U9" i="152" l="1"/>
  <c r="C9" i="163" l="1"/>
  <c r="I74" i="154"/>
  <c r="I69" i="154"/>
  <c r="J74" i="154" l="1"/>
  <c r="L74" i="154"/>
  <c r="M74" i="154"/>
  <c r="J54" i="154"/>
  <c r="J64" i="154" s="1"/>
  <c r="I43" i="154" l="1"/>
  <c r="I44" i="154"/>
  <c r="Q63" i="151" l="1"/>
  <c r="P82" i="154"/>
  <c r="P84" i="15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Johny</author>
  </authors>
  <commentList>
    <comment ref="Z5" authorId="0" shapeId="0" xr:uid="{00000000-0006-0000-0100-000001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5" authorId="1" shapeId="0" xr:uid="{00000000-0006-0000-0100-000002000000}">
      <text>
        <r>
          <rPr>
            <b/>
            <sz val="8"/>
            <color indexed="81"/>
            <rFont val="Tahoma"/>
            <family val="2"/>
          </rPr>
          <t>Amit Kanudia:</t>
        </r>
        <r>
          <rPr>
            <sz val="8"/>
            <color indexed="81"/>
            <rFont val="Tahoma"/>
            <family val="2"/>
          </rPr>
          <t xml:space="preserve">
Needed only when one wants to override the VEDA default assignment
</t>
        </r>
      </text>
    </comment>
    <comment ref="AB5" authorId="0" shapeId="0" xr:uid="{00000000-0006-0000-0100-000003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6" authorId="0" shapeId="0" xr:uid="{00000000-0006-0000-0100-000004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C9" authorId="0" shapeId="0" xr:uid="{00000000-0006-0000-0100-000005000000}">
      <text>
        <r>
          <rPr>
            <sz val="8"/>
            <color indexed="81"/>
            <rFont val="Tahoma"/>
            <family val="2"/>
          </rPr>
          <t>With this character *, this column is ignored from VEDA.
It is just useful for your information</t>
        </r>
      </text>
    </comment>
    <comment ref="C20" authorId="0" shapeId="0" xr:uid="{5FE630CB-464E-436F-98B2-3A2BAEF4226E}">
      <text>
        <r>
          <rPr>
            <sz val="8"/>
            <color indexed="81"/>
            <rFont val="Tahoma"/>
            <family val="2"/>
          </rPr>
          <t>With this character *, this column is ignored from VEDA.
It is just useful for your information</t>
        </r>
      </text>
    </comment>
    <comment ref="C38" authorId="0" shapeId="0" xr:uid="{00000000-0006-0000-0100-000006000000}">
      <text>
        <r>
          <rPr>
            <sz val="8"/>
            <color indexed="81"/>
            <rFont val="Tahoma"/>
            <family val="2"/>
          </rPr>
          <t>With this character *, this column is ignored from VEDA.
It is just useful for your information</t>
        </r>
      </text>
    </comment>
    <comment ref="E38" authorId="0" shapeId="0" xr:uid="{00000000-0006-0000-0100-000007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C56" authorId="0" shapeId="0" xr:uid="{48480758-DB9D-4956-818F-61DC232AF466}">
      <text>
        <r>
          <rPr>
            <sz val="8"/>
            <color indexed="81"/>
            <rFont val="Tahoma"/>
            <family val="2"/>
          </rPr>
          <t>With this character *, this column is ignored from VEDA.
It is just useful for your information</t>
        </r>
      </text>
    </comment>
    <comment ref="I56" authorId="2" shapeId="0" xr:uid="{5C1869B5-DEDE-4672-B937-00B43F48999A}">
      <text>
        <r>
          <rPr>
            <b/>
            <sz val="9"/>
            <color indexed="81"/>
            <rFont val="Tahoma"/>
            <family val="2"/>
            <charset val="161"/>
          </rPr>
          <t>BY Balance data</t>
        </r>
        <r>
          <rPr>
            <sz val="9"/>
            <color indexed="81"/>
            <rFont val="Tahoma"/>
            <family val="2"/>
            <charset val="161"/>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7" authorId="0" shapeId="0" xr:uid="{00000000-0006-0000-0A00-000001000000}">
      <text>
        <r>
          <rPr>
            <sz val="8"/>
            <color indexed="81"/>
            <rFont val="Tahoma"/>
            <family val="2"/>
          </rPr>
          <t>With this character *, this column is ignored from VEDA.
It is just useful for your information</t>
        </r>
      </text>
    </comment>
    <comment ref="T7" authorId="0" shapeId="0" xr:uid="{00000000-0006-0000-0A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7" authorId="1" shapeId="0" xr:uid="{00000000-0006-0000-0A00-000003000000}">
      <text>
        <r>
          <rPr>
            <b/>
            <sz val="8"/>
            <color indexed="81"/>
            <rFont val="Tahoma"/>
            <family val="2"/>
          </rPr>
          <t>Amit Kanudia:</t>
        </r>
        <r>
          <rPr>
            <sz val="8"/>
            <color indexed="81"/>
            <rFont val="Tahoma"/>
            <family val="2"/>
          </rPr>
          <t xml:space="preserve">
Needed only when one wants to override the VEDA default assignment
</t>
        </r>
      </text>
    </comment>
    <comment ref="V7" authorId="0" shapeId="0" xr:uid="{00000000-0006-0000-0A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8" authorId="0" shapeId="0" xr:uid="{00000000-0006-0000-0A00-000005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D38" authorId="0" shapeId="0" xr:uid="{00000000-0006-0000-0A00-000006000000}">
      <text>
        <r>
          <rPr>
            <sz val="8"/>
            <color indexed="81"/>
            <rFont val="Tahoma"/>
            <family val="2"/>
          </rPr>
          <t>With this character *, this column is ignored from VEDA.
It is just useful for your information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Rocco De Miglio</author>
  </authors>
  <commentList>
    <comment ref="Q6" authorId="0" shapeId="0" xr:uid="{50C31F80-C0B5-40AB-9666-765FA766CFD6}">
      <text>
        <r>
          <rPr>
            <b/>
            <sz val="9"/>
            <color indexed="81"/>
            <rFont val="Tahoma"/>
            <family val="2"/>
          </rPr>
          <t>Rocco De Miglio:</t>
        </r>
        <r>
          <rPr>
            <sz val="9"/>
            <color indexed="81"/>
            <rFont val="Tahoma"/>
            <family val="2"/>
          </rPr>
          <t xml:space="preserve">
See inventory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Johny</author>
  </authors>
  <commentList>
    <comment ref="C7" authorId="0" shapeId="0" xr:uid="{00000000-0006-0000-0600-000001000000}">
      <text>
        <r>
          <rPr>
            <sz val="8"/>
            <color indexed="81"/>
            <rFont val="Tahoma"/>
            <family val="2"/>
          </rPr>
          <t>With this character *, this column is ignored from VEDA.
It is just useful for your information</t>
        </r>
      </text>
    </comment>
    <comment ref="G7" authorId="0" shapeId="0" xr:uid="{00000000-0006-0000-0600-000002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H7" authorId="0" shapeId="0" xr:uid="{A2951B32-7216-4902-B173-6058F9F2181F}">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Y7" authorId="0" shapeId="0" xr:uid="{00000000-0006-0000-0600-000003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7" authorId="1" shapeId="0" xr:uid="{00000000-0006-0000-0600-000004000000}">
      <text>
        <r>
          <rPr>
            <b/>
            <sz val="8"/>
            <color indexed="81"/>
            <rFont val="Tahoma"/>
            <family val="2"/>
          </rPr>
          <t>Amit Kanudia:</t>
        </r>
        <r>
          <rPr>
            <sz val="8"/>
            <color indexed="81"/>
            <rFont val="Tahoma"/>
            <family val="2"/>
          </rPr>
          <t xml:space="preserve">
Needed only when one wants to override the VEDA default assignment
</t>
        </r>
      </text>
    </comment>
    <comment ref="AA7" authorId="0" shapeId="0" xr:uid="{00000000-0006-0000-0600-000005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S8" authorId="0" shapeId="0" xr:uid="{00000000-0006-0000-0600-000006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C19" authorId="0" shapeId="0" xr:uid="{00000000-0006-0000-0600-000007000000}">
      <text>
        <r>
          <rPr>
            <sz val="8"/>
            <color indexed="81"/>
            <rFont val="Tahoma"/>
            <family val="2"/>
          </rPr>
          <t>With this character *, this column is ignored from VEDA.
It is just useful for your information</t>
        </r>
      </text>
    </comment>
    <comment ref="H19" authorId="2" shapeId="0" xr:uid="{00000000-0006-0000-0600-000008000000}">
      <text>
        <r>
          <rPr>
            <b/>
            <sz val="9"/>
            <color indexed="81"/>
            <rFont val="Tahoma"/>
            <family val="2"/>
            <charset val="161"/>
          </rPr>
          <t>BY Balance data</t>
        </r>
        <r>
          <rPr>
            <sz val="9"/>
            <color indexed="81"/>
            <rFont val="Tahoma"/>
            <family val="2"/>
            <charset val="161"/>
          </rPr>
          <t xml:space="preserve">
</t>
        </r>
      </text>
    </comment>
    <comment ref="C57" authorId="0" shapeId="0" xr:uid="{00000000-0006-0000-0600-000009000000}">
      <text>
        <r>
          <rPr>
            <sz val="8"/>
            <color indexed="81"/>
            <rFont val="Tahoma"/>
            <family val="2"/>
          </rPr>
          <t>With this character *, this column is ignored from VEDA.
It is just useful for your information</t>
        </r>
      </text>
    </comment>
    <comment ref="C73" authorId="0" shapeId="0" xr:uid="{00000000-0006-0000-0600-00000A000000}">
      <text>
        <r>
          <rPr>
            <sz val="8"/>
            <color indexed="81"/>
            <rFont val="Tahoma"/>
            <family val="2"/>
          </rPr>
          <t>With this character *, this column is ignored from VEDA.
It is just useful for your information</t>
        </r>
      </text>
    </comment>
    <comment ref="E73" authorId="0" shapeId="0" xr:uid="{00000000-0006-0000-06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Rocco De Miglio</author>
  </authors>
  <commentList>
    <comment ref="H7" authorId="0" shapeId="0" xr:uid="{00000000-0006-0000-0800-000001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I7" authorId="0" shapeId="0" xr:uid="{5FB665A1-BB02-4E7F-A2B3-B8C5DF530F3B}">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7" authorId="0" shapeId="0" xr:uid="{00000000-0006-0000-08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7" authorId="1" shapeId="0" xr:uid="{00000000-0006-0000-0800-000003000000}">
      <text>
        <r>
          <rPr>
            <b/>
            <sz val="8"/>
            <color indexed="81"/>
            <rFont val="Tahoma"/>
            <family val="2"/>
          </rPr>
          <t>Amit Kanudia:</t>
        </r>
        <r>
          <rPr>
            <sz val="8"/>
            <color indexed="81"/>
            <rFont val="Tahoma"/>
            <family val="2"/>
          </rPr>
          <t xml:space="preserve">
Needed only when one wants to override the VEDA default assignment
</t>
        </r>
      </text>
    </comment>
    <comment ref="Y7" authorId="0" shapeId="0" xr:uid="{00000000-0006-0000-08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Q8" authorId="0" shapeId="0" xr:uid="{00000000-0006-0000-0800-000005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1" authorId="2" shapeId="0" xr:uid="{83A45D1A-3E72-4473-AF36-C791B454B4D1}">
      <text>
        <r>
          <rPr>
            <b/>
            <sz val="9"/>
            <color indexed="81"/>
            <rFont val="Tahoma"/>
            <family val="2"/>
          </rPr>
          <t>Rocco De Miglio:</t>
        </r>
        <r>
          <rPr>
            <sz val="9"/>
            <color indexed="81"/>
            <rFont val="Tahoma"/>
            <family val="2"/>
          </rPr>
          <t xml:space="preserve">
based on KZK coeff</t>
        </r>
      </text>
    </comment>
    <comment ref="I81" authorId="2" shapeId="0" xr:uid="{408AF70F-F034-45DE-B6A0-367A0DCA8BE7}">
      <text>
        <r>
          <rPr>
            <b/>
            <sz val="9"/>
            <color indexed="81"/>
            <rFont val="Tahoma"/>
            <family val="2"/>
          </rPr>
          <t>Rocco De Miglio:</t>
        </r>
        <r>
          <rPr>
            <sz val="9"/>
            <color indexed="81"/>
            <rFont val="Tahoma"/>
            <family val="2"/>
          </rPr>
          <t xml:space="preserve">
reduced due to overestimation</t>
        </r>
      </text>
    </comment>
    <comment ref="I83" authorId="2" shapeId="0" xr:uid="{0DA645F8-9D12-45A6-BF53-8F2D484EF190}">
      <text>
        <r>
          <rPr>
            <b/>
            <sz val="9"/>
            <color indexed="81"/>
            <rFont val="Tahoma"/>
            <family val="2"/>
          </rPr>
          <t>Rocco De Miglio:</t>
        </r>
        <r>
          <rPr>
            <sz val="9"/>
            <color indexed="81"/>
            <rFont val="Tahoma"/>
            <family val="2"/>
          </rPr>
          <t xml:space="preserve">
reduced due to overestimation</t>
        </r>
      </text>
    </comment>
    <comment ref="C90" authorId="0" shapeId="0" xr:uid="{00000000-0006-0000-0800-000006000000}">
      <text>
        <r>
          <rPr>
            <sz val="8"/>
            <color indexed="81"/>
            <rFont val="Tahoma"/>
            <family val="2"/>
          </rPr>
          <t>With this character *, this column is ignored from VEDA.
It is just useful for your information</t>
        </r>
      </text>
    </comment>
    <comment ref="E90" authorId="0" shapeId="0" xr:uid="{00000000-0006-0000-0800-000007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Corporate Edition</author>
  </authors>
  <commentList>
    <comment ref="C6" authorId="0" shapeId="0" xr:uid="{00000000-0006-0000-0200-000001000000}">
      <text>
        <r>
          <rPr>
            <sz val="8"/>
            <color indexed="81"/>
            <rFont val="Tahoma"/>
            <family val="2"/>
          </rPr>
          <t>With this character *, this column is ignored from VEDA.
It is just useful for your information</t>
        </r>
      </text>
    </comment>
    <comment ref="F6" authorId="0" shapeId="0" xr:uid="{00000000-0006-0000-0200-000002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6" authorId="0" shapeId="0" xr:uid="{00000000-0006-0000-0200-000003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6" authorId="1" shapeId="0" xr:uid="{00000000-0006-0000-0200-000004000000}">
      <text>
        <r>
          <rPr>
            <b/>
            <sz val="8"/>
            <color indexed="81"/>
            <rFont val="Tahoma"/>
            <family val="2"/>
          </rPr>
          <t>Amit Kanudia:</t>
        </r>
        <r>
          <rPr>
            <sz val="8"/>
            <color indexed="81"/>
            <rFont val="Tahoma"/>
            <family val="2"/>
          </rPr>
          <t xml:space="preserve">
Needed only when one wants to override the VEDA default assignment
</t>
        </r>
      </text>
    </comment>
    <comment ref="P6" authorId="0" shapeId="0" xr:uid="{00000000-0006-0000-0200-000005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7" authorId="2" shapeId="0" xr:uid="{00000000-0006-0000-0200-000006000000}">
      <text>
        <r>
          <rPr>
            <sz val="9"/>
            <color indexed="81"/>
            <rFont val="Tahoma"/>
            <family val="2"/>
          </rPr>
          <t xml:space="preserve">Ideally, the renewable potentials should be controlled at a technology level, but can also be declared here. </t>
        </r>
      </text>
    </comment>
    <comment ref="E7" authorId="2" shapeId="0" xr:uid="{00000000-0006-0000-0200-000007000000}">
      <text>
        <r>
          <rPr>
            <sz val="9"/>
            <color indexed="81"/>
            <rFont val="Tahoma"/>
            <family val="2"/>
          </rPr>
          <t>Small cost to avoid random numbers in results. Limits on the technology level and not on the supply commodity level.</t>
        </r>
      </text>
    </comment>
    <comment ref="H7" authorId="0" shapeId="0" xr:uid="{00000000-0006-0000-0200-000008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Corporate Edition</author>
    <author>Amit Kanudia</author>
  </authors>
  <commentList>
    <comment ref="C6" authorId="0" shapeId="0" xr:uid="{00000000-0006-0000-0300-000001000000}">
      <text>
        <r>
          <rPr>
            <sz val="8"/>
            <color indexed="81"/>
            <rFont val="Tahoma"/>
            <family val="2"/>
          </rPr>
          <t>With this character *, this column is ignored from VEDA.
It is just useful for your information</t>
        </r>
      </text>
    </comment>
    <comment ref="F6" authorId="0" shapeId="0" xr:uid="{00000000-0006-0000-0300-000002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B7" authorId="1" shapeId="0" xr:uid="{00000000-0006-0000-0300-000003000000}">
      <text>
        <r>
          <rPr>
            <sz val="9"/>
            <color indexed="81"/>
            <rFont val="Tahoma"/>
            <family val="2"/>
          </rPr>
          <t xml:space="preserve">Ideally, the renewable potentials should be controlled at a technology level, but can also be declared here. </t>
        </r>
      </text>
    </comment>
    <comment ref="E7" authorId="1" shapeId="0" xr:uid="{00000000-0006-0000-0300-000004000000}">
      <text>
        <r>
          <rPr>
            <sz val="9"/>
            <color indexed="81"/>
            <rFont val="Tahoma"/>
            <family val="2"/>
          </rPr>
          <t>Non-energy extraction cost (including exploration and development, if needed, and production)</t>
        </r>
      </text>
    </comment>
    <comment ref="U7" authorId="0" shapeId="0" xr:uid="{00000000-0006-0000-0300-000005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2" shapeId="0" xr:uid="{00000000-0006-0000-0300-000006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0" shapeId="0" xr:uid="{00000000-0006-0000-0300-000007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0" shapeId="0" xr:uid="{00000000-0006-0000-0300-000008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C30" authorId="0" shapeId="0" xr:uid="{00000000-0006-0000-0300-000009000000}">
      <text>
        <r>
          <rPr>
            <sz val="8"/>
            <color indexed="81"/>
            <rFont val="Tahoma"/>
            <family val="2"/>
          </rPr>
          <t>With this character *, this column is ignored from VEDA.
It is just useful for your information</t>
        </r>
      </text>
    </comment>
    <comment ref="C40" authorId="0" shapeId="0" xr:uid="{00000000-0006-0000-0300-00000A000000}">
      <text>
        <r>
          <rPr>
            <sz val="8"/>
            <color indexed="81"/>
            <rFont val="Tahoma"/>
            <family val="2"/>
          </rPr>
          <t>With this character *, this column is ignored from VEDA.
It is just useful for your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C6" authorId="0" shapeId="0" xr:uid="{00000000-0006-0000-0500-000001000000}">
      <text>
        <r>
          <rPr>
            <sz val="8"/>
            <color indexed="81"/>
            <rFont val="Tahoma"/>
            <family val="2"/>
          </rPr>
          <t>With this character *, this column is ignored from VEDA.
It is just useful for your information</t>
        </r>
      </text>
    </comment>
    <comment ref="W6" authorId="0" shapeId="0" xr:uid="{00000000-0006-0000-05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6" authorId="1" shapeId="0" xr:uid="{00000000-0006-0000-0500-000003000000}">
      <text>
        <r>
          <rPr>
            <b/>
            <sz val="8"/>
            <color indexed="81"/>
            <rFont val="Tahoma"/>
            <family val="2"/>
          </rPr>
          <t>Amit Kanudia:</t>
        </r>
        <r>
          <rPr>
            <sz val="8"/>
            <color indexed="81"/>
            <rFont val="Tahoma"/>
            <family val="2"/>
          </rPr>
          <t xml:space="preserve">
Needed only when one wants to override the VEDA default assignment
</t>
        </r>
      </text>
    </comment>
    <comment ref="Y6" authorId="0" shapeId="0" xr:uid="{00000000-0006-0000-05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Q7" authorId="0" shapeId="0" xr:uid="{00000000-0006-0000-0500-000005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 authorId="0" shapeId="0" xr:uid="{1F1FBF63-58FB-460F-B13C-1D585C8B3E43}">
      <text>
        <r>
          <rPr>
            <sz val="8"/>
            <color indexed="81"/>
            <rFont val="Tahoma"/>
            <family val="2"/>
          </rPr>
          <t>With this character *, this column is ignored from VEDA.
It is just useful for your information</t>
        </r>
      </text>
    </comment>
    <comment ref="X6" authorId="0" shapeId="0" xr:uid="{4AFE0574-39DF-4498-95A2-203857A0BD64}">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Y6" authorId="1" shapeId="0" xr:uid="{1569E67B-C9E3-4197-BE84-0F4384C8C221}">
      <text>
        <r>
          <rPr>
            <b/>
            <sz val="8"/>
            <color indexed="81"/>
            <rFont val="Tahoma"/>
            <family val="2"/>
          </rPr>
          <t>Amit Kanudia:</t>
        </r>
        <r>
          <rPr>
            <sz val="8"/>
            <color indexed="81"/>
            <rFont val="Tahoma"/>
            <family val="2"/>
          </rPr>
          <t xml:space="preserve">
Needed only when one wants to override the VEDA default assignment
</t>
        </r>
      </text>
    </comment>
    <comment ref="Z6" authorId="0" shapeId="0" xr:uid="{2FF6CC4F-B045-407F-A5F8-DDB8D4D6AB8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R7" authorId="0" shapeId="0" xr:uid="{1DB3F278-8F3D-495F-8CE3-1066D8A9AE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Rocco De Miglio</author>
  </authors>
  <commentList>
    <comment ref="C6" authorId="0" shapeId="0" xr:uid="{00000000-0006-0000-0700-000001000000}">
      <text>
        <r>
          <rPr>
            <sz val="8"/>
            <color indexed="81"/>
            <rFont val="Tahoma"/>
            <family val="2"/>
          </rPr>
          <t>With this character *, this column is ignored from VEDA.
It is just useful for your information</t>
        </r>
      </text>
    </comment>
    <comment ref="AE6" authorId="0" shapeId="0" xr:uid="{00000000-0006-0000-07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6" authorId="1" shapeId="0" xr:uid="{00000000-0006-0000-0700-000003000000}">
      <text>
        <r>
          <rPr>
            <b/>
            <sz val="8"/>
            <color indexed="81"/>
            <rFont val="Tahoma"/>
            <family val="2"/>
          </rPr>
          <t>Amit Kanudia:</t>
        </r>
        <r>
          <rPr>
            <sz val="8"/>
            <color indexed="81"/>
            <rFont val="Tahoma"/>
            <family val="2"/>
          </rPr>
          <t xml:space="preserve">
Needed only when one wants to override the VEDA default assignment
</t>
        </r>
      </text>
    </comment>
    <comment ref="AG6" authorId="0" shapeId="0" xr:uid="{00000000-0006-0000-07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0" shapeId="0" xr:uid="{00000000-0006-0000-0700-000005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B28" authorId="2" shapeId="0" xr:uid="{1E24CC2E-E9E0-4B6B-9B84-DEA56896A45B}">
      <text>
        <r>
          <rPr>
            <b/>
            <sz val="9"/>
            <color indexed="81"/>
            <rFont val="Tahoma"/>
            <family val="2"/>
          </rPr>
          <t>Rocco De Miglio:</t>
        </r>
        <r>
          <rPr>
            <sz val="9"/>
            <color indexed="81"/>
            <rFont val="Tahoma"/>
            <family val="2"/>
          </rPr>
          <t xml:space="preserve">
In June 2019, a gas-to-liquids plant, claimed by the construction consortium to be the first in the world to produce gasoline from natural gas, was opened at Ovan-Depe in Akhalsky province. Haldor Topsoe (Denmark)’s technology, used previously at Oryx (Qatar) and Sasol (South Africa) to produce diesel, has been adapted to produce gasoline. The plant will take 1.78 Bcm/year of gas feedstock and produce from it 600,000 tonnes of gasoline (Eco-93), 12,000 tonnes of diesel fuel and 115,000 tonnes of liquefied petroleum gas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5"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900-000002000000}">
      <text>
        <r>
          <rPr>
            <sz val="8"/>
            <color indexed="81"/>
            <rFont val="Tahoma"/>
            <family val="2"/>
          </rPr>
          <t xml:space="preserve">
LO for PRODUCTION &gt;= CONSUMPTION (Default)
FX for PRODUCTION = CONSUMPTION
UP for PRODUCTION &lt;= CONSUMPTION</t>
        </r>
      </text>
    </comment>
    <comment ref="H5"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5" authorId="0" shapeId="0" xr:uid="{00000000-0006-0000-0900-000006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5" authorId="1" shapeId="0" xr:uid="{00000000-0006-0000-0900-000007000000}">
      <text>
        <r>
          <rPr>
            <sz val="8"/>
            <color indexed="81"/>
            <rFont val="Tahoma"/>
            <family val="2"/>
          </rPr>
          <t xml:space="preserve">
LO for PRODUCTION &gt;= CONSUMPTION (Default)
FX for PRODUCTION = CONSUMPTION
UP for PRODUCTION &lt;= CONSUMPTION</t>
        </r>
      </text>
    </comment>
    <comment ref="S5" authorId="2" shapeId="0" xr:uid="{00000000-0006-0000-0900-000008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5" authorId="2" shapeId="0" xr:uid="{00000000-0006-0000-0900-000009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5" authorId="2" shapeId="0" xr:uid="{00000000-0006-0000-0900-00000A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<sst xmlns="http://schemas.openxmlformats.org/spreadsheetml/2006/main" count="2218" uniqueCount="1038">
  <si>
    <t>CommName</t>
  </si>
  <si>
    <t>TechName</t>
  </si>
  <si>
    <t>TechDesc</t>
  </si>
  <si>
    <t>FIXOM</t>
  </si>
  <si>
    <t>CommDesc</t>
  </si>
  <si>
    <t>Unit</t>
  </si>
  <si>
    <t>VAROM</t>
  </si>
  <si>
    <t>Comm-IN</t>
  </si>
  <si>
    <t>Comm-OUT</t>
  </si>
  <si>
    <t>Csets</t>
  </si>
  <si>
    <t>LimType</t>
  </si>
  <si>
    <t>CTSLvl</t>
  </si>
  <si>
    <t>PeakTS</t>
  </si>
  <si>
    <t>Sets</t>
  </si>
  <si>
    <t>Ctype</t>
  </si>
  <si>
    <t>~FI_T</t>
  </si>
  <si>
    <t>~FI_Comm</t>
  </si>
  <si>
    <t>EFF</t>
  </si>
  <si>
    <t>AFA</t>
  </si>
  <si>
    <t>~COMEMI</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</si>
  <si>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</si>
  <si>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</si>
  <si>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</si>
  <si>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</si>
  <si>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</si>
  <si>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</si>
  <si>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</si>
  <si>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</si>
  <si>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</si>
  <si>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</si>
  <si>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</si>
  <si>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</si>
  <si>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</si>
  <si>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</si>
  <si>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</si>
  <si>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</si>
  <si>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</si>
  <si>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</si>
  <si>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</si>
  <si>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Efficiency</t>
  </si>
  <si>
    <t>Existing Installed Capacity</t>
  </si>
  <si>
    <t>Annual Availability Factor</t>
  </si>
  <si>
    <t>Processes</t>
  </si>
  <si>
    <t>Variable O&amp;M Cost</t>
  </si>
  <si>
    <t>Fixed O&amp;M Cost</t>
  </si>
  <si>
    <t>*TechDesc</t>
  </si>
  <si>
    <t>CUM</t>
  </si>
  <si>
    <t>COST</t>
  </si>
  <si>
    <t>Reserves Cumulative Value</t>
  </si>
  <si>
    <t>Extraction cost or Import Price or Export Price</t>
  </si>
  <si>
    <t>*Commodity Set Membership</t>
  </si>
  <si>
    <t>*Process Set Membership</t>
  </si>
  <si>
    <t>*Technology Name</t>
  </si>
  <si>
    <t>Sense of the Balance EQN.</t>
  </si>
  <si>
    <t>Timeslice Level</t>
  </si>
  <si>
    <t>* Characterize processes</t>
  </si>
  <si>
    <t>Primary Commodity Group</t>
  </si>
  <si>
    <t>TimeSlice level of Process Activity</t>
  </si>
  <si>
    <t>NRG</t>
  </si>
  <si>
    <t>Anthracite</t>
  </si>
  <si>
    <t>Diesel</t>
  </si>
  <si>
    <t>Feedstocks</t>
  </si>
  <si>
    <t>Gasoline</t>
  </si>
  <si>
    <t>Kerosene</t>
  </si>
  <si>
    <t>Naphtha</t>
  </si>
  <si>
    <t>Other petroleum products</t>
  </si>
  <si>
    <t>Wood</t>
  </si>
  <si>
    <t>Municipal waste</t>
  </si>
  <si>
    <t>Animal waste</t>
  </si>
  <si>
    <t>Biodiesel</t>
  </si>
  <si>
    <t>Bioethanol</t>
  </si>
  <si>
    <t>Biogas</t>
  </si>
  <si>
    <t>Pellet</t>
  </si>
  <si>
    <t>Charcoal</t>
  </si>
  <si>
    <t>RME</t>
  </si>
  <si>
    <t>HVO</t>
  </si>
  <si>
    <t>Rape seed oil</t>
  </si>
  <si>
    <t>DME</t>
  </si>
  <si>
    <t>Nuclear Fuel</t>
  </si>
  <si>
    <t>ELC</t>
  </si>
  <si>
    <t>PJ</t>
  </si>
  <si>
    <t>Other bituminous coal</t>
  </si>
  <si>
    <t>Coke oven coke</t>
  </si>
  <si>
    <t>Coal tar</t>
  </si>
  <si>
    <t>BKB (brown coal briquettes)</t>
  </si>
  <si>
    <t>Natural gas liquids</t>
  </si>
  <si>
    <t>Refinery gas</t>
  </si>
  <si>
    <t>Aviation Gasoline</t>
  </si>
  <si>
    <t>Liquified petroleum gas</t>
  </si>
  <si>
    <t>Petroleum Coke</t>
  </si>
  <si>
    <t>Bitumen</t>
  </si>
  <si>
    <t>Lubricants</t>
  </si>
  <si>
    <t>Oil Shale</t>
  </si>
  <si>
    <t>Shale Oil</t>
  </si>
  <si>
    <t>Pure Bioethanol</t>
  </si>
  <si>
    <t>Hydro Energy</t>
  </si>
  <si>
    <t>Solar Energy</t>
  </si>
  <si>
    <t>Wind Energy</t>
  </si>
  <si>
    <t>Geothermal Energy</t>
  </si>
  <si>
    <t>ENV</t>
  </si>
  <si>
    <t>Gg</t>
  </si>
  <si>
    <t>*Units</t>
  </si>
  <si>
    <t>Currency Unit</t>
  </si>
  <si>
    <t>Default Units</t>
  </si>
  <si>
    <t>Energy</t>
  </si>
  <si>
    <t>Emissions</t>
  </si>
  <si>
    <t>€/GJ</t>
  </si>
  <si>
    <t>*Region</t>
  </si>
  <si>
    <t>*</t>
  </si>
  <si>
    <t>Annual Extraction Bound</t>
  </si>
  <si>
    <t>Extraction and Treatment Processes</t>
  </si>
  <si>
    <t>PRE</t>
  </si>
  <si>
    <t>Input of fuel per unit output</t>
  </si>
  <si>
    <t>Units</t>
  </si>
  <si>
    <t>Exports</t>
  </si>
  <si>
    <t>IMP</t>
  </si>
  <si>
    <t>Import Price</t>
  </si>
  <si>
    <t>Import Upper Bound</t>
  </si>
  <si>
    <t>EXP</t>
  </si>
  <si>
    <t>VDA_FLOP</t>
  </si>
  <si>
    <t>PRC_RESID</t>
  </si>
  <si>
    <t>* Definition of the Processes used in this worksheet</t>
  </si>
  <si>
    <t>kg/GJ</t>
  </si>
  <si>
    <t>Blast Furnaces</t>
  </si>
  <si>
    <t>Technical Lifetime of Process</t>
  </si>
  <si>
    <t>NCAP_TLIFE</t>
  </si>
  <si>
    <t>Reserve data for Crude Oil Fields</t>
  </si>
  <si>
    <t>Reserve data for Natural Gas Fields</t>
  </si>
  <si>
    <t>Commodity</t>
  </si>
  <si>
    <t>Gasoline Type Jet Fuel</t>
  </si>
  <si>
    <t>Fuel Oil</t>
  </si>
  <si>
    <t>White spirit and SBP</t>
  </si>
  <si>
    <t>Paraffin Waxes</t>
  </si>
  <si>
    <t>+</t>
  </si>
  <si>
    <t>Primary production</t>
  </si>
  <si>
    <t>B_100100</t>
  </si>
  <si>
    <t>Primary production receipt</t>
  </si>
  <si>
    <t>B_100110</t>
  </si>
  <si>
    <t>From other sources (Recovered products)</t>
  </si>
  <si>
    <t>B_100200</t>
  </si>
  <si>
    <t>of which From Oil Products</t>
  </si>
  <si>
    <t>B_150201</t>
  </si>
  <si>
    <t>of which From Natural Gas</t>
  </si>
  <si>
    <t>B_150202</t>
  </si>
  <si>
    <t>of which From Renewables</t>
  </si>
  <si>
    <t>B_150203</t>
  </si>
  <si>
    <t>of which From Coal</t>
  </si>
  <si>
    <t>B_150204</t>
  </si>
  <si>
    <t>Recycled products</t>
  </si>
  <si>
    <t>B_100210</t>
  </si>
  <si>
    <t>Imports</t>
  </si>
  <si>
    <t>B_100300</t>
  </si>
  <si>
    <t>Stock changes</t>
  </si>
  <si>
    <t>B_100400</t>
  </si>
  <si>
    <t>-</t>
  </si>
  <si>
    <t>B_100500</t>
  </si>
  <si>
    <t>Bunkers</t>
  </si>
  <si>
    <t>B_100800</t>
  </si>
  <si>
    <t>Direct use</t>
  </si>
  <si>
    <t>B_100112</t>
  </si>
  <si>
    <t>Oilseed Crops</t>
  </si>
  <si>
    <t>Industrial Waste</t>
  </si>
  <si>
    <t>Export Price</t>
  </si>
  <si>
    <t>Export Upper Bound</t>
  </si>
  <si>
    <t>COABIC</t>
  </si>
  <si>
    <t>COACOC</t>
  </si>
  <si>
    <t>COACTA</t>
  </si>
  <si>
    <t>COABKB</t>
  </si>
  <si>
    <t>OILNGL</t>
  </si>
  <si>
    <t>OILFDS</t>
  </si>
  <si>
    <t>OILRFG</t>
  </si>
  <si>
    <t>OILDSL</t>
  </si>
  <si>
    <t>OILGSL</t>
  </si>
  <si>
    <t>OILGSA</t>
  </si>
  <si>
    <t>OILLPG</t>
  </si>
  <si>
    <t>OILKER</t>
  </si>
  <si>
    <t>OILNAP</t>
  </si>
  <si>
    <t>OILPCK</t>
  </si>
  <si>
    <t>OILBIT</t>
  </si>
  <si>
    <t>OILLUB</t>
  </si>
  <si>
    <t>OILOTH</t>
  </si>
  <si>
    <t>OILOIS</t>
  </si>
  <si>
    <t>OILSHO</t>
  </si>
  <si>
    <t>GASBFG</t>
  </si>
  <si>
    <t>Blast Furnace Gas</t>
  </si>
  <si>
    <t>BIOLOG</t>
  </si>
  <si>
    <t>BIOWMU</t>
  </si>
  <si>
    <t>BIOWID</t>
  </si>
  <si>
    <t>BIOWAN</t>
  </si>
  <si>
    <t>BIOBST</t>
  </si>
  <si>
    <t>BIOBGC</t>
  </si>
  <si>
    <t>BIOBOS</t>
  </si>
  <si>
    <t>BIOETH</t>
  </si>
  <si>
    <t>BIORME</t>
  </si>
  <si>
    <t>BIOHVO</t>
  </si>
  <si>
    <t>BIODME</t>
  </si>
  <si>
    <t>BIODSL</t>
  </si>
  <si>
    <t>BIOBGS</t>
  </si>
  <si>
    <t>BIOPLT</t>
  </si>
  <si>
    <t>BIOCHR</t>
  </si>
  <si>
    <t>BIORPS</t>
  </si>
  <si>
    <t>RESHYD</t>
  </si>
  <si>
    <t>RESSOL</t>
  </si>
  <si>
    <t>RESWIN</t>
  </si>
  <si>
    <t>RESGEO</t>
  </si>
  <si>
    <t>NUCLFL</t>
  </si>
  <si>
    <t>RSVCOABIC</t>
  </si>
  <si>
    <t>PIPOILCRD</t>
  </si>
  <si>
    <t>Crude oil in Pipeline  (PIP)</t>
  </si>
  <si>
    <t>RSVOILCRD</t>
  </si>
  <si>
    <t>Crude oil reserves (RSV)</t>
  </si>
  <si>
    <t>PITGASNAT</t>
  </si>
  <si>
    <t>N. Gas Tansportation (PIT)</t>
  </si>
  <si>
    <t>RSVGASNAT</t>
  </si>
  <si>
    <t>N. Gas (RSV)</t>
  </si>
  <si>
    <t>SUPCOACCL</t>
  </si>
  <si>
    <t>Coking coal (SUP)</t>
  </si>
  <si>
    <t>SUPCOABIC</t>
  </si>
  <si>
    <t>SUPCOACOC</t>
  </si>
  <si>
    <t>Coke oven coke (SUP)</t>
  </si>
  <si>
    <t>SUPCOACTA</t>
  </si>
  <si>
    <t>Coal tar (SUP)</t>
  </si>
  <si>
    <t>SUPCOABKB</t>
  </si>
  <si>
    <t>BKB (brown coal briquettes) (SUP)</t>
  </si>
  <si>
    <t>SUPOILCRD</t>
  </si>
  <si>
    <t>Crude Oil (SUP)</t>
  </si>
  <si>
    <t>SUPOILNGL</t>
  </si>
  <si>
    <t>Natural gas liquids (SUP)</t>
  </si>
  <si>
    <t>SUPOILFDS</t>
  </si>
  <si>
    <t>Feedstocks (SUP)</t>
  </si>
  <si>
    <t>SUPOILRFG</t>
  </si>
  <si>
    <t>Refinery gas (SUP)</t>
  </si>
  <si>
    <t>SUPOILDSL</t>
  </si>
  <si>
    <t>Diesel (SUP)</t>
  </si>
  <si>
    <t>SUPOILGSL</t>
  </si>
  <si>
    <t>Gasoline (SUP)</t>
  </si>
  <si>
    <t>SUPOILLPG</t>
  </si>
  <si>
    <t>Liquified petroleum gas (SUP)</t>
  </si>
  <si>
    <t>SUPOILKER</t>
  </si>
  <si>
    <t>Kerosene (SUP)</t>
  </si>
  <si>
    <t>SUPOILNAP</t>
  </si>
  <si>
    <t>Naphtha (SUP)</t>
  </si>
  <si>
    <t>SUPOILPCK</t>
  </si>
  <si>
    <t>Petroleum Coke (SUP)</t>
  </si>
  <si>
    <t>SUPOILOTH</t>
  </si>
  <si>
    <t>Other petroleum products (SUP)</t>
  </si>
  <si>
    <t>SUPOILOIS</t>
  </si>
  <si>
    <t>Oil Shale (SUP)</t>
  </si>
  <si>
    <t>SUPOILSHO</t>
  </si>
  <si>
    <t>Shale Oil (SUP)</t>
  </si>
  <si>
    <t>SUPGASNAT</t>
  </si>
  <si>
    <t>Natural Gas (SUP)</t>
  </si>
  <si>
    <t>SUPGASBFG</t>
  </si>
  <si>
    <t>Blast Furnace Gas (SUP)</t>
  </si>
  <si>
    <t>SUPBIOLOG</t>
  </si>
  <si>
    <t>Wood (SUP)</t>
  </si>
  <si>
    <t>SUPBIOWMU</t>
  </si>
  <si>
    <t>Municipal waste (SUP)</t>
  </si>
  <si>
    <t>SUPBIOWID</t>
  </si>
  <si>
    <t>Industrial Waste (SUP)</t>
  </si>
  <si>
    <t>SUPBIOWAN</t>
  </si>
  <si>
    <t>Animal waste (SUP)</t>
  </si>
  <si>
    <t>SUPBIOWCO</t>
  </si>
  <si>
    <t>Waste cooking oils (SUP)</t>
  </si>
  <si>
    <t>SUPBIOETH</t>
  </si>
  <si>
    <t>Pure Bioethanol (SUP)</t>
  </si>
  <si>
    <t>SUPBIORME</t>
  </si>
  <si>
    <t>RME (SUP)</t>
  </si>
  <si>
    <t>SUPBIOHVO</t>
  </si>
  <si>
    <t>HVO (SUP)</t>
  </si>
  <si>
    <t>SUPBIODME</t>
  </si>
  <si>
    <t>DME (SUP)</t>
  </si>
  <si>
    <t>SUPBIODSL</t>
  </si>
  <si>
    <t>Biodiesel (SUP)</t>
  </si>
  <si>
    <t>Bioethanol (SUP)</t>
  </si>
  <si>
    <t>SUPBIOBGS</t>
  </si>
  <si>
    <t>Biogas (SUP)</t>
  </si>
  <si>
    <t>SUPBIOPLT</t>
  </si>
  <si>
    <t>Pellet (SUP)</t>
  </si>
  <si>
    <t>SUPBIOCHR</t>
  </si>
  <si>
    <t>Charcoal (SUP)</t>
  </si>
  <si>
    <t>SUPBIORPS</t>
  </si>
  <si>
    <t>Rape seed oil (SUP)</t>
  </si>
  <si>
    <t>SUPRESHYD</t>
  </si>
  <si>
    <t>Hydro Energy (SUP)</t>
  </si>
  <si>
    <t>SUPRESSOL</t>
  </si>
  <si>
    <t>Solar Energy (SUP)</t>
  </si>
  <si>
    <t>SUPRESWIN</t>
  </si>
  <si>
    <t>Wind Energy (SUP)</t>
  </si>
  <si>
    <t>SUPRESGEO</t>
  </si>
  <si>
    <t>Geothermal Energy (SUP)</t>
  </si>
  <si>
    <t>DAYNITE</t>
  </si>
  <si>
    <t>SUPELC</t>
  </si>
  <si>
    <t>Electricity (SUP)</t>
  </si>
  <si>
    <t>SUPCO2</t>
  </si>
  <si>
    <t>CO2 (SUP)</t>
  </si>
  <si>
    <t>SUPCH4</t>
  </si>
  <si>
    <t>CH4 (SUP)</t>
  </si>
  <si>
    <t>SUPN2O</t>
  </si>
  <si>
    <t>N2O (SUP)</t>
  </si>
  <si>
    <t>* Definition of the Commodities used in this workbook</t>
  </si>
  <si>
    <t>Gross inland consumption</t>
  </si>
  <si>
    <t>B_100900</t>
  </si>
  <si>
    <t>Transformation input</t>
  </si>
  <si>
    <t>B_101000</t>
  </si>
  <si>
    <t>Conventional Thermal Power Stations</t>
  </si>
  <si>
    <t>B_101001</t>
  </si>
  <si>
    <t>Main Activity Producer Conventional Thermal Power Stations</t>
  </si>
  <si>
    <t>B_101021</t>
  </si>
  <si>
    <t>Main Activity Producer Electricity Plants</t>
  </si>
  <si>
    <t>B_101031</t>
  </si>
  <si>
    <t>Main Activity Producer CHP Plants</t>
  </si>
  <si>
    <t>B_101032</t>
  </si>
  <si>
    <t>Autoproducer Conventional Thermal Power Stations</t>
  </si>
  <si>
    <t>B_101022</t>
  </si>
  <si>
    <t>Autoproducer Electricity Plants</t>
  </si>
  <si>
    <t>B_101034</t>
  </si>
  <si>
    <t>Autoproducer CHP Plants</t>
  </si>
  <si>
    <t>B_101035</t>
  </si>
  <si>
    <t>Used for electricity generation</t>
  </si>
  <si>
    <t>B_101017</t>
  </si>
  <si>
    <t>Nuclear Power Stations</t>
  </si>
  <si>
    <t>B_101002</t>
  </si>
  <si>
    <t>Coke-ovens</t>
  </si>
  <si>
    <t>B_101004</t>
  </si>
  <si>
    <t>Blast-furnaces</t>
  </si>
  <si>
    <t>B_101006</t>
  </si>
  <si>
    <t>Gas works</t>
  </si>
  <si>
    <t>B_101007</t>
  </si>
  <si>
    <t>Refineries</t>
  </si>
  <si>
    <t>B_101008</t>
  </si>
  <si>
    <t>District heating plants</t>
  </si>
  <si>
    <t>B_101009</t>
  </si>
  <si>
    <t>Main Activity Producer Heat Only Plants</t>
  </si>
  <si>
    <t>B_101038</t>
  </si>
  <si>
    <t>Autoproducer Heat Only Plants</t>
  </si>
  <si>
    <t>B_101039</t>
  </si>
  <si>
    <t>Used for heat pumps</t>
  </si>
  <si>
    <t>B_101322</t>
  </si>
  <si>
    <t>Used for electric boilers</t>
  </si>
  <si>
    <t>B_101323</t>
  </si>
  <si>
    <t>Patent fuel plants</t>
  </si>
  <si>
    <t>B_101010</t>
  </si>
  <si>
    <t>BKB / PB Plants</t>
  </si>
  <si>
    <t>B_101011</t>
  </si>
  <si>
    <t>Coal Liquefaction Plants</t>
  </si>
  <si>
    <t>B_101012</t>
  </si>
  <si>
    <t>For Blended Natural Gas</t>
  </si>
  <si>
    <t>B_101013</t>
  </si>
  <si>
    <t>Charcoal production plants (transformation)</t>
  </si>
  <si>
    <t>B_101015</t>
  </si>
  <si>
    <t>Gas-to-Liquids (GTL) Plants (transformation)</t>
  </si>
  <si>
    <t>B_101016</t>
  </si>
  <si>
    <t>Non-specified Transformation Input</t>
  </si>
  <si>
    <t>B_101020</t>
  </si>
  <si>
    <t>Transformation output</t>
  </si>
  <si>
    <t>B_101100</t>
  </si>
  <si>
    <t>B_101101</t>
  </si>
  <si>
    <t>B_101121</t>
  </si>
  <si>
    <t>El. Gen. Main activity electricity only - Geothermal</t>
  </si>
  <si>
    <t>15_107038</t>
  </si>
  <si>
    <t>El. Gen. Main activity electricity only - Combustible Fuels</t>
  </si>
  <si>
    <t>15_107048</t>
  </si>
  <si>
    <t>El. Gen. Main activity electricity only - Other Sources</t>
  </si>
  <si>
    <t>15_107054</t>
  </si>
  <si>
    <t>El. Gen. Main activity electricity only - Solar Thermal</t>
  </si>
  <si>
    <t>14_1070422</t>
  </si>
  <si>
    <t>El. Gen. Main activity CHP plants - Geothermal</t>
  </si>
  <si>
    <t>15_107039</t>
  </si>
  <si>
    <t>El. Gen. Main activity CHP plants - Combustible Fuels</t>
  </si>
  <si>
    <t>15_107049</t>
  </si>
  <si>
    <t>El. Gen. Main activity CHP plants - Other Sources</t>
  </si>
  <si>
    <t>15_107055</t>
  </si>
  <si>
    <t>El. Gen. Main activity CHP plants - Solar Thermal</t>
  </si>
  <si>
    <t>14_1070423</t>
  </si>
  <si>
    <t>Heat Prod. Main activity CHP plants - Geothermal</t>
  </si>
  <si>
    <t>15_107064</t>
  </si>
  <si>
    <t>Heat Prod. Main activity CHP plants - Combustible Fuels</t>
  </si>
  <si>
    <t>15_107072</t>
  </si>
  <si>
    <t>Heat Prod. Main activity CHP plants - Heat Pumps</t>
  </si>
  <si>
    <t>15_107076</t>
  </si>
  <si>
    <t>Heat Prod. Main activity CHP plants - Electric Boilers</t>
  </si>
  <si>
    <t>15_107080</t>
  </si>
  <si>
    <t>Heat Prod. Main activity CHP plants - Other Sources</t>
  </si>
  <si>
    <t>15_107086</t>
  </si>
  <si>
    <t>Heat Prod. Main activity CHP plants - Solar Thermal</t>
  </si>
  <si>
    <t>14_1070681</t>
  </si>
  <si>
    <t>B_101122</t>
  </si>
  <si>
    <t>El. Gen. Autoproducer electricity only - Geothermal</t>
  </si>
  <si>
    <t>15_107040</t>
  </si>
  <si>
    <t>El. Gen. Autoproducer electricity only - Combustible Fuels</t>
  </si>
  <si>
    <t>15_107050</t>
  </si>
  <si>
    <t>El. Gen. Autoproducer electricity only - Heat from Chemical Sources</t>
  </si>
  <si>
    <t>15_107052</t>
  </si>
  <si>
    <t>El. Gen. Autoproducer electricity only - Other Sources</t>
  </si>
  <si>
    <t>15_107056</t>
  </si>
  <si>
    <t>El. Gen. Autoproducer electricity only - Solar Thermal</t>
  </si>
  <si>
    <t>14_1070432</t>
  </si>
  <si>
    <t>El. Gen. Autoproducer CHP plants - Geothermal</t>
  </si>
  <si>
    <t>15_107041</t>
  </si>
  <si>
    <t>El. Gen. Autoproducer CHP plants - Combustible Fuels</t>
  </si>
  <si>
    <t>15_107051</t>
  </si>
  <si>
    <t>El. Gen. Autoproducer CHP plants - Heat from Chemical Sources</t>
  </si>
  <si>
    <t>15_107053</t>
  </si>
  <si>
    <t>El. Gen. Autoproducer CHP plants - Other Sources</t>
  </si>
  <si>
    <t>15_107057</t>
  </si>
  <si>
    <t>El. Gen. Autoproducer CHP plants - Solar Thermal</t>
  </si>
  <si>
    <t>14_1070433</t>
  </si>
  <si>
    <t>Heat Prod. Autoproducer CHP plants - Geothermal</t>
  </si>
  <si>
    <t>15_107066</t>
  </si>
  <si>
    <t>Heat Prod. Autoproducer CHP plants - Combustible Fuels</t>
  </si>
  <si>
    <t>15_107074</t>
  </si>
  <si>
    <t>Heat Prod. Autoproducer CHP plants - Heat Pumps</t>
  </si>
  <si>
    <t>15_107078</t>
  </si>
  <si>
    <t>Heat Prod. Autoproducer CHP plants - Electric Boilers</t>
  </si>
  <si>
    <t>15_107082</t>
  </si>
  <si>
    <t>Heat Prod. Autoproducer CHP plants - Heat from Chemical Sources</t>
  </si>
  <si>
    <t>15_107084</t>
  </si>
  <si>
    <t>Heat Prod. Autoproducer CHP plants - Other Sources</t>
  </si>
  <si>
    <t>15_107088</t>
  </si>
  <si>
    <t>Heat Prod. Autoproducer CHP plants - Solar Thermal</t>
  </si>
  <si>
    <t>14_1070701</t>
  </si>
  <si>
    <t>Nuclear power stations</t>
  </si>
  <si>
    <t>B_101102</t>
  </si>
  <si>
    <t>El. Gen. Main Activity electricity only - Nuclear</t>
  </si>
  <si>
    <t>15_107030</t>
  </si>
  <si>
    <t>El. Gen. Main Activity CHP plants - Nuclear</t>
  </si>
  <si>
    <t>15_107031</t>
  </si>
  <si>
    <t>El. Gen. Autoproducer electricity only - Nuclear</t>
  </si>
  <si>
    <t>15_107032</t>
  </si>
  <si>
    <t>El. Gen. Autoproducer CHP plants - Nuclear</t>
  </si>
  <si>
    <t>15_107033</t>
  </si>
  <si>
    <t>Heat Prod. Main Activity CHP plants - Nuclear</t>
  </si>
  <si>
    <t>15_107060</t>
  </si>
  <si>
    <t>Heat Prod. Autoproducer CHP plants - Nuclear</t>
  </si>
  <si>
    <t>15_107062</t>
  </si>
  <si>
    <t>B_101104</t>
  </si>
  <si>
    <t>B_101106</t>
  </si>
  <si>
    <t>B_101107</t>
  </si>
  <si>
    <t>B_101108</t>
  </si>
  <si>
    <t>Patent Fuel Plants</t>
  </si>
  <si>
    <t>B_101110</t>
  </si>
  <si>
    <t>B_101111</t>
  </si>
  <si>
    <t>Charcoal production plants</t>
  </si>
  <si>
    <t>B_101115</t>
  </si>
  <si>
    <t>District Heating Plants</t>
  </si>
  <si>
    <t>B_101109</t>
  </si>
  <si>
    <t>Heat Prod. Main activity heat only plants - Nuclear</t>
  </si>
  <si>
    <t>15_107061</t>
  </si>
  <si>
    <t>Heat Prod. Main activity heat only plants - Geothermal</t>
  </si>
  <si>
    <t>15_107065</t>
  </si>
  <si>
    <t>Heat Prod. Main activity heat only plants - Combustible Fuels</t>
  </si>
  <si>
    <t>15_107073</t>
  </si>
  <si>
    <t>Heat Prod. Main activity heat only plants - Heat Pumps</t>
  </si>
  <si>
    <t>15_107077</t>
  </si>
  <si>
    <t>Heat Prod. Main activity heat only plants - Electric Boilers</t>
  </si>
  <si>
    <t>15_107081</t>
  </si>
  <si>
    <t>Heat Prod. Main activity heat only plants - Other Sources</t>
  </si>
  <si>
    <t>15_107087</t>
  </si>
  <si>
    <t>Heat Prod. Main activity heat only plants - Solar Thermal</t>
  </si>
  <si>
    <t>14_1070691</t>
  </si>
  <si>
    <t>Heat Prod. Autoproducer heat only plants - Nuclear</t>
  </si>
  <si>
    <t>15_107063</t>
  </si>
  <si>
    <t>Heat Prod. Autoproducer heat only plants - Geothermal</t>
  </si>
  <si>
    <t>15_107067</t>
  </si>
  <si>
    <t>Heat Prod. Autoproducer heat only plants - Combustible Fuels</t>
  </si>
  <si>
    <t>15_107075</t>
  </si>
  <si>
    <t>Heat Prod. Autoproducer heat only plants - Heat Pumps</t>
  </si>
  <si>
    <t>15_107079</t>
  </si>
  <si>
    <t>Heat Prod. Autoproducer heat only plants - Electric Boilers</t>
  </si>
  <si>
    <t>15_107083</t>
  </si>
  <si>
    <t>Heat Prod. Autoproducer heat only plants - Heat from Chemical Sources</t>
  </si>
  <si>
    <t>15_107085</t>
  </si>
  <si>
    <t>Heat Prod. Autoproducer heat only plants - Other Sources</t>
  </si>
  <si>
    <t>15_107089</t>
  </si>
  <si>
    <t>Heat Prod. Autoproducer heat only plants - Solar Thermal</t>
  </si>
  <si>
    <t>14_1070711</t>
  </si>
  <si>
    <t>Exchanges and transfers, returns</t>
  </si>
  <si>
    <t>B_101200</t>
  </si>
  <si>
    <t>Interproduct tranfers</t>
  </si>
  <si>
    <t>B_101210</t>
  </si>
  <si>
    <t>Products transferred</t>
  </si>
  <si>
    <t>B_101220</t>
  </si>
  <si>
    <t>Petrochemical industry (Returns from petrochem. Industry)</t>
  </si>
  <si>
    <t>B_101230</t>
  </si>
  <si>
    <t>Consumption of the energy branch</t>
  </si>
  <si>
    <t>B_101300</t>
  </si>
  <si>
    <t>Own Use in Electricity, CHP and Heat Plants</t>
  </si>
  <si>
    <t>B_101301</t>
  </si>
  <si>
    <t>Pumped storage power stations balance (Pumping stations)</t>
  </si>
  <si>
    <t>B_101302</t>
  </si>
  <si>
    <t>Used for pumped storage</t>
  </si>
  <si>
    <t>17_107302</t>
  </si>
  <si>
    <t>Production in pumped storage power station</t>
  </si>
  <si>
    <t>17_107301</t>
  </si>
  <si>
    <t>El. Gen. Main Activity electricity only - Pumped Hydro</t>
  </si>
  <si>
    <t>15_107036</t>
  </si>
  <si>
    <t>El. Gen. Autoproducer electricity only - Pumped Hydro</t>
  </si>
  <si>
    <t>15_107037</t>
  </si>
  <si>
    <t>Oil and Natural Gas extraction plants</t>
  </si>
  <si>
    <t>B_101305</t>
  </si>
  <si>
    <t>Oil refineries (Petroleum Refineries)</t>
  </si>
  <si>
    <t>B_101307</t>
  </si>
  <si>
    <t>Nuclear industry</t>
  </si>
  <si>
    <t>B_101308</t>
  </si>
  <si>
    <t>Coal Mines</t>
  </si>
  <si>
    <t>B_101310</t>
  </si>
  <si>
    <t>B_101311</t>
  </si>
  <si>
    <t>Coke Ovens</t>
  </si>
  <si>
    <t>B_101312</t>
  </si>
  <si>
    <t>B_101313</t>
  </si>
  <si>
    <t>B_101314</t>
  </si>
  <si>
    <t>B_101315</t>
  </si>
  <si>
    <t>B_101316</t>
  </si>
  <si>
    <t>Liquefaction (LNG) / regasification plants</t>
  </si>
  <si>
    <t>B_101317</t>
  </si>
  <si>
    <t>Gasification plants for biogas</t>
  </si>
  <si>
    <t>B_101318</t>
  </si>
  <si>
    <t>Gas-to-Liquids (GTL) Plants (Energy)</t>
  </si>
  <si>
    <t>B_101319</t>
  </si>
  <si>
    <t>Non-specified (Energy)</t>
  </si>
  <si>
    <t>B_101320</t>
  </si>
  <si>
    <t>Charcoal production plants (Energy)</t>
  </si>
  <si>
    <t>B_101321</t>
  </si>
  <si>
    <t>Distribution losses</t>
  </si>
  <si>
    <t>B_101400</t>
  </si>
  <si>
    <t>OILCRD</t>
  </si>
  <si>
    <t>Crude Oil</t>
  </si>
  <si>
    <t>STGCOALIG</t>
  </si>
  <si>
    <t>Lignite/Brown Coal (STG)</t>
  </si>
  <si>
    <t>STGOILCRD</t>
  </si>
  <si>
    <t>Crude Oil (STG)</t>
  </si>
  <si>
    <t>STGGASNAT</t>
  </si>
  <si>
    <t>N. Gas (STG)</t>
  </si>
  <si>
    <t>*Units:</t>
  </si>
  <si>
    <t>Infrastructure for fuels Consumed in the Supply/Transformation Sectors</t>
  </si>
  <si>
    <t>ELE</t>
  </si>
  <si>
    <t>Input per unit output</t>
  </si>
  <si>
    <t>Activity to Capacity Units</t>
  </si>
  <si>
    <t>PJ/GW</t>
  </si>
  <si>
    <t>ACT_BND</t>
  </si>
  <si>
    <t>ACT_BND~UP</t>
  </si>
  <si>
    <t>Comm-IN-A</t>
  </si>
  <si>
    <t>INVCOST</t>
  </si>
  <si>
    <t>PRC_CAPACT</t>
  </si>
  <si>
    <t>SUPHTH</t>
  </si>
  <si>
    <t>Heat (SUP)</t>
  </si>
  <si>
    <t>SEASON</t>
  </si>
  <si>
    <t>ELCMLO</t>
  </si>
  <si>
    <t>Medium-Low Voltage electricity</t>
  </si>
  <si>
    <t>Lignite N. Tesla A</t>
  </si>
  <si>
    <t>Lignite N. Tesla B</t>
  </si>
  <si>
    <t>Lignite Kolubara A</t>
  </si>
  <si>
    <t>Lignite Kostolac A</t>
  </si>
  <si>
    <t>Lignite Kostolac B</t>
  </si>
  <si>
    <t>Lignite Morava</t>
  </si>
  <si>
    <t>[0 - 1]</t>
  </si>
  <si>
    <t>BASE_YEAR</t>
  </si>
  <si>
    <t>END_YEAR</t>
  </si>
  <si>
    <t>Units by Attribute and Sector</t>
  </si>
  <si>
    <t>Attribute</t>
  </si>
  <si>
    <t>Meaning</t>
  </si>
  <si>
    <t>Sector</t>
  </si>
  <si>
    <t>Equivalent</t>
  </si>
  <si>
    <t>COMEMI</t>
  </si>
  <si>
    <t>Emission Coefficient</t>
  </si>
  <si>
    <t>All</t>
  </si>
  <si>
    <t>Mining</t>
  </si>
  <si>
    <t>Annual Bound</t>
  </si>
  <si>
    <t>Extraction cost/Import Cost/Export cost</t>
  </si>
  <si>
    <t>Capacity to Activity</t>
  </si>
  <si>
    <t>Capacity</t>
  </si>
  <si>
    <t>GJ/kW</t>
  </si>
  <si>
    <t>€/GJ/a</t>
  </si>
  <si>
    <t>GW</t>
  </si>
  <si>
    <t>Pja</t>
  </si>
  <si>
    <t>€/PJ</t>
  </si>
  <si>
    <t>Import of Oil&amp;Oil Products</t>
  </si>
  <si>
    <t>chek balance</t>
  </si>
  <si>
    <t>Export of Oil&amp;Oil Products</t>
  </si>
  <si>
    <t>TRANSFORMATION OF OIL</t>
  </si>
  <si>
    <t>Oil Transformation Technologies</t>
  </si>
  <si>
    <t>Share of output</t>
  </si>
  <si>
    <t>(%)</t>
  </si>
  <si>
    <t>Consumption</t>
  </si>
  <si>
    <t>Transportation of natural gas</t>
  </si>
  <si>
    <t>RSVSHALEOIL</t>
  </si>
  <si>
    <t>OILCRDREF</t>
  </si>
  <si>
    <t>OILADD</t>
  </si>
  <si>
    <t>OILETH</t>
  </si>
  <si>
    <t>OILOHC</t>
  </si>
  <si>
    <t>OILGJET</t>
  </si>
  <si>
    <t>OILWHTSP</t>
  </si>
  <si>
    <t>OILWAX</t>
  </si>
  <si>
    <t>STGOILFDS</t>
  </si>
  <si>
    <t>STGOILDSL</t>
  </si>
  <si>
    <t>STGOILGSL</t>
  </si>
  <si>
    <t>STGOILGSA</t>
  </si>
  <si>
    <t>STGOILLPG</t>
  </si>
  <si>
    <t>STGOILHFO1</t>
  </si>
  <si>
    <t>STGOILHFO2</t>
  </si>
  <si>
    <t>STGOILKER</t>
  </si>
  <si>
    <t>STGOILNAP</t>
  </si>
  <si>
    <t>STGOILPCK</t>
  </si>
  <si>
    <t>STGOILBIT</t>
  </si>
  <si>
    <t>STGOILETH</t>
  </si>
  <si>
    <t>STGOILGJET</t>
  </si>
  <si>
    <t>STGOILWHTSP</t>
  </si>
  <si>
    <t>STGOILWAX</t>
  </si>
  <si>
    <t>SUPOILGSA</t>
  </si>
  <si>
    <t>SUPOILBIT</t>
  </si>
  <si>
    <t>SUPOILLUB</t>
  </si>
  <si>
    <t>SUPOILADD</t>
  </si>
  <si>
    <t>SUPOILETH</t>
  </si>
  <si>
    <t>SUPOILKJET</t>
  </si>
  <si>
    <t>SUPOILWHTSP</t>
  </si>
  <si>
    <t>SUPOILWAX</t>
  </si>
  <si>
    <t>Shale Oil (RSV)</t>
  </si>
  <si>
    <t>Crude oil for refining</t>
  </si>
  <si>
    <t>Additives-Oxygenates</t>
  </si>
  <si>
    <t>Ethane</t>
  </si>
  <si>
    <t>Other hydrocarbons</t>
  </si>
  <si>
    <t>Aviation Gasoline (SUP)</t>
  </si>
  <si>
    <t>Bitumen (SUP)</t>
  </si>
  <si>
    <t>Lubricants (SUP)</t>
  </si>
  <si>
    <t>Ethane (SUP)</t>
  </si>
  <si>
    <t>Kerosene Type Jet Fuel (SUP)</t>
  </si>
  <si>
    <t>White spirit and SBP (SUP)</t>
  </si>
  <si>
    <t>Paraffin Waxes (SUP)</t>
  </si>
  <si>
    <t>Auxiliary commodity</t>
  </si>
  <si>
    <t xml:space="preserve">Extraction cost </t>
  </si>
  <si>
    <t>REFHTH</t>
  </si>
  <si>
    <t>Refinery Heat Needs</t>
  </si>
  <si>
    <t>OILDSL_TR</t>
  </si>
  <si>
    <t>OILGSL_TR</t>
  </si>
  <si>
    <t>OILGSA_TR</t>
  </si>
  <si>
    <t>OILLPG_TR</t>
  </si>
  <si>
    <t>OILHFO1_TR</t>
  </si>
  <si>
    <t>OILKER_TR</t>
  </si>
  <si>
    <t>OILNAP_TR</t>
  </si>
  <si>
    <t>OILPCK_TR</t>
  </si>
  <si>
    <t>OILBIT_TR</t>
  </si>
  <si>
    <t>OILLUB_TR</t>
  </si>
  <si>
    <t>OILOTH_TR</t>
  </si>
  <si>
    <t>OILETH_TR</t>
  </si>
  <si>
    <t>OILGJET_TR</t>
  </si>
  <si>
    <t>OILWAX_TR</t>
  </si>
  <si>
    <t>Other petroleum products (Transported)</t>
  </si>
  <si>
    <t>STGOILOTH</t>
  </si>
  <si>
    <t>STGOILLUB</t>
  </si>
  <si>
    <t>Lubricants (Transported)</t>
  </si>
  <si>
    <t>Lubricants (STG)</t>
  </si>
  <si>
    <t>Other petroleum products (STG)</t>
  </si>
  <si>
    <t>GASNAT_HP</t>
  </si>
  <si>
    <t>GASNAT_MP</t>
  </si>
  <si>
    <t>GASNAT_LP</t>
  </si>
  <si>
    <t>High pressure natural gas</t>
  </si>
  <si>
    <t>Medium pressure natural gas</t>
  </si>
  <si>
    <t>Low pressure natural gas</t>
  </si>
  <si>
    <t>FCOST</t>
  </si>
  <si>
    <t>Delivery cost</t>
  </si>
  <si>
    <t>PJ/PJ</t>
  </si>
  <si>
    <t>Fuel Input Level</t>
  </si>
  <si>
    <t>STGOILNGL</t>
  </si>
  <si>
    <t>STGOILOHYD</t>
  </si>
  <si>
    <t>NGL(STG)</t>
  </si>
  <si>
    <t>Other Hydrocarbons(STG)</t>
  </si>
  <si>
    <t>STGOILADD</t>
  </si>
  <si>
    <t>Additives(STG)</t>
  </si>
  <si>
    <t>Source</t>
  </si>
  <si>
    <t>IPCC Emission Factor Database (2006 Values)available at  https://www.ipcc-nggip.iges.or.jp/EFDB/find_ef.php</t>
  </si>
  <si>
    <t>OILWHSP_TR</t>
  </si>
  <si>
    <t>OILHFO2_TR</t>
  </si>
  <si>
    <t>Share~UP</t>
  </si>
  <si>
    <t>Share~LO</t>
  </si>
  <si>
    <t>milm3 to ktoe</t>
  </si>
  <si>
    <t>Medium pressure distribution of natural gas</t>
  </si>
  <si>
    <t>Low pressure distribution of natural gas</t>
  </si>
  <si>
    <t>Import Lower Bound</t>
  </si>
  <si>
    <t>Potential for Renewable Energy Sources (Wind, Hydro, Solar, Geothermal)</t>
  </si>
  <si>
    <t xml:space="preserve">The renewable potentials will be controlled at a technology level in alternative scenarios. </t>
  </si>
  <si>
    <t>Potential</t>
  </si>
  <si>
    <t>Extraction cost</t>
  </si>
  <si>
    <t>Annual  Bound</t>
  </si>
  <si>
    <t>MIN</t>
  </si>
  <si>
    <t>Biomass Transformation Technologies</t>
  </si>
  <si>
    <t>Auxiliary Commodity</t>
  </si>
  <si>
    <t>Potential for Biomass Resources</t>
  </si>
  <si>
    <t>Alternative scenarios for different available potential exist in separate scenario files.</t>
  </si>
  <si>
    <t>Imports of Biomass and Charcoal</t>
  </si>
  <si>
    <t>Relaxation Upper Bound</t>
  </si>
  <si>
    <t>Relaxation Lower Bound</t>
  </si>
  <si>
    <t>ACT_BND~UP~2020</t>
  </si>
  <si>
    <t>ACT_BND~UP~2030</t>
  </si>
  <si>
    <t>ACT_BND~UP~2040</t>
  </si>
  <si>
    <t>ACT_BND~UP~2050</t>
  </si>
  <si>
    <t>ACT_BND~LO~2020</t>
  </si>
  <si>
    <t>ACT_BND~LO~2030</t>
  </si>
  <si>
    <t>ACT_BND~LO~2040</t>
  </si>
  <si>
    <t>ACT_BND~LO~2050</t>
  </si>
  <si>
    <t>Exports of Biomass and Charcoal</t>
  </si>
  <si>
    <t>Export Lower Bound</t>
  </si>
  <si>
    <t>Imports of Coal</t>
  </si>
  <si>
    <t>ACT_BND~LO</t>
  </si>
  <si>
    <t>Stocks of oil products</t>
  </si>
  <si>
    <t>Basic Unit Conversion Factors</t>
  </si>
  <si>
    <t>1Bbl</t>
  </si>
  <si>
    <t>GJ</t>
  </si>
  <si>
    <t>1 MBTU GAS</t>
  </si>
  <si>
    <t>1 TOE</t>
  </si>
  <si>
    <t>1 ktoe</t>
  </si>
  <si>
    <t>1 Kwh</t>
  </si>
  <si>
    <t xml:space="preserve">1 t coal </t>
  </si>
  <si>
    <t>10e7kcal</t>
  </si>
  <si>
    <t>PJ/an</t>
  </si>
  <si>
    <t>Investment Cost</t>
  </si>
  <si>
    <t>M€/PJ/a</t>
  </si>
  <si>
    <t xml:space="preserve">Share of Input of commodity </t>
  </si>
  <si>
    <t>NRGI</t>
  </si>
  <si>
    <t>Additives-Oxygenates (SUP)</t>
  </si>
  <si>
    <t>Ethane(STG)</t>
  </si>
  <si>
    <t>Gasoline Type Jet Fuel(STG)</t>
  </si>
  <si>
    <t>White spirit and SBP(STG)</t>
  </si>
  <si>
    <t>Paraffin Waxes(STG)</t>
  </si>
  <si>
    <t>Diesel(Transported)</t>
  </si>
  <si>
    <t>Gasoline(Transported)</t>
  </si>
  <si>
    <t>Aviation Gasoline(Transported)</t>
  </si>
  <si>
    <t>Liquified petroleum gas(Transported)</t>
  </si>
  <si>
    <t>Low Sulphur Fuel Oil(Transported)</t>
  </si>
  <si>
    <t>High Sulphur Fuel Oil(Transported)</t>
  </si>
  <si>
    <t>Kerosene(Transported)</t>
  </si>
  <si>
    <t>Naphtha(Transported)</t>
  </si>
  <si>
    <t>Petroleum Coke(Transported)</t>
  </si>
  <si>
    <t>Bitumen(Transported)</t>
  </si>
  <si>
    <t>Ethane(Transported)</t>
  </si>
  <si>
    <t>Gasoline Type Jet Fuel(Transported)</t>
  </si>
  <si>
    <t>White spirit and SBP(Transported)</t>
  </si>
  <si>
    <t>Paraffin Waxes(Transported)</t>
  </si>
  <si>
    <t>Diesel(STG)</t>
  </si>
  <si>
    <t>Gasoline(STG)</t>
  </si>
  <si>
    <t>Aviation Gasoline(STG)</t>
  </si>
  <si>
    <t>Liquified petroleum gas(STG)</t>
  </si>
  <si>
    <t>Low Sulphur Fuel Oil(STG)</t>
  </si>
  <si>
    <t>High Sulphur Fuel Oil(STG)</t>
  </si>
  <si>
    <t>Kerosene(STG)</t>
  </si>
  <si>
    <t>Naphtha(STG)</t>
  </si>
  <si>
    <t>Petroleum Coke(STG)</t>
  </si>
  <si>
    <t>Bitumen(STG)</t>
  </si>
  <si>
    <t>Crude Oil(STG)</t>
  </si>
  <si>
    <t>Feedstocks(STG)</t>
  </si>
  <si>
    <t>FLO_SHAR~UP</t>
  </si>
  <si>
    <t>[0 , 1]</t>
  </si>
  <si>
    <t>*Process Name</t>
  </si>
  <si>
    <t>Hydro Energy Potential</t>
  </si>
  <si>
    <t>Solar Energy Potential</t>
  </si>
  <si>
    <t>Wind Energy Potential</t>
  </si>
  <si>
    <t>Geothermal Energy Potential</t>
  </si>
  <si>
    <t>Fuel Tech -Refinery gas (SUP)</t>
  </si>
  <si>
    <t>Fuel Tech -Diesel (SUP)</t>
  </si>
  <si>
    <t>Fuel Tech -Gasoline (SUP)</t>
  </si>
  <si>
    <t>Fuel Tech -Liquified petroleum gas (SUP)</t>
  </si>
  <si>
    <t>Fuel Tech -Low Sulphur Fuel Oil (SUP)</t>
  </si>
  <si>
    <t>Fuel Tech -Kerosene (SUP)</t>
  </si>
  <si>
    <t>Fuel Tech -Naphtha (SUP)</t>
  </si>
  <si>
    <t>Fuel Tech -Petroleum Coke (SUP)</t>
  </si>
  <si>
    <t>Fuel Tech -Other petroleum products (SUP)</t>
  </si>
  <si>
    <t>Fuel Tech -Natural Gas (SUP)</t>
  </si>
  <si>
    <t>Fuel Tech -Wood (SUP)</t>
  </si>
  <si>
    <t>Fuel Tech -Electricity (SUP)</t>
  </si>
  <si>
    <t>OILHFO</t>
  </si>
  <si>
    <t>SUPOILHFO</t>
  </si>
  <si>
    <t>Fuel Oil (SUP)</t>
  </si>
  <si>
    <t>Agricultural Recidues Potential Step 1</t>
  </si>
  <si>
    <t>Agricultural Recidues Potential Step 2</t>
  </si>
  <si>
    <t>Agricultural Recidues Potential Step 3</t>
  </si>
  <si>
    <t>Municipal waste Potential</t>
  </si>
  <si>
    <t>Industrial Waste Potential</t>
  </si>
  <si>
    <t>Animal waste Potential</t>
  </si>
  <si>
    <t>Import Wood</t>
  </si>
  <si>
    <t>Import Charcoal</t>
  </si>
  <si>
    <t>Export Wood</t>
  </si>
  <si>
    <t>Export Charcoal</t>
  </si>
  <si>
    <t>Stocks of Wood</t>
  </si>
  <si>
    <t>Kilns for Charcoal</t>
  </si>
  <si>
    <t>Production of Pellet</t>
  </si>
  <si>
    <t>Animal and Industrial Waste to Biogas</t>
  </si>
  <si>
    <t>MSW to Biogas</t>
  </si>
  <si>
    <t xml:space="preserve"> </t>
  </si>
  <si>
    <t>Import of Liquified petroleum gas</t>
  </si>
  <si>
    <t>Import of Crude Oil</t>
  </si>
  <si>
    <t>Import of Diesel</t>
  </si>
  <si>
    <t>Import of Gasoline</t>
  </si>
  <si>
    <t>BY Stocks of HFO</t>
  </si>
  <si>
    <t>Import of Fuel Oil</t>
  </si>
  <si>
    <t>Import of Petroleum Coke</t>
  </si>
  <si>
    <t>Import of Bitumen</t>
  </si>
  <si>
    <t>Import of Lubricants</t>
  </si>
  <si>
    <t>Export of Diesel</t>
  </si>
  <si>
    <t>Export of Fuel Oil</t>
  </si>
  <si>
    <t>BY Stocks of Diesel</t>
  </si>
  <si>
    <t>BY Stocks of Gasoline</t>
  </si>
  <si>
    <t>BY Stocks of Kerosene</t>
  </si>
  <si>
    <t>BY Stocks of LPG</t>
  </si>
  <si>
    <t>BY Stocks of PetCoke</t>
  </si>
  <si>
    <t>BY Stocks of Crude Oil</t>
  </si>
  <si>
    <t>Relaxation Factors:</t>
  </si>
  <si>
    <t>PJa</t>
  </si>
  <si>
    <t>SPR_OILCRD_EXTR</t>
  </si>
  <si>
    <t>Extraction &amp; Processing of Crude Oil</t>
  </si>
  <si>
    <t>Extraction &amp; Processing of Natural Gas</t>
  </si>
  <si>
    <t>Existing transportation network of natural gas</t>
  </si>
  <si>
    <t>Existing MP Distribution network of natural gas</t>
  </si>
  <si>
    <t>Existing LP Distribution network of natural gas</t>
  </si>
  <si>
    <t>BY Stocks of  N. Gas</t>
  </si>
  <si>
    <t>SPRGASNAT_EXTR</t>
  </si>
  <si>
    <t>SPRGASNAT_TRN_E01</t>
  </si>
  <si>
    <t>SPRGASNAT_MP_E01</t>
  </si>
  <si>
    <t>SPRGASNAT_LP_E01</t>
  </si>
  <si>
    <t>SPRSTCKGASNAT</t>
  </si>
  <si>
    <t>Stock changes of N. Gas</t>
  </si>
  <si>
    <t>Wood briquettes and pellets, and other vegetable waste</t>
  </si>
  <si>
    <t>Firewood</t>
  </si>
  <si>
    <t>Wood waste</t>
  </si>
  <si>
    <t>Agricultural waste</t>
  </si>
  <si>
    <t>of which</t>
  </si>
  <si>
    <t>Stocks of coal products</t>
  </si>
  <si>
    <t>Firewood Potential Step 1</t>
  </si>
  <si>
    <t>Firewood Potential Step 2</t>
  </si>
  <si>
    <t>Firewood Potential Step 3</t>
  </si>
  <si>
    <t>Import BKB</t>
  </si>
  <si>
    <t>B_101945</t>
  </si>
  <si>
    <t>PJ/year</t>
  </si>
  <si>
    <t>BIOUCO</t>
  </si>
  <si>
    <t>Used cooking oils</t>
  </si>
  <si>
    <t>Sugar beet Residues</t>
  </si>
  <si>
    <t>BIOWIR</t>
  </si>
  <si>
    <t>Wine and distillery residues</t>
  </si>
  <si>
    <t>Grass/Straw Residues</t>
  </si>
  <si>
    <t>BIOSTA</t>
  </si>
  <si>
    <t>Starch Crops (wheat,corn)</t>
  </si>
  <si>
    <t>Fuel Tech -Biogas (SUP)</t>
  </si>
  <si>
    <t>Total all products</t>
  </si>
  <si>
    <t>Solid fuels</t>
  </si>
  <si>
    <t>Coking coal</t>
  </si>
  <si>
    <t>Sub-bituminous coal</t>
  </si>
  <si>
    <t>Lignite / Brown Coal</t>
  </si>
  <si>
    <t>Patent Fuels</t>
  </si>
  <si>
    <t>Gas coke</t>
  </si>
  <si>
    <t>BKB</t>
  </si>
  <si>
    <t>Peat</t>
  </si>
  <si>
    <t>Peat products</t>
  </si>
  <si>
    <t>Oil shale &amp; oil sands</t>
  </si>
  <si>
    <t>Oil (total)</t>
  </si>
  <si>
    <t>Crude oil</t>
  </si>
  <si>
    <t>Natural Gas Liguids</t>
  </si>
  <si>
    <t>Refinery Feedstocks</t>
  </si>
  <si>
    <t>Additives / Oxygenates</t>
  </si>
  <si>
    <t>Other Hydrocarb. (w/o bio)</t>
  </si>
  <si>
    <t>LPG</t>
  </si>
  <si>
    <t>Motor Gasoline (w/o bio)</t>
  </si>
  <si>
    <t>Kerosene Type Jet Fuel</t>
  </si>
  <si>
    <t>Other Kerosene</t>
  </si>
  <si>
    <t>Gas/Diesel Oil (w/o bio)</t>
  </si>
  <si>
    <t>Other Products</t>
  </si>
  <si>
    <t>Gas</t>
  </si>
  <si>
    <t>Natural gas</t>
  </si>
  <si>
    <t xml:space="preserve">Coke oven gas </t>
  </si>
  <si>
    <t>Blast furnace gas</t>
  </si>
  <si>
    <t>Gasworks gas</t>
  </si>
  <si>
    <t>Other recovered gas</t>
  </si>
  <si>
    <t>Total Renewables</t>
  </si>
  <si>
    <t>Hydro power</t>
  </si>
  <si>
    <t>Wind power</t>
  </si>
  <si>
    <t>Tide, wave and ocean</t>
  </si>
  <si>
    <t>Solar thermal</t>
  </si>
  <si>
    <t>Solar PV</t>
  </si>
  <si>
    <t>Solid biomass</t>
  </si>
  <si>
    <t>Biogas (all)</t>
  </si>
  <si>
    <t>Municipal wastes (renew.)</t>
  </si>
  <si>
    <t>Bio gasoline</t>
  </si>
  <si>
    <t>Bio jet kerosene</t>
  </si>
  <si>
    <t>Other liquid biofuels</t>
  </si>
  <si>
    <t>Geo-thermal</t>
  </si>
  <si>
    <t>Wastes (non ren.)</t>
  </si>
  <si>
    <t>Industrial wastes</t>
  </si>
  <si>
    <t>Municial wastes (non-ren.)</t>
  </si>
  <si>
    <t>Nuclear heat</t>
  </si>
  <si>
    <t>Derived heat</t>
  </si>
  <si>
    <t>Electricity</t>
  </si>
  <si>
    <t>COASUB</t>
  </si>
  <si>
    <t>COABCO</t>
  </si>
  <si>
    <t>Bituminous coal</t>
  </si>
  <si>
    <t>BrownCoal/Lignite</t>
  </si>
  <si>
    <t>Import of bituminous coal</t>
  </si>
  <si>
    <t>Import of Sub-bituminous coal</t>
  </si>
  <si>
    <t>Import of BrownCoal/Lignite</t>
  </si>
  <si>
    <t>COACOK</t>
  </si>
  <si>
    <t>CokingCoal</t>
  </si>
  <si>
    <t>Mining of bituminous coal</t>
  </si>
  <si>
    <t>Mining of Sub-bituminous coal</t>
  </si>
  <si>
    <t>Mining of BrownCoal/Lignite</t>
  </si>
  <si>
    <t>Mining of CokingCoal</t>
  </si>
  <si>
    <t>Oil reserves step1</t>
  </si>
  <si>
    <t>Oil reserves step2</t>
  </si>
  <si>
    <t>Oil reserves step3</t>
  </si>
  <si>
    <t>MINRSVGASNAT1</t>
  </si>
  <si>
    <t>Natural Gas Reserves step1</t>
  </si>
  <si>
    <t>Natural Gas Reserves step2</t>
  </si>
  <si>
    <t>Natural Gas Reserves step3</t>
  </si>
  <si>
    <t>MINRSVGASNAT2</t>
  </si>
  <si>
    <t>MINRSVGASNAT3</t>
  </si>
  <si>
    <t>Associated N. Gas (RSV)</t>
  </si>
  <si>
    <t>Associated Natural Gas Reserves step1</t>
  </si>
  <si>
    <t>Associated Natural Gas Reserves step2</t>
  </si>
  <si>
    <t>Associated Natural Gas Reserves step3</t>
  </si>
  <si>
    <t>SPRGASNAA_EXTR</t>
  </si>
  <si>
    <t>Extraction &amp; Processing of Associated Natural Gas</t>
  </si>
  <si>
    <t>IMPGASNAT_R1_E01</t>
  </si>
  <si>
    <t>Import of Natural Gas_Region1</t>
  </si>
  <si>
    <t>GASFLR</t>
  </si>
  <si>
    <t>BY Stocks of Bituminous coal</t>
  </si>
  <si>
    <t>BY Stocks of Sub-bituminous coal</t>
  </si>
  <si>
    <t>RSVGASNAA</t>
  </si>
  <si>
    <t>Natural gas liquids reserves step1</t>
  </si>
  <si>
    <t>Natural gas liquids reserves step2</t>
  </si>
  <si>
    <t>Natural gas liquids reserves step3</t>
  </si>
  <si>
    <t>2017</t>
  </si>
  <si>
    <t>Flaring (Natural gas)</t>
  </si>
  <si>
    <t>Flaring Natural gas</t>
  </si>
  <si>
    <t>SPR_FLAR</t>
  </si>
  <si>
    <t>Flared gas (in)</t>
  </si>
  <si>
    <t>Flared gas (out)</t>
  </si>
  <si>
    <t>GASFLRO</t>
  </si>
  <si>
    <t>FX</t>
  </si>
  <si>
    <t>Landfill gas???</t>
  </si>
  <si>
    <t>Export of Crude Oil</t>
  </si>
  <si>
    <t>Export of LPG</t>
  </si>
  <si>
    <t>Export of Gasoline</t>
  </si>
  <si>
    <t>Export of Natural gas liquids</t>
  </si>
  <si>
    <t>Export of bituminous coal</t>
  </si>
  <si>
    <t>Export of Sub-bituminous coal</t>
  </si>
  <si>
    <t>Export of BrownCoal/Lignite</t>
  </si>
  <si>
    <t>Import - Export of natural gas</t>
  </si>
  <si>
    <t>EXPGASNAT_R1_E01</t>
  </si>
  <si>
    <t>Export of Natural Gas_Region1</t>
  </si>
  <si>
    <t>N. Gas Tansportation-Export1 (PTE)</t>
  </si>
  <si>
    <t>PTEGASNAT1</t>
  </si>
  <si>
    <t>N. Gas Tansportation-Export2 (PTE)</t>
  </si>
  <si>
    <t>PTEGASNAT2</t>
  </si>
  <si>
    <t>SPR_OILCRD_EXTR-EN</t>
  </si>
  <si>
    <t>Extraction &amp; Processing of Crude Oil (Enhanced)</t>
  </si>
  <si>
    <t>RSVCOASUB</t>
  </si>
  <si>
    <t>RSVCOABCO</t>
  </si>
  <si>
    <t>Bituminous coal (RSV)</t>
  </si>
  <si>
    <t>Sub-bituminous coal (RSV)</t>
  </si>
  <si>
    <t>BrownCoal/Lignite (RSV)</t>
  </si>
  <si>
    <t>SPR_COABIC_EXTR</t>
  </si>
  <si>
    <t>SPR_COASUB_EXTR</t>
  </si>
  <si>
    <t>SPR_COABCO_EXTR</t>
  </si>
  <si>
    <t>Extraction of COABIC</t>
  </si>
  <si>
    <t>Extraction of COASUB</t>
  </si>
  <si>
    <t>Extraction of COABCO</t>
  </si>
  <si>
    <t>Bituminous coal (SUP)</t>
  </si>
  <si>
    <t>SUPCOASUB</t>
  </si>
  <si>
    <t>SUPCOABCO</t>
  </si>
  <si>
    <t>Brown Coal/Lignite  (SUP)</t>
  </si>
  <si>
    <t>Sub bituminous coal (SUP)</t>
  </si>
  <si>
    <t>RDM, to be decided</t>
  </si>
  <si>
    <t>ktoe</t>
  </si>
  <si>
    <t>M$</t>
  </si>
  <si>
    <t>$/GJ</t>
  </si>
  <si>
    <t>$/GJ/a</t>
  </si>
  <si>
    <t>ENV_ACT~SUPCH4</t>
  </si>
  <si>
    <t>PJ per bcm</t>
  </si>
  <si>
    <t>0.554 kilogram per cubic meter</t>
  </si>
  <si>
    <t>kg/bcm</t>
  </si>
  <si>
    <t>bcm/GJ</t>
  </si>
  <si>
    <t>vented</t>
  </si>
  <si>
    <t>Import/Export Price</t>
  </si>
  <si>
    <t>Import/ExportImport Upper Bound</t>
  </si>
  <si>
    <t>Import/Export Upper Bound</t>
  </si>
  <si>
    <t>Petrochemical Installations - Refinery</t>
  </si>
  <si>
    <t>Import/ExportImport Lower Bound</t>
  </si>
  <si>
    <t>Export of Coke oven coke</t>
  </si>
  <si>
    <t>Export Coking coal</t>
  </si>
  <si>
    <t>Export of BKB</t>
  </si>
  <si>
    <t>Export of Kerosene</t>
  </si>
  <si>
    <t>Export of Lubrificants</t>
  </si>
  <si>
    <t>Export of Bitumen</t>
  </si>
  <si>
    <t>CBEDM</t>
  </si>
  <si>
    <t>Comm-OUT-A</t>
  </si>
  <si>
    <t>Output</t>
  </si>
  <si>
    <t>Output level</t>
  </si>
  <si>
    <t>SPR_CBEDM</t>
  </si>
  <si>
    <t>Production of CBM</t>
  </si>
  <si>
    <t>CBEDMO</t>
  </si>
  <si>
    <t>Coal bed methane (out)</t>
  </si>
  <si>
    <t>Coal Transformation Technologies</t>
  </si>
  <si>
    <t>STRGASBFG00</t>
  </si>
  <si>
    <t>M$/PJ/a</t>
  </si>
  <si>
    <t>STRCOACOK00</t>
  </si>
  <si>
    <t>Production of coke (from coking coal)</t>
  </si>
  <si>
    <t>Import/Export Lower Bound</t>
  </si>
  <si>
    <t>Bituminous</t>
  </si>
  <si>
    <t>Subbituminous</t>
  </si>
  <si>
    <t>Lignite</t>
  </si>
  <si>
    <t>RDM: selfsufficiency gasoline</t>
  </si>
  <si>
    <t>Import of Coke Oven coke</t>
  </si>
  <si>
    <t>ACT_BND~UP~2018</t>
  </si>
  <si>
    <t>Activity bound (UP)</t>
  </si>
  <si>
    <t>Low activity bound</t>
  </si>
  <si>
    <t>Import of Kerosene</t>
  </si>
  <si>
    <t>ELCHIG2</t>
  </si>
  <si>
    <t>ACT_BND~LO~2018</t>
  </si>
  <si>
    <t>(Consumption in) Pipeline transport</t>
  </si>
  <si>
    <t>Coal bed methane (in)</t>
  </si>
  <si>
    <t>Share~UP~2018</t>
  </si>
  <si>
    <t>SubRes</t>
  </si>
  <si>
    <t>SUPHTH2</t>
  </si>
  <si>
    <t>Supply Heat (SUP) - Hydrogen chain</t>
  </si>
  <si>
    <t>Supply Heat (SUP) - BioBgs chain</t>
  </si>
  <si>
    <t>SUPHTHB</t>
  </si>
  <si>
    <t>Export of Natural Gas_Region2</t>
  </si>
  <si>
    <t>EXPGASNAT_R2_E02</t>
  </si>
  <si>
    <t>to China</t>
  </si>
  <si>
    <t>Flaring (methane)</t>
  </si>
  <si>
    <t>Turkmenistan</t>
  </si>
  <si>
    <t>to raise capacity to 85 Bcm/year from 55 Bcm/year</t>
  </si>
  <si>
    <t>Possible overestamation of production  (and domestic consumption)</t>
  </si>
  <si>
    <t>Petrochemical Installations - Refinery - New</t>
  </si>
  <si>
    <t>START</t>
  </si>
  <si>
    <t>ENV_ACT~SUPCO2</t>
  </si>
  <si>
    <t>To North/West</t>
  </si>
  <si>
    <t>estimate of "extra" domestic consumption in statistics</t>
  </si>
  <si>
    <t>estimate of extra export level from statistics</t>
  </si>
  <si>
    <r>
      <t xml:space="preserve">Coal Mining/Imports </t>
    </r>
    <r>
      <rPr>
        <sz val="18"/>
        <rFont val="Arial"/>
        <family val="2"/>
      </rPr>
      <t>(scenario files for controls)</t>
    </r>
  </si>
  <si>
    <t>PRIMARY OIL SUPPLY (scenario files for controls)</t>
  </si>
  <si>
    <t>PRIMARY NATURAL GAS SUPPLY (scenario files for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</si>
</sst>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Te\x\t"/>
    <numFmt numFmtId="166" formatCode="0.0"/>
    <numFmt numFmtId="167" formatCode="0.000000"/>
    <numFmt numFmtId="168" formatCode="0.0000"/>
    <numFmt numFmtId="169" formatCode="#,##0.0000"/>
    <numFmt numFmtId="170" formatCode="#,##0.000"/>
    <numFmt numFmtId="171" formatCode="0.00000"/>
    <numFmt numFmtId="172" formatCode="#,##0.0000;\-#,##0.0000;&quot;&quot;"/>
    <numFmt numFmtId="173" formatCode="#,##0.000;\-#,##0.000;&quot;&quot;"/>
    <numFmt numFmtId="174" formatCode="#,##0.00;\-#,##0.00;&quot;&quot;"/>
    <numFmt numFmtId="175" formatCode="#,##0;\-#,##0;&quot;&quot;"/>
    <numFmt numFmtId="176" formatCode="#,##0.0;\-#,##0.0;&quot;&quot;"/>
    <numFmt numFmtId="177" formatCode="0.0E+00"/>
    <numFmt numFmtId="178" formatCode="#,##0.0"/>
    <numFmt numFmtId="179" formatCode="0.0000%"/>
  </numFmts>
  <fonts count="31" x14ac:knownFonts="1">
    <font>
      <sz val="10"/>
      <name val="Arial"/>
    </font>
    <font>
      <sz val="10"/>
      <name val="Arial"/>
      <family val="2"/>
      <charset val="161"/>
    </font>
    <font>
      <b/>
      <sz val="10"/>
      <name val="Arial"/>
      <family val="2"/>
    </font>
    <font>
      <sz val="10"/>
      <name val="Arial"/>
      <family val="2"/>
    </font>
    <font>
      <sz val="8"/>
      <name val="Arial"/>
      <family val="2"/>
    </font>
    <font>
      <sz val="8"/>
      <color indexed="81"/>
      <name val="Tahoma"/>
      <family val="2"/>
    </font>
    <font>
      <b/>
      <sz val="8"/>
      <name val="Arial"/>
      <family val="2"/>
    </font>
    <font>
      <b/>
      <sz val="8"/>
      <color indexed="81"/>
      <name val="Tahoma"/>
      <family val="2"/>
    </font>
    <font>
      <b/>
      <sz val="14"/>
      <name val="Arial"/>
      <family val="2"/>
    </font>
    <font>
      <sz val="12"/>
      <name val="Arial"/>
      <family val="2"/>
    </font>
    <font>
      <b/>
      <sz val="12"/>
      <name val="Arial"/>
      <family val="2"/>
    </font>
    <font>
      <b/>
      <sz val="11"/>
      <name val="Arial"/>
      <family val="2"/>
    </font>
    <font>
      <sz val="11"/>
      <name val="Arial"/>
      <family val="2"/>
    </font>
    <font>
      <b/>
      <sz val="9"/>
      <color indexed="81"/>
      <name val="Tahoma"/>
      <family val="2"/>
      <charset val="161"/>
    </font>
    <font>
      <sz val="9"/>
      <color indexed="81"/>
      <name val="Tahoma"/>
      <family val="2"/>
      <charset val="161"/>
    </font>
    <font>
      <sz val="11"/>
      <color theme="0"/>
      <name val="Calibri"/>
      <family val="2"/>
      <scheme val="minor"/>
    </font>
    <font>
      <b/>
      <sz val="11"/>
      <color theme="0"/>
      <name val="Calibri"/>
      <family val="2"/>
      <scheme val="minor"/>
    </font>
    <font>
      <sz val="11"/>
      <color rgb="FF0061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9"/>
      <color indexed="81"/>
      <name val="Tahoma"/>
      <family val="2"/>
    </font>
    <font>
      <b/>
      <sz val="18"/>
      <name val="Arial"/>
      <family val="2"/>
    </font>
    <font>
      <b/>
      <sz val="9"/>
      <color indexed="81"/>
      <name val="Tahoma"/>
      <family val="2"/>
    </font>
    <font>
      <i/>
      <sz val="11"/>
      <name val="Arial"/>
      <family val="2"/>
    </font>
    <font>
      <sz val="18"/>
      <name val="Arial"/>
      <family val="2"/>
    </font>
    <font>
      <sz val="14"/>
      <name val="Arial"/>
      <family val="2"/>
    </font>
    <font>
      <b/>
      <i/>
      <sz val="8"/>
      <name val="Arial"/>
      <family val="2"/>
    </font>
    <font>
      <i/>
      <sz val="8"/>
      <name val="Arial"/>
      <family val="2"/>
    </font>
    <font>
      <sz val="6"/>
      <name val="Arial"/>
      <family val="2"/>
    </font>
  </fonts>
  <fills count="6">
    <fill>
      <patternFill patternType="none"/>
    </fill>
    <fill>
      <patternFill patternType="gray125"/>
    </fill>
    <fill>
      <patternFill patternType="solid">
        <fgColor theme="5"/>
      </patternFill>
    </fill>
    <fill>
      <patternFill patternType="solid">
        <fgColor rgb="FFC6EFCE"/>
      </patternFill>
    </fill>
    <fill>
      <patternFill patternType="solid">
        <fgColor theme="4"/>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22"/>
      </bottom>
      <diagonal/>
    </border>
    <border>
      <left style="thin">
        <color indexed="64"/>
      </left>
      <right/>
      <top style="thin">
        <color indexed="64"/>
      </top>
      <bottom style="hair">
        <color indexed="22"/>
      </bottom>
      <diagonal/>
    </border>
    <border>
      <left/>
      <right/>
      <top style="hair">
        <color indexed="22"/>
      </top>
      <bottom style="hair">
        <color indexed="22"/>
      </bottom>
      <diagonal/>
    </border>
    <border>
      <left style="thin">
        <color indexed="64"/>
      </left>
      <right/>
      <top style="hair">
        <color indexed="22"/>
      </top>
      <bottom style="hair">
        <color indexed="22"/>
      </bottom>
      <diagonal/>
    </border>
    <border>
      <left/>
      <right/>
      <top style="hair">
        <color indexed="22"/>
      </top>
      <bottom style="thin">
        <color indexed="64"/>
      </bottom>
      <diagonal/>
    </border>
    <border>
      <left style="thin">
        <color indexed="64"/>
      </left>
      <right/>
      <top style="hair">
        <color indexed="22"/>
      </top>
      <bottom style="thin">
        <color indexed="64"/>
      </bottom>
      <diagonal/>
    </border>
    <border>
      <left style="thin">
        <color indexed="64"/>
      </left>
      <right/>
      <top/>
      <bottom style="thin">
        <color indexed="64"/>
      </bottom>
      <diagonal/>
    </border>
    <border>
      <left/>
      <right/>
      <top/>
      <bottom style="hair">
        <color indexed="22"/>
      </bottom>
      <diagonal/>
    </border>
    <border>
      <left style="thin">
        <color indexed="64"/>
      </left>
      <right/>
      <top/>
      <bottom style="hair">
        <color indexed="2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right style="thin">
        <color indexed="64"/>
      </right>
      <top style="hair">
        <color indexed="22"/>
      </top>
      <bottom style="thin">
        <color indexed="64"/>
      </bottom>
      <diagonal/>
    </border>
    <border>
      <left/>
      <right style="thin">
        <color indexed="64"/>
      </right>
      <top/>
      <bottom style="hair">
        <color indexed="22"/>
      </bottom>
      <diagonal/>
    </border>
  </borders>
  <cellStyleXfs count="9">
    <xf numFmtId="0" fontId="0" fillId="0" borderId="0"/>
    <xf numFmtId="0" fontId="15" fillId="2" borderId="0" applyNumberFormat="0" applyBorder="0" applyAlignment="0" applyProtection="0"/>
    <xf numFmtId="0" fontId="17" fillId="3" borderId="0" applyNumberFormat="0" applyBorder="0" applyAlignment="0" applyProtection="0"/>
    <xf numFmtId="9" fontId="1" fillId="0" borderId="0" applyFont="0" applyFill="0" applyBorder="0" applyAlignment="0" applyProtection="0"/>
    <xf numFmtId="0" fontId="3" fillId="0" borderId="0"/>
    <xf numFmtId="0" fontId="3" fillId="0" borderId="0"/>
    <xf numFmtId="0" fontId="3" fillId="0" borderId="0"/>
    <xf numFmtId="0" fontId="1" fillId="0" borderId="0"/>
    <xf numFmtId="0" fontId="3" fillId="0" borderId="0"/>
  </cellStyleXfs>
  <cellXfs count="425">
    <xf numFmtId="0" fontId="0" fillId="0" borderId="0" xfId="0"/>
    <xf numFmtId="0" fontId="3" fillId="0" borderId="0" xfId="0" applyFont="1"/>
    <xf numFmtId="0" fontId="4" fillId="0" borderId="0" xfId="0" applyFont="1" applyFill="1" applyBorder="1" applyAlignment="1">
      <alignment horizontal="left" wrapText="1"/>
    </xf>
    <xf numFmtId="0" fontId="6" fillId="0" borderId="0" xfId="0" applyFont="1" applyFill="1" applyBorder="1"/>
    <xf numFmtId="0" fontId="0" fillId="0" borderId="0" xfId="0"/>
    <xf numFmtId="0" fontId="3" fillId="0" borderId="0" xfId="0" applyFont="1" applyFill="1"/>
    <xf numFmtId="0" fontId="15" fillId="4" borderId="0" xfId="1" applyFill="1" applyAlignment="1">
      <alignment wrapText="1"/>
    </xf>
    <xf numFmtId="0" fontId="16" fillId="4" borderId="0" xfId="1" applyFont="1" applyFill="1" applyAlignment="1">
      <alignment wrapText="1"/>
    </xf>
    <xf numFmtId="0" fontId="3" fillId="0" borderId="0" xfId="0" applyFont="1" applyFill="1" applyBorder="1"/>
    <xf numFmtId="0" fontId="3" fillId="0" borderId="0" xfId="0" applyFont="1" applyFill="1" applyBorder="1" applyAlignment="1">
      <alignment horizontal="left" vertical="center" wrapText="1"/>
    </xf>
    <xf numFmtId="0" fontId="18" fillId="5" borderId="0" xfId="1" applyFont="1" applyFill="1" applyAlignment="1">
      <alignment wrapText="1"/>
    </xf>
    <xf numFmtId="0" fontId="19" fillId="5" borderId="0" xfId="2" applyFont="1" applyFill="1" applyAlignment="1">
      <alignment horizontal="center"/>
    </xf>
    <xf numFmtId="0" fontId="2" fillId="0" borderId="0" xfId="0" applyFont="1" applyAlignment="1">
      <alignment horizontal="right"/>
    </xf>
    <xf numFmtId="0" fontId="18" fillId="5" borderId="0" xfId="1" applyFont="1" applyFill="1" applyAlignment="1">
      <alignment horizontal="right" wrapText="1"/>
    </xf>
    <xf numFmtId="0" fontId="20" fillId="5" borderId="0" xfId="1" applyFont="1" applyFill="1" applyAlignment="1">
      <alignment wrapText="1"/>
    </xf>
    <xf numFmtId="0" fontId="21" fillId="5" borderId="0" xfId="2" applyFont="1" applyFill="1" applyAlignment="1">
      <alignment horizontal="center"/>
    </xf>
    <xf numFmtId="0" fontId="18" fillId="5" borderId="0" xfId="1" applyFont="1" applyFill="1" applyAlignment="1">
      <alignment horizontal="center" wrapText="1"/>
    </xf>
    <xf numFmtId="0" fontId="18" fillId="5" borderId="0" xfId="1" applyFont="1" applyFill="1" applyAlignment="1">
      <alignment horizontal="center"/>
    </xf>
    <xf numFmtId="0" fontId="11" fillId="0" borderId="0" xfId="0" applyFont="1" applyFill="1" applyBorder="1"/>
    <xf numFmtId="2" fontId="12" fillId="0" borderId="0" xfId="0" applyNumberFormat="1" applyFont="1" applyFill="1" applyBorder="1" applyAlignment="1">
      <alignment horizontal="center"/>
    </xf>
    <xf numFmtId="4" fontId="12" fillId="0" borderId="0" xfId="0" applyNumberFormat="1" applyFont="1" applyFill="1" applyBorder="1" applyAlignment="1">
      <alignment horizontal="center"/>
    </xf>
    <xf numFmtId="1" fontId="12" fillId="0" borderId="0" xfId="0" applyNumberFormat="1" applyFont="1" applyFill="1" applyBorder="1"/>
    <xf numFmtId="0" fontId="12" fillId="0" borderId="0" xfId="0" applyFont="1" applyFill="1" applyBorder="1" applyAlignment="1">
      <alignment horizontal="right"/>
    </xf>
    <xf numFmtId="165" fontId="11" fillId="0" borderId="0" xfId="0" applyNumberFormat="1" applyFont="1" applyFill="1" applyBorder="1"/>
    <xf numFmtId="165" fontId="12" fillId="0" borderId="0" xfId="0" applyNumberFormat="1" applyFont="1" applyFill="1" applyBorder="1" applyAlignment="1">
      <alignment horizontal="left" wrapText="1"/>
    </xf>
    <xf numFmtId="0" fontId="12" fillId="0" borderId="15" xfId="0" applyFont="1" applyFill="1" applyBorder="1" applyAlignment="1">
      <alignment horizontal="right"/>
    </xf>
    <xf numFmtId="0" fontId="2" fillId="0" borderId="0" xfId="0" applyFont="1" applyFill="1" applyBorder="1" applyAlignment="1">
      <alignment horizontal="center" vertical="center"/>
    </xf>
    <xf numFmtId="0" fontId="3" fillId="0" borderId="0" xfId="0" applyFont="1" applyFill="1" applyBorder="1" applyAlignment="1">
      <alignment horizontal="center" wrapText="1"/>
    </xf>
    <xf numFmtId="0" fontId="3" fillId="0" borderId="0" xfId="0" applyFont="1" applyFill="1" applyBorder="1" applyAlignment="1">
      <alignment horizontal="center"/>
    </xf>
    <xf numFmtId="0" fontId="3" fillId="0" borderId="0" xfId="0" applyFont="1" applyFill="1" applyAlignment="1">
      <alignment horizontal="center"/>
    </xf>
    <xf numFmtId="0" fontId="12" fillId="0" borderId="0" xfId="0" applyFont="1" applyFill="1" applyBorder="1" applyAlignment="1">
      <alignment horizontal="left" wrapText="1"/>
    </xf>
    <xf numFmtId="0" fontId="12" fillId="0" borderId="0" xfId="0" applyFont="1" applyFill="1" applyAlignment="1">
      <alignment horizontal="right"/>
    </xf>
    <xf numFmtId="0" fontId="12" fillId="0" borderId="0" xfId="0" applyFont="1" applyFill="1"/>
    <xf numFmtId="0" fontId="11" fillId="0" borderId="0" xfId="0" applyFont="1" applyFill="1" applyBorder="1" applyAlignment="1">
      <alignment horizontal="center" vertical="center"/>
    </xf>
    <xf numFmtId="0" fontId="12" fillId="0" borderId="0" xfId="0" applyFont="1" applyFill="1" applyBorder="1" applyAlignment="1">
      <alignment horizontal="center" wrapText="1"/>
    </xf>
    <xf numFmtId="0" fontId="12" fillId="0" borderId="0" xfId="0" applyFont="1" applyFill="1" applyAlignment="1">
      <alignment horizontal="center"/>
    </xf>
    <xf numFmtId="0" fontId="12" fillId="0" borderId="0" xfId="0" applyFont="1" applyFill="1" applyBorder="1"/>
    <xf numFmtId="0" fontId="2" fillId="0" borderId="32" xfId="0" applyFont="1" applyBorder="1" applyAlignment="1">
      <alignment horizontal="left"/>
    </xf>
    <xf numFmtId="164" fontId="2" fillId="0" borderId="0" xfId="0" applyNumberFormat="1" applyFont="1" applyBorder="1" applyAlignment="1">
      <alignment horizontal="right"/>
    </xf>
    <xf numFmtId="0" fontId="2" fillId="0" borderId="29" xfId="0" applyFont="1" applyBorder="1" applyAlignment="1">
      <alignment horizontal="center"/>
    </xf>
    <xf numFmtId="0" fontId="2" fillId="0" borderId="32" xfId="0" applyFont="1" applyBorder="1" applyAlignment="1">
      <alignment horizontal="left" vertical="center" wrapText="1"/>
    </xf>
    <xf numFmtId="164" fontId="2" fillId="0" borderId="0" xfId="0" applyNumberFormat="1" applyFont="1" applyBorder="1" applyAlignment="1">
      <alignment horizontal="right" vertical="center" wrapText="1"/>
    </xf>
    <xf numFmtId="0" fontId="2" fillId="0" borderId="29" xfId="0" applyFont="1" applyBorder="1" applyAlignment="1">
      <alignment horizontal="center" vertical="center" wrapText="1"/>
    </xf>
    <xf numFmtId="164" fontId="2" fillId="0" borderId="0" xfId="0" quotePrefix="1" applyNumberFormat="1" applyFont="1" applyBorder="1" applyAlignment="1">
      <alignment horizontal="right" vertical="center" wrapText="1"/>
    </xf>
    <xf numFmtId="0" fontId="2" fillId="0" borderId="23" xfId="0" applyFont="1" applyBorder="1" applyAlignment="1">
      <alignment horizontal="left"/>
    </xf>
    <xf numFmtId="164" fontId="2" fillId="0" borderId="9" xfId="0" applyNumberFormat="1" applyFont="1" applyBorder="1" applyAlignment="1">
      <alignment horizontal="right"/>
    </xf>
    <xf numFmtId="0" fontId="2" fillId="0" borderId="34" xfId="0" applyFont="1" applyBorder="1" applyAlignment="1">
      <alignment horizontal="center" vertical="center" wrapText="1"/>
    </xf>
    <xf numFmtId="164" fontId="12" fillId="0" borderId="0" xfId="0" applyNumberFormat="1" applyFont="1" applyFill="1" applyBorder="1"/>
    <xf numFmtId="0" fontId="23" fillId="0" borderId="0" xfId="0" applyFont="1" applyFill="1" applyBorder="1"/>
    <xf numFmtId="0" fontId="12" fillId="0" borderId="0" xfId="0" applyFont="1" applyFill="1" applyBorder="1" applyAlignment="1">
      <alignment horizontal="center"/>
    </xf>
    <xf numFmtId="0" fontId="12" fillId="0" borderId="29" xfId="0" applyFont="1" applyFill="1" applyBorder="1" applyAlignment="1">
      <alignment horizontal="center"/>
    </xf>
    <xf numFmtId="164" fontId="12" fillId="0" borderId="0" xfId="0" applyNumberFormat="1" applyFont="1" applyFill="1" applyBorder="1" applyAlignment="1">
      <alignment horizontal="center"/>
    </xf>
    <xf numFmtId="2" fontId="12" fillId="0" borderId="4" xfId="0" applyNumberFormat="1" applyFont="1" applyFill="1" applyBorder="1" applyAlignment="1">
      <alignment horizontal="center"/>
    </xf>
    <xf numFmtId="0" fontId="12" fillId="0" borderId="4" xfId="0" applyFont="1" applyFill="1" applyBorder="1" applyAlignment="1">
      <alignment horizontal="center"/>
    </xf>
    <xf numFmtId="0" fontId="12" fillId="0" borderId="10" xfId="0" applyFont="1" applyFill="1" applyBorder="1" applyAlignment="1">
      <alignment horizontal="center"/>
    </xf>
    <xf numFmtId="166" fontId="2" fillId="0" borderId="0" xfId="0" quotePrefix="1" applyNumberFormat="1" applyFont="1" applyBorder="1" applyAlignment="1">
      <alignment horizontal="right" vertical="center" wrapText="1"/>
    </xf>
    <xf numFmtId="164" fontId="25" fillId="0" borderId="0" xfId="0" applyNumberFormat="1" applyFont="1" applyFill="1" applyBorder="1" applyAlignment="1">
      <alignment horizontal="center"/>
    </xf>
    <xf numFmtId="0" fontId="12" fillId="0" borderId="9" xfId="0" applyFont="1" applyFill="1" applyBorder="1" applyAlignment="1">
      <alignment horizontal="right"/>
    </xf>
    <xf numFmtId="0" fontId="20" fillId="5" borderId="0" xfId="1" applyFont="1" applyFill="1" applyAlignment="1">
      <alignment horizontal="left" wrapText="1"/>
    </xf>
    <xf numFmtId="0" fontId="16" fillId="4" borderId="13" xfId="1" applyFont="1" applyFill="1" applyBorder="1" applyAlignment="1">
      <alignment horizontal="center" wrapText="1"/>
    </xf>
    <xf numFmtId="0" fontId="16" fillId="4" borderId="4" xfId="1" applyFont="1" applyFill="1" applyBorder="1" applyAlignment="1">
      <alignment horizontal="center" wrapText="1"/>
    </xf>
    <xf numFmtId="0" fontId="16" fillId="4" borderId="10" xfId="1" applyFont="1" applyFill="1" applyBorder="1" applyAlignment="1">
      <alignment horizontal="center" wrapText="1"/>
    </xf>
    <xf numFmtId="165" fontId="12" fillId="0" borderId="0" xfId="0" applyNumberFormat="1" applyFont="1" applyFill="1"/>
    <xf numFmtId="165" fontId="11" fillId="0" borderId="3" xfId="0" applyNumberFormat="1" applyFont="1" applyFill="1" applyBorder="1"/>
    <xf numFmtId="0" fontId="11" fillId="0" borderId="0" xfId="0" applyFont="1" applyFill="1"/>
    <xf numFmtId="0" fontId="11" fillId="0" borderId="4" xfId="0" applyFont="1" applyFill="1" applyBorder="1" applyAlignment="1">
      <alignment horizontal="left" vertical="center"/>
    </xf>
    <xf numFmtId="0" fontId="11" fillId="0" borderId="4" xfId="0" applyFont="1" applyFill="1" applyBorder="1" applyAlignment="1">
      <alignment horizontal="center" vertical="center"/>
    </xf>
    <xf numFmtId="0" fontId="11" fillId="0" borderId="10" xfId="0" applyFont="1" applyFill="1" applyBorder="1" applyAlignment="1">
      <alignment horizontal="center" vertical="center"/>
    </xf>
    <xf numFmtId="165" fontId="12" fillId="0" borderId="6" xfId="0" applyNumberFormat="1" applyFont="1" applyFill="1" applyBorder="1" applyAlignment="1">
      <alignment horizontal="left" wrapText="1"/>
    </xf>
    <xf numFmtId="0" fontId="12" fillId="0" borderId="2" xfId="0" applyFont="1" applyFill="1" applyBorder="1" applyAlignment="1">
      <alignment horizontal="center" wrapText="1"/>
    </xf>
    <xf numFmtId="0" fontId="12" fillId="0" borderId="5" xfId="0" applyFont="1" applyFill="1" applyBorder="1" applyAlignment="1">
      <alignment horizontal="center" wrapText="1"/>
    </xf>
    <xf numFmtId="0" fontId="11" fillId="0" borderId="4" xfId="0" applyFont="1" applyFill="1" applyBorder="1" applyAlignment="1">
      <alignment vertical="center"/>
    </xf>
    <xf numFmtId="0" fontId="12" fillId="0" borderId="7" xfId="0" applyFont="1" applyFill="1" applyBorder="1" applyAlignment="1">
      <alignment horizontal="left" wrapText="1"/>
    </xf>
    <xf numFmtId="0" fontId="12" fillId="0" borderId="8" xfId="0" applyFont="1" applyFill="1" applyBorder="1" applyAlignment="1">
      <alignment horizontal="center" wrapText="1"/>
    </xf>
    <xf numFmtId="0" fontId="12" fillId="0" borderId="7" xfId="0" applyFont="1" applyFill="1" applyBorder="1" applyAlignment="1">
      <alignment horizontal="center" wrapText="1"/>
    </xf>
    <xf numFmtId="0" fontId="12" fillId="0" borderId="4" xfId="0" applyFont="1" applyFill="1" applyBorder="1"/>
    <xf numFmtId="164" fontId="12" fillId="0" borderId="27" xfId="0" applyNumberFormat="1" applyFont="1" applyFill="1" applyBorder="1" applyAlignment="1">
      <alignment horizontal="center"/>
    </xf>
    <xf numFmtId="164" fontId="12" fillId="0" borderId="4" xfId="0" applyNumberFormat="1" applyFont="1" applyFill="1" applyBorder="1" applyAlignment="1">
      <alignment horizontal="center"/>
    </xf>
    <xf numFmtId="164" fontId="12" fillId="0" borderId="10" xfId="0" applyNumberFormat="1" applyFont="1" applyFill="1" applyBorder="1" applyAlignment="1">
      <alignment horizontal="center"/>
    </xf>
    <xf numFmtId="1" fontId="12" fillId="0" borderId="4" xfId="0" applyNumberFormat="1" applyFont="1" applyFill="1" applyBorder="1" applyAlignment="1">
      <alignment horizontal="center"/>
    </xf>
    <xf numFmtId="0" fontId="12" fillId="0" borderId="3" xfId="0" applyFont="1" applyFill="1" applyBorder="1"/>
    <xf numFmtId="1" fontId="12" fillId="0" borderId="3" xfId="0" applyNumberFormat="1" applyFont="1" applyFill="1" applyBorder="1" applyAlignment="1">
      <alignment horizontal="center"/>
    </xf>
    <xf numFmtId="164" fontId="12" fillId="0" borderId="1" xfId="0" applyNumberFormat="1" applyFont="1" applyFill="1" applyBorder="1" applyAlignment="1">
      <alignment horizontal="center"/>
    </xf>
    <xf numFmtId="164" fontId="12" fillId="0" borderId="3" xfId="0" applyNumberFormat="1" applyFont="1" applyFill="1" applyBorder="1" applyAlignment="1">
      <alignment horizontal="center"/>
    </xf>
    <xf numFmtId="164" fontId="12" fillId="0" borderId="15" xfId="0" applyNumberFormat="1" applyFont="1" applyFill="1" applyBorder="1" applyAlignment="1">
      <alignment horizontal="center"/>
    </xf>
    <xf numFmtId="0" fontId="12" fillId="0" borderId="3" xfId="0" applyFont="1" applyFill="1" applyBorder="1" applyAlignment="1">
      <alignment horizontal="center"/>
    </xf>
    <xf numFmtId="1" fontId="12" fillId="0" borderId="0" xfId="0" applyNumberFormat="1" applyFont="1" applyFill="1"/>
    <xf numFmtId="2" fontId="12" fillId="0" borderId="27" xfId="0" applyNumberFormat="1" applyFont="1" applyFill="1" applyBorder="1" applyAlignment="1">
      <alignment horizontal="center"/>
    </xf>
    <xf numFmtId="0" fontId="12" fillId="0" borderId="9" xfId="0" applyFont="1" applyFill="1" applyBorder="1"/>
    <xf numFmtId="2" fontId="12" fillId="0" borderId="26" xfId="0" applyNumberFormat="1" applyFont="1" applyFill="1" applyBorder="1" applyAlignment="1">
      <alignment horizontal="center"/>
    </xf>
    <xf numFmtId="0" fontId="12" fillId="0" borderId="28" xfId="0" applyFont="1" applyFill="1" applyBorder="1"/>
    <xf numFmtId="0" fontId="12" fillId="0" borderId="26" xfId="0" applyFont="1" applyFill="1" applyBorder="1"/>
    <xf numFmtId="0" fontId="11" fillId="0" borderId="13" xfId="0" applyFont="1" applyFill="1" applyBorder="1" applyAlignment="1">
      <alignment vertical="center"/>
    </xf>
    <xf numFmtId="0" fontId="11" fillId="0" borderId="10" xfId="0" applyFont="1" applyFill="1" applyBorder="1" applyAlignment="1">
      <alignment vertical="center"/>
    </xf>
    <xf numFmtId="0" fontId="11" fillId="0" borderId="4"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2" fillId="0" borderId="30" xfId="0" applyFont="1" applyFill="1" applyBorder="1" applyAlignment="1">
      <alignment horizontal="center" wrapText="1"/>
    </xf>
    <xf numFmtId="0" fontId="12" fillId="0" borderId="4" xfId="0" applyFont="1" applyFill="1" applyBorder="1" applyAlignment="1">
      <alignment wrapText="1"/>
    </xf>
    <xf numFmtId="0" fontId="12" fillId="0" borderId="35" xfId="0" applyFont="1" applyFill="1" applyBorder="1" applyAlignment="1">
      <alignment horizontal="left" wrapText="1"/>
    </xf>
    <xf numFmtId="0" fontId="12" fillId="0" borderId="11" xfId="0" applyFont="1" applyFill="1" applyBorder="1" applyAlignment="1">
      <alignment horizontal="center" wrapText="1"/>
    </xf>
    <xf numFmtId="0" fontId="12" fillId="0" borderId="33" xfId="0" applyFont="1" applyFill="1" applyBorder="1" applyAlignment="1">
      <alignment horizontal="center" wrapText="1"/>
    </xf>
    <xf numFmtId="0" fontId="12" fillId="0" borderId="4" xfId="0" applyFont="1" applyFill="1" applyBorder="1" applyAlignment="1">
      <alignment horizontal="center" wrapText="1"/>
    </xf>
    <xf numFmtId="0" fontId="12" fillId="0" borderId="10" xfId="0" applyFont="1" applyFill="1" applyBorder="1" applyAlignment="1">
      <alignment horizontal="center" wrapText="1"/>
    </xf>
    <xf numFmtId="0" fontId="12" fillId="0" borderId="13" xfId="0" applyFont="1" applyFill="1" applyBorder="1"/>
    <xf numFmtId="1" fontId="12" fillId="0" borderId="4" xfId="0" applyNumberFormat="1" applyFont="1" applyFill="1" applyBorder="1"/>
    <xf numFmtId="0" fontId="12" fillId="0" borderId="10" xfId="0" applyFont="1" applyFill="1" applyBorder="1"/>
    <xf numFmtId="0" fontId="12" fillId="0" borderId="32" xfId="0" applyFont="1" applyFill="1" applyBorder="1"/>
    <xf numFmtId="0" fontId="12" fillId="0" borderId="29" xfId="0" applyFont="1" applyFill="1" applyBorder="1"/>
    <xf numFmtId="164" fontId="12" fillId="0" borderId="0" xfId="3" applyNumberFormat="1" applyFont="1" applyFill="1" applyBorder="1" applyAlignment="1">
      <alignment horizontal="center"/>
    </xf>
    <xf numFmtId="2" fontId="12" fillId="0" borderId="29" xfId="0" applyNumberFormat="1" applyFont="1" applyFill="1" applyBorder="1" applyAlignment="1">
      <alignment horizontal="center"/>
    </xf>
    <xf numFmtId="0" fontId="12" fillId="0" borderId="23" xfId="0" applyFont="1" applyFill="1" applyBorder="1"/>
    <xf numFmtId="0" fontId="12" fillId="0" borderId="34" xfId="0" applyFont="1" applyFill="1" applyBorder="1"/>
    <xf numFmtId="1" fontId="12" fillId="0" borderId="10" xfId="0" applyNumberFormat="1" applyFont="1" applyFill="1" applyBorder="1"/>
    <xf numFmtId="1" fontId="12" fillId="0" borderId="29" xfId="0" applyNumberFormat="1" applyFont="1" applyFill="1" applyBorder="1"/>
    <xf numFmtId="1" fontId="12" fillId="0" borderId="34" xfId="0" applyNumberFormat="1" applyFont="1" applyFill="1" applyBorder="1"/>
    <xf numFmtId="0" fontId="11" fillId="0" borderId="13" xfId="0" applyFont="1" applyFill="1" applyBorder="1"/>
    <xf numFmtId="0" fontId="11" fillId="0" borderId="16" xfId="0" applyFont="1" applyFill="1" applyBorder="1" applyAlignment="1">
      <alignment vertical="center"/>
    </xf>
    <xf numFmtId="0" fontId="11" fillId="0" borderId="3" xfId="0" applyFont="1" applyFill="1" applyBorder="1" applyAlignment="1">
      <alignment vertical="center"/>
    </xf>
    <xf numFmtId="0" fontId="11" fillId="0" borderId="15" xfId="0" applyFont="1" applyFill="1" applyBorder="1" applyAlignment="1">
      <alignment vertical="center"/>
    </xf>
    <xf numFmtId="0" fontId="11" fillId="0" borderId="3" xfId="0" applyFont="1" applyFill="1" applyBorder="1" applyAlignment="1">
      <alignment horizontal="center" vertical="center" wrapText="1"/>
    </xf>
    <xf numFmtId="0" fontId="11" fillId="0" borderId="15" xfId="5" applyFont="1" applyFill="1" applyBorder="1" applyAlignment="1">
      <alignment horizontal="center" vertical="center" wrapText="1"/>
    </xf>
    <xf numFmtId="0" fontId="12" fillId="0" borderId="13" xfId="0" applyFont="1" applyFill="1" applyBorder="1" applyAlignment="1">
      <alignment wrapText="1"/>
    </xf>
    <xf numFmtId="0" fontId="12" fillId="0" borderId="10" xfId="0" applyFont="1" applyFill="1" applyBorder="1" applyAlignment="1">
      <alignment wrapText="1"/>
    </xf>
    <xf numFmtId="0" fontId="12" fillId="0" borderId="3" xfId="0" applyFont="1" applyFill="1" applyBorder="1" applyAlignment="1">
      <alignment horizontal="center" wrapText="1"/>
    </xf>
    <xf numFmtId="0" fontId="12" fillId="0" borderId="15" xfId="6" applyFont="1" applyFill="1" applyBorder="1" applyAlignment="1">
      <alignment horizontal="center" wrapText="1"/>
    </xf>
    <xf numFmtId="0" fontId="12" fillId="0" borderId="16" xfId="0" applyFont="1" applyFill="1" applyBorder="1" applyAlignment="1">
      <alignment horizontal="left" wrapText="1"/>
    </xf>
    <xf numFmtId="0" fontId="12" fillId="0" borderId="3" xfId="0" applyFont="1" applyFill="1" applyBorder="1" applyAlignment="1">
      <alignment horizontal="left" wrapText="1"/>
    </xf>
    <xf numFmtId="0" fontId="12" fillId="0" borderId="15" xfId="0" applyFont="1" applyFill="1" applyBorder="1" applyAlignment="1">
      <alignment horizontal="center" wrapText="1"/>
    </xf>
    <xf numFmtId="0" fontId="12" fillId="0" borderId="9" xfId="0" applyFont="1" applyFill="1" applyBorder="1" applyAlignment="1">
      <alignment horizontal="center" wrapText="1"/>
    </xf>
    <xf numFmtId="0" fontId="12" fillId="0" borderId="34" xfId="6" applyFont="1" applyFill="1" applyBorder="1" applyAlignment="1">
      <alignment horizontal="center" wrapText="1"/>
    </xf>
    <xf numFmtId="4" fontId="12" fillId="0" borderId="4" xfId="0" applyNumberFormat="1" applyFont="1" applyFill="1" applyBorder="1" applyAlignment="1">
      <alignment horizontal="center"/>
    </xf>
    <xf numFmtId="168" fontId="12" fillId="0" borderId="0" xfId="0" applyNumberFormat="1" applyFont="1" applyFill="1" applyBorder="1" applyAlignment="1">
      <alignment horizontal="center"/>
    </xf>
    <xf numFmtId="1" fontId="12" fillId="0" borderId="29" xfId="0" applyNumberFormat="1" applyFont="1" applyFill="1" applyBorder="1" applyAlignment="1">
      <alignment horizontal="center"/>
    </xf>
    <xf numFmtId="168" fontId="12" fillId="0" borderId="9" xfId="0" applyNumberFormat="1" applyFont="1" applyFill="1" applyBorder="1" applyAlignment="1">
      <alignment horizontal="center"/>
    </xf>
    <xf numFmtId="164" fontId="12" fillId="0" borderId="9" xfId="0" applyNumberFormat="1" applyFont="1" applyFill="1" applyBorder="1"/>
    <xf numFmtId="0" fontId="12" fillId="0" borderId="9" xfId="0" applyFont="1" applyFill="1" applyBorder="1" applyAlignment="1">
      <alignment horizontal="center"/>
    </xf>
    <xf numFmtId="165" fontId="11" fillId="0" borderId="0" xfId="0" applyNumberFormat="1" applyFont="1" applyFill="1"/>
    <xf numFmtId="0" fontId="11" fillId="0" borderId="0" xfId="0" applyFont="1" applyFill="1" applyAlignment="1">
      <alignment horizontal="left"/>
    </xf>
    <xf numFmtId="0" fontId="11" fillId="0" borderId="0" xfId="0" applyFont="1" applyFill="1" applyBorder="1" applyAlignment="1">
      <alignment horizontal="left"/>
    </xf>
    <xf numFmtId="164" fontId="12" fillId="0" borderId="23" xfId="0" applyNumberFormat="1" applyFont="1" applyFill="1" applyBorder="1" applyAlignment="1">
      <alignment horizontal="center"/>
    </xf>
    <xf numFmtId="0" fontId="11" fillId="0" borderId="10" xfId="0" applyFont="1" applyFill="1" applyBorder="1" applyAlignment="1">
      <alignment horizontal="left"/>
    </xf>
    <xf numFmtId="0" fontId="11" fillId="0" borderId="13" xfId="0" applyFont="1" applyFill="1" applyBorder="1" applyAlignment="1">
      <alignment horizontal="center" vertical="center" wrapText="1"/>
    </xf>
    <xf numFmtId="0" fontId="11" fillId="0" borderId="27" xfId="0" applyFont="1" applyFill="1" applyBorder="1" applyAlignment="1">
      <alignment horizontal="center" vertical="center"/>
    </xf>
    <xf numFmtId="165" fontId="11" fillId="0" borderId="3" xfId="0" applyNumberFormat="1" applyFont="1" applyFill="1" applyBorder="1" applyAlignment="1">
      <alignment horizontal="center"/>
    </xf>
    <xf numFmtId="0" fontId="12" fillId="0" borderId="12" xfId="0" applyFont="1" applyFill="1" applyBorder="1" applyAlignment="1">
      <alignment horizontal="center" wrapText="1"/>
    </xf>
    <xf numFmtId="165" fontId="12" fillId="0" borderId="6" xfId="0" applyNumberFormat="1" applyFont="1" applyFill="1" applyBorder="1" applyAlignment="1">
      <alignment horizontal="center" wrapText="1"/>
    </xf>
    <xf numFmtId="0" fontId="12" fillId="0" borderId="31" xfId="0" applyFont="1" applyFill="1" applyBorder="1" applyAlignment="1">
      <alignment horizontal="left" wrapText="1"/>
    </xf>
    <xf numFmtId="0" fontId="12" fillId="0" borderId="14" xfId="0" applyFont="1" applyFill="1" applyBorder="1" applyAlignment="1">
      <alignment horizontal="center" wrapText="1"/>
    </xf>
    <xf numFmtId="164" fontId="12" fillId="0" borderId="28" xfId="0" applyNumberFormat="1" applyFont="1" applyFill="1" applyBorder="1" applyAlignment="1">
      <alignment horizontal="center"/>
    </xf>
    <xf numFmtId="4" fontId="12" fillId="0" borderId="32" xfId="0" applyNumberFormat="1" applyFont="1" applyFill="1" applyBorder="1" applyAlignment="1">
      <alignment horizontal="center"/>
    </xf>
    <xf numFmtId="2" fontId="12" fillId="0" borderId="28" xfId="0" applyNumberFormat="1" applyFont="1" applyFill="1" applyBorder="1" applyAlignment="1">
      <alignment horizontal="center"/>
    </xf>
    <xf numFmtId="1" fontId="12" fillId="0" borderId="9" xfId="0" applyNumberFormat="1" applyFont="1" applyFill="1" applyBorder="1"/>
    <xf numFmtId="4" fontId="12" fillId="0" borderId="23" xfId="0" applyNumberFormat="1" applyFont="1" applyFill="1" applyBorder="1" applyAlignment="1">
      <alignment horizontal="center"/>
    </xf>
    <xf numFmtId="0" fontId="12" fillId="0" borderId="16" xfId="0" applyFont="1" applyFill="1" applyBorder="1" applyAlignment="1">
      <alignment horizontal="center" wrapText="1"/>
    </xf>
    <xf numFmtId="0" fontId="12" fillId="0" borderId="3" xfId="0" applyFont="1" applyFill="1" applyBorder="1" applyAlignment="1">
      <alignment horizontal="center" vertical="center" wrapText="1"/>
    </xf>
    <xf numFmtId="0" fontId="11" fillId="0" borderId="1" xfId="0" applyFont="1" applyFill="1" applyBorder="1" applyAlignment="1">
      <alignment horizontal="center" vertical="center"/>
    </xf>
    <xf numFmtId="167" fontId="12" fillId="0" borderId="1" xfId="0" applyNumberFormat="1" applyFont="1" applyFill="1" applyBorder="1" applyAlignment="1">
      <alignment horizontal="center" wrapText="1"/>
    </xf>
    <xf numFmtId="166" fontId="12" fillId="0" borderId="29" xfId="0" applyNumberFormat="1" applyFont="1" applyFill="1" applyBorder="1" applyAlignment="1">
      <alignment horizontal="center"/>
    </xf>
    <xf numFmtId="166" fontId="12" fillId="0" borderId="32" xfId="0" applyNumberFormat="1" applyFont="1" applyFill="1" applyBorder="1" applyAlignment="1">
      <alignment horizontal="center"/>
    </xf>
    <xf numFmtId="166" fontId="12" fillId="0" borderId="0" xfId="0" applyNumberFormat="1" applyFont="1" applyFill="1" applyBorder="1" applyAlignment="1">
      <alignment horizontal="center"/>
    </xf>
    <xf numFmtId="0" fontId="12" fillId="0" borderId="16" xfId="0" applyFont="1" applyFill="1" applyBorder="1"/>
    <xf numFmtId="0" fontId="12" fillId="0" borderId="15" xfId="0" applyFont="1" applyFill="1" applyBorder="1"/>
    <xf numFmtId="2" fontId="12" fillId="0" borderId="15" xfId="0" applyNumberFormat="1" applyFont="1" applyFill="1" applyBorder="1" applyAlignment="1">
      <alignment horizontal="center"/>
    </xf>
    <xf numFmtId="166" fontId="12" fillId="0" borderId="15" xfId="0" applyNumberFormat="1" applyFont="1" applyFill="1" applyBorder="1" applyAlignment="1">
      <alignment horizontal="center"/>
    </xf>
    <xf numFmtId="166" fontId="25" fillId="0" borderId="16" xfId="0" applyNumberFormat="1" applyFont="1" applyFill="1" applyBorder="1" applyAlignment="1">
      <alignment horizontal="center"/>
    </xf>
    <xf numFmtId="166" fontId="25" fillId="0" borderId="3" xfId="0" applyNumberFormat="1" applyFont="1" applyFill="1" applyBorder="1" applyAlignment="1">
      <alignment horizontal="center"/>
    </xf>
    <xf numFmtId="166" fontId="12" fillId="0" borderId="3" xfId="0" applyNumberFormat="1" applyFont="1" applyFill="1" applyBorder="1" applyAlignment="1">
      <alignment horizontal="center"/>
    </xf>
    <xf numFmtId="164" fontId="12" fillId="0" borderId="29" xfId="0" applyNumberFormat="1" applyFont="1" applyFill="1" applyBorder="1" applyAlignment="1">
      <alignment horizontal="center"/>
    </xf>
    <xf numFmtId="166" fontId="25" fillId="0" borderId="32" xfId="0" applyNumberFormat="1" applyFont="1" applyFill="1" applyBorder="1" applyAlignment="1">
      <alignment horizontal="center"/>
    </xf>
    <xf numFmtId="2" fontId="12" fillId="0" borderId="34" xfId="0" applyNumberFormat="1" applyFont="1" applyFill="1" applyBorder="1" applyAlignment="1">
      <alignment horizontal="left"/>
    </xf>
    <xf numFmtId="2" fontId="12" fillId="0" borderId="9" xfId="0" applyNumberFormat="1" applyFont="1" applyFill="1" applyBorder="1" applyAlignment="1">
      <alignment horizontal="center"/>
    </xf>
    <xf numFmtId="2" fontId="12" fillId="0" borderId="34" xfId="0"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34" xfId="0" applyNumberFormat="1" applyFont="1" applyFill="1" applyBorder="1" applyAlignment="1">
      <alignment horizontal="center"/>
    </xf>
    <xf numFmtId="4" fontId="12" fillId="0" borderId="0" xfId="0" applyNumberFormat="1" applyFont="1" applyFill="1" applyBorder="1"/>
    <xf numFmtId="4" fontId="12" fillId="0" borderId="29" xfId="0" applyNumberFormat="1" applyFont="1" applyFill="1" applyBorder="1"/>
    <xf numFmtId="170" fontId="12" fillId="0" borderId="29" xfId="0" applyNumberFormat="1" applyFont="1" applyFill="1" applyBorder="1"/>
    <xf numFmtId="170" fontId="25" fillId="0" borderId="0" xfId="0" applyNumberFormat="1" applyFont="1" applyFill="1" applyBorder="1"/>
    <xf numFmtId="4" fontId="12" fillId="0" borderId="9" xfId="0" applyNumberFormat="1" applyFont="1" applyFill="1" applyBorder="1"/>
    <xf numFmtId="170" fontId="25" fillId="0" borderId="9" xfId="0" applyNumberFormat="1" applyFont="1" applyFill="1" applyBorder="1"/>
    <xf numFmtId="0" fontId="8" fillId="0" borderId="0" xfId="0" applyFont="1" applyFill="1"/>
    <xf numFmtId="0" fontId="11" fillId="0" borderId="32" xfId="0" applyFont="1" applyFill="1" applyBorder="1" applyAlignment="1">
      <alignment horizontal="left"/>
    </xf>
    <xf numFmtId="0" fontId="11" fillId="0" borderId="29" xfId="0" applyFont="1" applyFill="1" applyBorder="1" applyAlignment="1">
      <alignment horizontal="left"/>
    </xf>
    <xf numFmtId="0" fontId="11" fillId="0" borderId="34" xfId="0" applyFont="1" applyFill="1" applyBorder="1" applyAlignment="1">
      <alignment horizontal="left"/>
    </xf>
    <xf numFmtId="166" fontId="12" fillId="0" borderId="28" xfId="0" applyNumberFormat="1" applyFont="1" applyFill="1" applyBorder="1" applyAlignment="1">
      <alignment horizontal="center"/>
    </xf>
    <xf numFmtId="166" fontId="25" fillId="0" borderId="28" xfId="0" applyNumberFormat="1" applyFont="1" applyFill="1" applyBorder="1" applyAlignment="1">
      <alignment horizontal="center"/>
    </xf>
    <xf numFmtId="0" fontId="11" fillId="0" borderId="9" xfId="0" applyFont="1" applyFill="1" applyBorder="1"/>
    <xf numFmtId="9" fontId="12" fillId="0" borderId="26" xfId="0" applyNumberFormat="1" applyFont="1" applyFill="1" applyBorder="1" applyAlignment="1">
      <alignment horizontal="center"/>
    </xf>
    <xf numFmtId="0" fontId="11" fillId="0" borderId="32" xfId="0" applyFont="1" applyFill="1" applyBorder="1"/>
    <xf numFmtId="0" fontId="12" fillId="0" borderId="30" xfId="0" applyFont="1" applyFill="1" applyBorder="1" applyAlignment="1">
      <alignment horizontal="left" wrapText="1"/>
    </xf>
    <xf numFmtId="165" fontId="12" fillId="0" borderId="3" xfId="0" applyNumberFormat="1" applyFont="1" applyFill="1" applyBorder="1" applyAlignment="1">
      <alignment horizontal="left" wrapText="1"/>
    </xf>
    <xf numFmtId="165" fontId="12" fillId="0" borderId="3" xfId="0" applyNumberFormat="1" applyFont="1" applyFill="1" applyBorder="1" applyAlignment="1">
      <alignment horizontal="center" wrapText="1"/>
    </xf>
    <xf numFmtId="0" fontId="12" fillId="0" borderId="8" xfId="0" applyFont="1" applyFill="1" applyBorder="1" applyAlignment="1">
      <alignment horizontal="left" wrapText="1"/>
    </xf>
    <xf numFmtId="4" fontId="12" fillId="0" borderId="27" xfId="0" applyNumberFormat="1" applyFont="1" applyFill="1" applyBorder="1" applyAlignment="1">
      <alignment horizontal="center"/>
    </xf>
    <xf numFmtId="4" fontId="12" fillId="0" borderId="28" xfId="0" applyNumberFormat="1" applyFont="1" applyFill="1" applyBorder="1" applyAlignment="1">
      <alignment horizontal="center"/>
    </xf>
    <xf numFmtId="169" fontId="12" fillId="0" borderId="27" xfId="0" applyNumberFormat="1" applyFont="1" applyFill="1" applyBorder="1" applyAlignment="1">
      <alignment horizontal="center"/>
    </xf>
    <xf numFmtId="169" fontId="12" fillId="0" borderId="27" xfId="0" applyNumberFormat="1" applyFont="1" applyFill="1" applyBorder="1"/>
    <xf numFmtId="4" fontId="12" fillId="0" borderId="26" xfId="0" applyNumberFormat="1" applyFont="1" applyFill="1" applyBorder="1" applyAlignment="1">
      <alignment horizontal="center"/>
    </xf>
    <xf numFmtId="0" fontId="12" fillId="0" borderId="11" xfId="0" applyFont="1" applyFill="1" applyBorder="1" applyAlignment="1">
      <alignment horizontal="left" wrapText="1"/>
    </xf>
    <xf numFmtId="2" fontId="12" fillId="0" borderId="0" xfId="0" applyNumberFormat="1" applyFont="1" applyFill="1" applyAlignment="1">
      <alignment horizontal="center"/>
    </xf>
    <xf numFmtId="2" fontId="12" fillId="0" borderId="0" xfId="0" applyNumberFormat="1" applyFont="1" applyFill="1"/>
    <xf numFmtId="0" fontId="12" fillId="0" borderId="34" xfId="0" applyFont="1" applyFill="1" applyBorder="1" applyAlignment="1">
      <alignment horizontal="center" wrapText="1"/>
    </xf>
    <xf numFmtId="169" fontId="12" fillId="0" borderId="4" xfId="0" applyNumberFormat="1" applyFont="1" applyFill="1" applyBorder="1" applyAlignment="1">
      <alignment horizontal="center"/>
    </xf>
    <xf numFmtId="178" fontId="12" fillId="0" borderId="4" xfId="0" applyNumberFormat="1" applyFont="1" applyFill="1" applyBorder="1" applyAlignment="1">
      <alignment horizontal="center"/>
    </xf>
    <xf numFmtId="178" fontId="12" fillId="0" borderId="10" xfId="0" applyNumberFormat="1" applyFont="1" applyFill="1" applyBorder="1" applyAlignment="1">
      <alignment horizontal="center"/>
    </xf>
    <xf numFmtId="4" fontId="12" fillId="0" borderId="9" xfId="0" applyNumberFormat="1" applyFont="1" applyFill="1" applyBorder="1" applyAlignment="1">
      <alignment horizontal="center"/>
    </xf>
    <xf numFmtId="0" fontId="12" fillId="0" borderId="34" xfId="0" applyFont="1" applyFill="1" applyBorder="1" applyAlignment="1">
      <alignment horizontal="center"/>
    </xf>
    <xf numFmtId="0" fontId="12" fillId="0" borderId="13" xfId="0" applyFont="1" applyFill="1" applyBorder="1" applyAlignment="1">
      <alignment horizontal="center" wrapText="1"/>
    </xf>
    <xf numFmtId="0" fontId="12" fillId="0" borderId="13" xfId="0" applyFont="1" applyFill="1" applyBorder="1" applyAlignment="1">
      <alignment horizontal="center"/>
    </xf>
    <xf numFmtId="168" fontId="12" fillId="0" borderId="4" xfId="0" applyNumberFormat="1" applyFont="1" applyFill="1" applyBorder="1" applyAlignment="1">
      <alignment horizontal="center"/>
    </xf>
    <xf numFmtId="1" fontId="12" fillId="0" borderId="10" xfId="0" applyNumberFormat="1" applyFont="1" applyFill="1" applyBorder="1" applyAlignment="1">
      <alignment horizontal="center"/>
    </xf>
    <xf numFmtId="168" fontId="12" fillId="0" borderId="32" xfId="0" applyNumberFormat="1" applyFont="1" applyFill="1" applyBorder="1" applyAlignment="1">
      <alignment horizontal="center"/>
    </xf>
    <xf numFmtId="168" fontId="12" fillId="0" borderId="0" xfId="0" applyNumberFormat="1" applyFont="1" applyFill="1" applyBorder="1"/>
    <xf numFmtId="0" fontId="12" fillId="0" borderId="23" xfId="0" applyFont="1" applyFill="1" applyBorder="1" applyAlignment="1">
      <alignment horizontal="center"/>
    </xf>
    <xf numFmtId="168" fontId="12" fillId="0" borderId="9" xfId="0" applyNumberFormat="1" applyFont="1" applyFill="1" applyBorder="1"/>
    <xf numFmtId="167" fontId="12" fillId="0" borderId="27" xfId="0" applyNumberFormat="1" applyFont="1" applyFill="1" applyBorder="1" applyAlignment="1">
      <alignment horizontal="center" wrapText="1"/>
    </xf>
    <xf numFmtId="0" fontId="11" fillId="0" borderId="16" xfId="0" applyFont="1" applyFill="1" applyBorder="1"/>
    <xf numFmtId="0" fontId="11" fillId="0" borderId="13" xfId="0" applyFont="1" applyFill="1" applyBorder="1" applyAlignment="1">
      <alignment horizontal="center" vertical="center"/>
    </xf>
    <xf numFmtId="0" fontId="12" fillId="0" borderId="36" xfId="0" applyFont="1" applyFill="1" applyBorder="1" applyAlignment="1">
      <alignment horizontal="center" wrapText="1"/>
    </xf>
    <xf numFmtId="2" fontId="12" fillId="0" borderId="32" xfId="0" applyNumberFormat="1" applyFont="1" applyFill="1" applyBorder="1" applyAlignment="1">
      <alignment horizontal="center"/>
    </xf>
    <xf numFmtId="2" fontId="12" fillId="0" borderId="23" xfId="0" applyNumberFormat="1" applyFont="1" applyFill="1" applyBorder="1" applyAlignment="1">
      <alignment horizontal="center"/>
    </xf>
    <xf numFmtId="0" fontId="11" fillId="0" borderId="32"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horizontal="center" vertical="center" wrapText="1"/>
    </xf>
    <xf numFmtId="0" fontId="11" fillId="0" borderId="32" xfId="0" applyFont="1" applyFill="1" applyBorder="1" applyAlignment="1">
      <alignment horizontal="center" vertical="center"/>
    </xf>
    <xf numFmtId="0" fontId="11" fillId="0" borderId="29" xfId="0" applyFont="1" applyFill="1" applyBorder="1" applyAlignment="1">
      <alignment horizontal="center" vertical="center"/>
    </xf>
    <xf numFmtId="9" fontId="12" fillId="0" borderId="0" xfId="3" applyFont="1" applyFill="1"/>
    <xf numFmtId="164" fontId="12" fillId="0" borderId="0" xfId="0" applyNumberFormat="1" applyFont="1" applyFill="1"/>
    <xf numFmtId="0" fontId="25" fillId="0" borderId="0" xfId="0" applyFont="1" applyFill="1"/>
    <xf numFmtId="168" fontId="12" fillId="0" borderId="0" xfId="0" applyNumberFormat="1" applyFont="1" applyFill="1"/>
    <xf numFmtId="1" fontId="12" fillId="0" borderId="9" xfId="0" applyNumberFormat="1" applyFont="1" applyFill="1" applyBorder="1" applyAlignment="1">
      <alignment horizontal="center"/>
    </xf>
    <xf numFmtId="0" fontId="11" fillId="0" borderId="4" xfId="0" applyFont="1" applyFill="1" applyBorder="1" applyAlignment="1">
      <alignment horizontal="left"/>
    </xf>
    <xf numFmtId="171" fontId="12" fillId="0" borderId="0" xfId="3" applyNumberFormat="1" applyFont="1" applyFill="1" applyAlignment="1">
      <alignment horizontal="center"/>
    </xf>
    <xf numFmtId="2" fontId="12" fillId="0" borderId="0" xfId="3" applyNumberFormat="1" applyFont="1" applyFill="1" applyAlignment="1">
      <alignment horizontal="center"/>
    </xf>
    <xf numFmtId="2" fontId="12" fillId="0" borderId="9" xfId="3" applyNumberFormat="1" applyFont="1" applyFill="1" applyBorder="1" applyAlignment="1">
      <alignment horizontal="center"/>
    </xf>
    <xf numFmtId="170" fontId="12" fillId="0" borderId="0" xfId="0" applyNumberFormat="1" applyFont="1" applyFill="1" applyAlignment="1">
      <alignment horizontal="center"/>
    </xf>
    <xf numFmtId="0" fontId="11" fillId="0" borderId="3" xfId="0" applyFont="1" applyFill="1" applyBorder="1" applyAlignment="1">
      <alignment horizontal="left"/>
    </xf>
    <xf numFmtId="0" fontId="11" fillId="0" borderId="9" xfId="0" applyFont="1" applyFill="1" applyBorder="1" applyAlignment="1">
      <alignment horizontal="left"/>
    </xf>
    <xf numFmtId="0" fontId="10" fillId="0" borderId="0" xfId="0" applyFont="1" applyFill="1"/>
    <xf numFmtId="0" fontId="9" fillId="0" borderId="0" xfId="0" applyFont="1" applyFill="1"/>
    <xf numFmtId="0" fontId="2" fillId="0" borderId="4" xfId="0" applyFont="1" applyFill="1" applyBorder="1" applyAlignment="1">
      <alignment vertical="center"/>
    </xf>
    <xf numFmtId="0" fontId="2" fillId="0" borderId="10" xfId="0" applyFont="1" applyFill="1" applyBorder="1" applyAlignment="1">
      <alignment vertical="center"/>
    </xf>
    <xf numFmtId="0" fontId="2" fillId="0" borderId="4" xfId="0" applyFont="1" applyFill="1" applyBorder="1" applyAlignment="1">
      <alignment horizontal="center" vertical="center"/>
    </xf>
    <xf numFmtId="165" fontId="2" fillId="0" borderId="3" xfId="0" applyNumberFormat="1" applyFont="1" applyFill="1" applyBorder="1"/>
    <xf numFmtId="165" fontId="2" fillId="0" borderId="3" xfId="0" applyNumberFormat="1" applyFont="1" applyFill="1" applyBorder="1" applyAlignment="1">
      <alignment horizontal="center"/>
    </xf>
    <xf numFmtId="0" fontId="3" fillId="0" borderId="2" xfId="0" applyFont="1" applyFill="1" applyBorder="1" applyAlignment="1">
      <alignment horizontal="left" wrapText="1"/>
    </xf>
    <xf numFmtId="0" fontId="3" fillId="0" borderId="2" xfId="0" applyFont="1" applyFill="1" applyBorder="1" applyAlignment="1">
      <alignment horizontal="center" wrapText="1"/>
    </xf>
    <xf numFmtId="0" fontId="3" fillId="0" borderId="5" xfId="0" applyFont="1" applyFill="1" applyBorder="1" applyAlignment="1">
      <alignment horizontal="center" wrapText="1"/>
    </xf>
    <xf numFmtId="165" fontId="3" fillId="0" borderId="6" xfId="0" applyNumberFormat="1" applyFont="1" applyFill="1" applyBorder="1" applyAlignment="1">
      <alignment horizontal="left" wrapText="1"/>
    </xf>
    <xf numFmtId="165" fontId="3" fillId="0" borderId="6" xfId="0" applyNumberFormat="1" applyFont="1" applyFill="1" applyBorder="1" applyAlignment="1">
      <alignment horizontal="center" wrapText="1"/>
    </xf>
    <xf numFmtId="0" fontId="3" fillId="0" borderId="7" xfId="0" applyFont="1" applyFill="1" applyBorder="1" applyAlignment="1">
      <alignment horizontal="left" wrapText="1"/>
    </xf>
    <xf numFmtId="0" fontId="3" fillId="0" borderId="7" xfId="0" applyFont="1" applyFill="1" applyBorder="1" applyAlignment="1">
      <alignment horizontal="center" wrapText="1"/>
    </xf>
    <xf numFmtId="0" fontId="3" fillId="0" borderId="8" xfId="0" applyFont="1" applyFill="1" applyBorder="1" applyAlignment="1">
      <alignment horizontal="center" wrapText="1"/>
    </xf>
    <xf numFmtId="0" fontId="3" fillId="0" borderId="4" xfId="0" applyFont="1" applyFill="1" applyBorder="1"/>
    <xf numFmtId="1" fontId="3" fillId="0" borderId="10" xfId="0" applyNumberFormat="1" applyFont="1" applyFill="1" applyBorder="1"/>
    <xf numFmtId="2" fontId="3" fillId="0" borderId="4" xfId="0" applyNumberFormat="1" applyFont="1" applyFill="1" applyBorder="1" applyAlignment="1">
      <alignment horizontal="center"/>
    </xf>
    <xf numFmtId="168" fontId="3" fillId="0" borderId="4" xfId="0" applyNumberFormat="1" applyFont="1" applyFill="1" applyBorder="1" applyAlignment="1">
      <alignment horizontal="center"/>
    </xf>
    <xf numFmtId="168" fontId="3" fillId="0" borderId="0" xfId="0" applyNumberFormat="1" applyFont="1" applyFill="1" applyAlignment="1">
      <alignment horizontal="center"/>
    </xf>
    <xf numFmtId="165" fontId="27" fillId="0" borderId="0" xfId="0" applyNumberFormat="1" applyFont="1" applyFill="1"/>
    <xf numFmtId="165" fontId="3" fillId="0" borderId="0" xfId="0" applyNumberFormat="1" applyFont="1" applyFill="1"/>
    <xf numFmtId="165" fontId="3" fillId="0" borderId="0" xfId="0" applyNumberFormat="1" applyFont="1" applyFill="1" applyAlignment="1">
      <alignment horizontal="center"/>
    </xf>
    <xf numFmtId="0" fontId="2" fillId="0" borderId="0" xfId="0" applyFont="1" applyFill="1" applyAlignment="1">
      <alignment horizontal="left"/>
    </xf>
    <xf numFmtId="0" fontId="3" fillId="0" borderId="0" xfId="0" applyFont="1" applyFill="1" applyAlignment="1">
      <alignment horizontal="right"/>
    </xf>
    <xf numFmtId="165" fontId="2" fillId="0" borderId="0" xfId="0" applyNumberFormat="1" applyFont="1" applyFill="1"/>
    <xf numFmtId="1" fontId="3" fillId="0" borderId="29" xfId="0" applyNumberFormat="1" applyFont="1" applyFill="1" applyBorder="1"/>
    <xf numFmtId="2" fontId="3" fillId="0" borderId="0" xfId="0" applyNumberFormat="1" applyFont="1" applyFill="1" applyAlignment="1">
      <alignment horizontal="center"/>
    </xf>
    <xf numFmtId="165" fontId="12" fillId="0" borderId="0" xfId="0" applyNumberFormat="1" applyFont="1" applyFill="1" applyAlignment="1">
      <alignment horizontal="center"/>
    </xf>
    <xf numFmtId="0" fontId="12" fillId="0" borderId="2" xfId="0" applyFont="1" applyFill="1" applyBorder="1" applyAlignment="1">
      <alignment horizontal="left" wrapText="1"/>
    </xf>
    <xf numFmtId="165" fontId="12" fillId="0" borderId="29" xfId="0" applyNumberFormat="1" applyFont="1" applyFill="1" applyBorder="1"/>
    <xf numFmtId="164" fontId="12" fillId="0" borderId="0" xfId="0" applyNumberFormat="1" applyFont="1" applyFill="1" applyAlignment="1">
      <alignment horizontal="center"/>
    </xf>
    <xf numFmtId="168" fontId="12" fillId="0" borderId="0" xfId="0" applyNumberFormat="1" applyFont="1" applyFill="1" applyAlignment="1">
      <alignment horizontal="center"/>
    </xf>
    <xf numFmtId="168" fontId="12" fillId="0" borderId="10" xfId="0" applyNumberFormat="1" applyFont="1" applyFill="1" applyBorder="1" applyAlignment="1">
      <alignment horizontal="center"/>
    </xf>
    <xf numFmtId="168" fontId="12" fillId="0" borderId="29" xfId="0" applyNumberFormat="1" applyFont="1" applyFill="1" applyBorder="1" applyAlignment="1">
      <alignment horizontal="center"/>
    </xf>
    <xf numFmtId="0" fontId="12" fillId="0" borderId="7" xfId="0" applyFont="1" applyFill="1" applyBorder="1" applyAlignment="1">
      <alignment horizontal="right" wrapText="1"/>
    </xf>
    <xf numFmtId="1" fontId="12" fillId="0" borderId="0" xfId="0" applyNumberFormat="1" applyFont="1" applyFill="1" applyAlignment="1">
      <alignment horizontal="center"/>
    </xf>
    <xf numFmtId="166" fontId="12" fillId="0" borderId="0" xfId="0" applyNumberFormat="1" applyFont="1" applyFill="1" applyAlignment="1">
      <alignment horizontal="center"/>
    </xf>
    <xf numFmtId="0" fontId="11" fillId="0" borderId="0" xfId="0" applyFont="1" applyFill="1" applyBorder="1" applyAlignment="1">
      <alignment horizontal="center"/>
    </xf>
    <xf numFmtId="0" fontId="11" fillId="0" borderId="0" xfId="0" applyFont="1" applyFill="1" applyAlignment="1">
      <alignment horizontal="center"/>
    </xf>
    <xf numFmtId="0" fontId="12" fillId="0" borderId="0" xfId="0" applyFont="1" applyFill="1" applyAlignment="1">
      <alignment horizontal="left" wrapText="1"/>
    </xf>
    <xf numFmtId="0" fontId="12" fillId="0" borderId="0" xfId="5" applyFont="1" applyFill="1" applyAlignment="1">
      <alignment horizontal="left"/>
    </xf>
    <xf numFmtId="0" fontId="12" fillId="0" borderId="0" xfId="5" applyFont="1" applyFill="1"/>
    <xf numFmtId="0" fontId="12" fillId="0" borderId="0" xfId="5" applyFont="1" applyFill="1" applyAlignment="1">
      <alignment horizontal="right"/>
    </xf>
    <xf numFmtId="0" fontId="11" fillId="0" borderId="4" xfId="5" applyFont="1" applyFill="1" applyBorder="1" applyAlignment="1">
      <alignment vertical="center"/>
    </xf>
    <xf numFmtId="0" fontId="11" fillId="0" borderId="4" xfId="6" applyFont="1" applyFill="1" applyBorder="1" applyAlignment="1">
      <alignment vertical="center"/>
    </xf>
    <xf numFmtId="0" fontId="11" fillId="0" borderId="10" xfId="5" applyFont="1" applyFill="1" applyBorder="1" applyAlignment="1">
      <alignment vertical="center"/>
    </xf>
    <xf numFmtId="0" fontId="11" fillId="0" borderId="4" xfId="5" applyFont="1" applyFill="1" applyBorder="1" applyAlignment="1">
      <alignment horizontal="center" vertical="center" wrapText="1"/>
    </xf>
    <xf numFmtId="0" fontId="11" fillId="0" borderId="10" xfId="5" applyFont="1" applyFill="1" applyBorder="1" applyAlignment="1">
      <alignment horizontal="center" vertical="center" wrapText="1"/>
    </xf>
    <xf numFmtId="0" fontId="12" fillId="0" borderId="16" xfId="6" applyFont="1" applyFill="1" applyBorder="1" applyAlignment="1">
      <alignment horizontal="left" wrapText="1"/>
    </xf>
    <xf numFmtId="0" fontId="12" fillId="0" borderId="3" xfId="6" applyFont="1" applyFill="1" applyBorder="1" applyAlignment="1">
      <alignment horizontal="center" wrapText="1"/>
    </xf>
    <xf numFmtId="165" fontId="12" fillId="0" borderId="6" xfId="6" applyNumberFormat="1" applyFont="1" applyFill="1" applyBorder="1" applyAlignment="1">
      <alignment horizontal="left" wrapText="1"/>
    </xf>
    <xf numFmtId="0" fontId="12" fillId="0" borderId="9" xfId="6" applyFont="1" applyFill="1" applyBorder="1" applyAlignment="1">
      <alignment horizontal="left" wrapText="1"/>
    </xf>
    <xf numFmtId="0" fontId="12" fillId="0" borderId="9" xfId="6" applyFont="1" applyFill="1" applyBorder="1" applyAlignment="1">
      <alignment horizontal="center" wrapText="1"/>
    </xf>
    <xf numFmtId="0" fontId="12" fillId="0" borderId="0" xfId="8" applyFont="1" applyFill="1"/>
    <xf numFmtId="0" fontId="12" fillId="0" borderId="0" xfId="0" applyFont="1" applyFill="1" applyAlignment="1">
      <alignment horizontal="left"/>
    </xf>
    <xf numFmtId="0" fontId="11" fillId="0" borderId="0" xfId="5" applyFont="1" applyFill="1" applyAlignment="1">
      <alignment horizontal="left"/>
    </xf>
    <xf numFmtId="0" fontId="12" fillId="0" borderId="1" xfId="0" applyFont="1" applyFill="1" applyBorder="1"/>
    <xf numFmtId="0" fontId="11" fillId="0" borderId="16"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wrapText="1"/>
    </xf>
    <xf numFmtId="165" fontId="12" fillId="0" borderId="6" xfId="0" applyNumberFormat="1" applyFont="1" applyFill="1" applyBorder="1" applyAlignment="1">
      <alignment horizontal="center" vertical="center" wrapText="1"/>
    </xf>
    <xf numFmtId="0" fontId="12" fillId="0" borderId="0" xfId="0" applyFont="1" applyFill="1" applyAlignment="1">
      <alignment vertical="center"/>
    </xf>
    <xf numFmtId="0" fontId="12" fillId="0" borderId="11" xfId="0" applyFont="1" applyFill="1" applyBorder="1"/>
    <xf numFmtId="0" fontId="12" fillId="0" borderId="11" xfId="0" applyFont="1" applyFill="1" applyBorder="1" applyAlignment="1">
      <alignment horizontal="center"/>
    </xf>
    <xf numFmtId="2" fontId="12" fillId="0" borderId="0" xfId="0" applyNumberFormat="1" applyFont="1" applyFill="1" applyBorder="1" applyAlignment="1">
      <alignment horizontal="left"/>
    </xf>
    <xf numFmtId="2" fontId="12" fillId="0" borderId="10" xfId="0" applyNumberFormat="1" applyFont="1" applyFill="1" applyBorder="1" applyAlignment="1">
      <alignment horizontal="left"/>
    </xf>
    <xf numFmtId="2" fontId="12" fillId="0" borderId="29" xfId="0" applyNumberFormat="1" applyFont="1" applyFill="1" applyBorder="1" applyAlignment="1">
      <alignment horizontal="left"/>
    </xf>
    <xf numFmtId="171" fontId="12" fillId="0" borderId="0" xfId="0" applyNumberFormat="1" applyFont="1" applyFill="1" applyBorder="1" applyAlignment="1">
      <alignment horizontal="center"/>
    </xf>
    <xf numFmtId="2" fontId="12" fillId="0" borderId="9" xfId="0" applyNumberFormat="1" applyFont="1" applyFill="1" applyBorder="1" applyAlignment="1">
      <alignment horizontal="left"/>
    </xf>
    <xf numFmtId="1" fontId="12" fillId="0" borderId="0" xfId="0" applyNumberFormat="1" applyFont="1" applyFill="1" applyBorder="1" applyAlignment="1">
      <alignment horizontal="center"/>
    </xf>
    <xf numFmtId="0" fontId="12" fillId="0" borderId="1" xfId="0" applyFont="1" applyFill="1" applyBorder="1" applyAlignment="1">
      <alignment horizontal="center"/>
    </xf>
    <xf numFmtId="0" fontId="4" fillId="0" borderId="9" xfId="0" applyFont="1" applyFill="1" applyBorder="1" applyAlignment="1">
      <alignment horizontal="centerContinuous" vertical="center" wrapText="1"/>
    </xf>
    <xf numFmtId="0" fontId="3" fillId="0" borderId="9" xfId="0" applyFont="1" applyFill="1" applyBorder="1" applyAlignment="1">
      <alignment horizontal="centerContinuous" vertical="center" wrapText="1"/>
    </xf>
    <xf numFmtId="0" fontId="4" fillId="0" borderId="9" xfId="0" applyFont="1" applyFill="1" applyBorder="1" applyAlignment="1">
      <alignment horizontal="center"/>
    </xf>
    <xf numFmtId="0" fontId="28" fillId="0" borderId="16" xfId="4" applyFont="1" applyFill="1" applyBorder="1" applyAlignment="1">
      <alignment horizontal="center"/>
    </xf>
    <xf numFmtId="0" fontId="4" fillId="0" borderId="3" xfId="0" applyFont="1" applyFill="1" applyBorder="1" applyAlignment="1">
      <alignment horizontal="center"/>
    </xf>
    <xf numFmtId="0" fontId="4" fillId="0" borderId="15" xfId="0" applyFont="1" applyFill="1" applyBorder="1" applyAlignment="1">
      <alignment horizontal="center"/>
    </xf>
    <xf numFmtId="0" fontId="11" fillId="0" borderId="3" xfId="0" applyFont="1" applyFill="1" applyBorder="1" applyAlignment="1">
      <alignment horizontal="centerContinuous" vertical="center"/>
    </xf>
    <xf numFmtId="0" fontId="11" fillId="0" borderId="3" xfId="0" applyFont="1" applyFill="1" applyBorder="1" applyAlignment="1">
      <alignment horizontal="center" vertical="center"/>
    </xf>
    <xf numFmtId="0" fontId="11" fillId="0" borderId="3" xfId="0" quotePrefix="1" applyFont="1" applyFill="1" applyBorder="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16" xfId="0" applyFont="1" applyFill="1" applyBorder="1" applyAlignment="1">
      <alignment horizontal="center" vertical="center"/>
    </xf>
    <xf numFmtId="0" fontId="6" fillId="0" borderId="16" xfId="0" applyFont="1" applyFill="1" applyBorder="1" applyAlignment="1">
      <alignment horizontal="center" vertical="center" wrapText="1"/>
    </xf>
    <xf numFmtId="0" fontId="29" fillId="0" borderId="16" xfId="4" applyFont="1" applyFill="1" applyBorder="1" applyAlignment="1">
      <alignment horizontal="center" vertical="center" wrapText="1"/>
    </xf>
    <xf numFmtId="0" fontId="29" fillId="0" borderId="3" xfId="4" applyFont="1" applyFill="1" applyBorder="1" applyAlignment="1">
      <alignment horizontal="center" vertical="center" wrapText="1"/>
    </xf>
    <xf numFmtId="0" fontId="29" fillId="0" borderId="15" xfId="4" applyFont="1" applyFill="1" applyBorder="1" applyAlignment="1">
      <alignment horizontal="center" vertical="center" wrapText="1"/>
    </xf>
    <xf numFmtId="0" fontId="4" fillId="0" borderId="4" xfId="0" applyFont="1" applyFill="1" applyBorder="1"/>
    <xf numFmtId="0" fontId="30" fillId="0" borderId="4" xfId="0" applyFont="1" applyFill="1" applyBorder="1" applyAlignment="1">
      <alignment horizontal="center"/>
    </xf>
    <xf numFmtId="172" fontId="4" fillId="0" borderId="4" xfId="0" applyNumberFormat="1" applyFont="1" applyFill="1" applyBorder="1" applyAlignment="1">
      <alignment horizontal="center"/>
    </xf>
    <xf numFmtId="172" fontId="4" fillId="0" borderId="13" xfId="0" applyNumberFormat="1" applyFont="1" applyFill="1" applyBorder="1" applyAlignment="1">
      <alignment horizontal="center"/>
    </xf>
    <xf numFmtId="172" fontId="4" fillId="0" borderId="10" xfId="0" applyNumberFormat="1" applyFont="1" applyFill="1" applyBorder="1" applyAlignment="1">
      <alignment horizontal="center"/>
    </xf>
    <xf numFmtId="0" fontId="6" fillId="0" borderId="17" xfId="0" applyFont="1" applyFill="1" applyBorder="1" applyAlignment="1">
      <alignment horizontal="center"/>
    </xf>
    <xf numFmtId="0" fontId="4" fillId="0" borderId="17" xfId="0" applyFont="1" applyFill="1" applyBorder="1" applyAlignment="1">
      <alignment horizontal="left"/>
    </xf>
    <xf numFmtId="0" fontId="30" fillId="0" borderId="17" xfId="0" applyFont="1" applyFill="1" applyBorder="1" applyAlignment="1">
      <alignment horizontal="center"/>
    </xf>
    <xf numFmtId="175" fontId="30" fillId="0" borderId="17" xfId="0" applyNumberFormat="1" applyFont="1" applyFill="1" applyBorder="1" applyAlignment="1">
      <alignment horizontal="center"/>
    </xf>
    <xf numFmtId="175" fontId="4" fillId="0" borderId="17" xfId="0" applyNumberFormat="1" applyFont="1" applyFill="1" applyBorder="1" applyAlignment="1">
      <alignment horizontal="right"/>
    </xf>
    <xf numFmtId="175" fontId="4" fillId="0" borderId="18" xfId="0" applyNumberFormat="1" applyFont="1" applyFill="1" applyBorder="1" applyAlignment="1">
      <alignment horizontal="right"/>
    </xf>
    <xf numFmtId="176" fontId="4" fillId="0" borderId="18" xfId="0" applyNumberFormat="1" applyFont="1" applyFill="1" applyBorder="1" applyAlignment="1">
      <alignment horizontal="right"/>
    </xf>
    <xf numFmtId="176" fontId="4" fillId="0" borderId="17" xfId="0" applyNumberFormat="1" applyFont="1" applyFill="1" applyBorder="1" applyAlignment="1">
      <alignment horizontal="right"/>
    </xf>
    <xf numFmtId="176" fontId="4" fillId="0" borderId="37" xfId="0" applyNumberFormat="1" applyFont="1" applyFill="1" applyBorder="1" applyAlignment="1">
      <alignment horizontal="right"/>
    </xf>
    <xf numFmtId="173" fontId="3" fillId="0" borderId="0" xfId="0" applyNumberFormat="1" applyFont="1" applyFill="1"/>
    <xf numFmtId="0" fontId="6" fillId="0" borderId="19" xfId="0" applyFont="1" applyFill="1" applyBorder="1" applyAlignment="1">
      <alignment horizontal="center"/>
    </xf>
    <xf numFmtId="0" fontId="4" fillId="0" borderId="19" xfId="0" applyFont="1" applyFill="1" applyBorder="1" applyAlignment="1">
      <alignment horizontal="left"/>
    </xf>
    <xf numFmtId="0" fontId="30" fillId="0" borderId="19" xfId="0" applyFont="1" applyFill="1" applyBorder="1" applyAlignment="1">
      <alignment horizontal="center"/>
    </xf>
    <xf numFmtId="175" fontId="30" fillId="0" borderId="19" xfId="0" applyNumberFormat="1" applyFont="1" applyFill="1" applyBorder="1" applyAlignment="1">
      <alignment horizontal="center"/>
    </xf>
    <xf numFmtId="175" fontId="4" fillId="0" borderId="19" xfId="0" applyNumberFormat="1" applyFont="1" applyFill="1" applyBorder="1" applyAlignment="1">
      <alignment horizontal="right"/>
    </xf>
    <xf numFmtId="175" fontId="4" fillId="0" borderId="20" xfId="0" applyNumberFormat="1" applyFont="1" applyFill="1" applyBorder="1" applyAlignment="1">
      <alignment horizontal="right"/>
    </xf>
    <xf numFmtId="176" fontId="4" fillId="0" borderId="20" xfId="0" applyNumberFormat="1" applyFont="1" applyFill="1" applyBorder="1" applyAlignment="1">
      <alignment horizontal="right"/>
    </xf>
    <xf numFmtId="176" fontId="4" fillId="0" borderId="19" xfId="0" applyNumberFormat="1" applyFont="1" applyFill="1" applyBorder="1" applyAlignment="1">
      <alignment horizontal="right"/>
    </xf>
    <xf numFmtId="176" fontId="4" fillId="0" borderId="38" xfId="0" applyNumberFormat="1" applyFont="1" applyFill="1" applyBorder="1" applyAlignment="1">
      <alignment horizontal="right"/>
    </xf>
    <xf numFmtId="0" fontId="4" fillId="0" borderId="19" xfId="0" applyFont="1" applyFill="1" applyBorder="1"/>
    <xf numFmtId="176" fontId="29" fillId="0" borderId="19" xfId="0" applyNumberFormat="1" applyFont="1" applyFill="1" applyBorder="1" applyAlignment="1">
      <alignment horizontal="right"/>
    </xf>
    <xf numFmtId="174" fontId="3" fillId="0" borderId="0" xfId="0" applyNumberFormat="1" applyFont="1" applyFill="1"/>
    <xf numFmtId="172" fontId="4" fillId="0" borderId="19" xfId="0" applyNumberFormat="1" applyFont="1" applyFill="1" applyBorder="1" applyAlignment="1">
      <alignment horizontal="right"/>
    </xf>
    <xf numFmtId="172" fontId="4" fillId="0" borderId="20" xfId="0" applyNumberFormat="1" applyFont="1" applyFill="1" applyBorder="1" applyAlignment="1">
      <alignment horizontal="right"/>
    </xf>
    <xf numFmtId="0" fontId="6" fillId="0" borderId="21" xfId="0" applyFont="1" applyFill="1" applyBorder="1" applyAlignment="1">
      <alignment horizontal="center"/>
    </xf>
    <xf numFmtId="0" fontId="4" fillId="0" borderId="21" xfId="0" applyFont="1" applyFill="1" applyBorder="1" applyAlignment="1">
      <alignment horizontal="left"/>
    </xf>
    <xf numFmtId="0" fontId="30" fillId="0" borderId="21" xfId="0" applyFont="1" applyFill="1" applyBorder="1" applyAlignment="1">
      <alignment horizontal="center"/>
    </xf>
    <xf numFmtId="172" fontId="4" fillId="0" borderId="21" xfId="0" applyNumberFormat="1" applyFont="1" applyFill="1" applyBorder="1" applyAlignment="1">
      <alignment horizontal="right"/>
    </xf>
    <xf numFmtId="172" fontId="4" fillId="0" borderId="22" xfId="0" applyNumberFormat="1" applyFont="1" applyFill="1" applyBorder="1" applyAlignment="1">
      <alignment horizontal="right"/>
    </xf>
    <xf numFmtId="176" fontId="4" fillId="0" borderId="22" xfId="0" applyNumberFormat="1" applyFont="1" applyFill="1" applyBorder="1" applyAlignment="1">
      <alignment horizontal="right"/>
    </xf>
    <xf numFmtId="176" fontId="4" fillId="0" borderId="21" xfId="0" applyNumberFormat="1" applyFont="1" applyFill="1" applyBorder="1" applyAlignment="1">
      <alignment horizontal="right"/>
    </xf>
    <xf numFmtId="176" fontId="4" fillId="0" borderId="39" xfId="0" applyNumberFormat="1" applyFont="1" applyFill="1" applyBorder="1" applyAlignment="1">
      <alignment horizontal="right"/>
    </xf>
    <xf numFmtId="0" fontId="6" fillId="0" borderId="9" xfId="0" applyFont="1" applyFill="1" applyBorder="1" applyAlignment="1">
      <alignment horizontal="left"/>
    </xf>
    <xf numFmtId="0" fontId="30" fillId="0" borderId="9" xfId="0" applyFont="1" applyFill="1" applyBorder="1" applyAlignment="1">
      <alignment horizontal="center"/>
    </xf>
    <xf numFmtId="172" fontId="6" fillId="0" borderId="9" xfId="0" applyNumberFormat="1" applyFont="1" applyFill="1" applyBorder="1" applyAlignment="1">
      <alignment horizontal="right"/>
    </xf>
    <xf numFmtId="172" fontId="6" fillId="0" borderId="23" xfId="0" applyNumberFormat="1" applyFont="1" applyFill="1" applyBorder="1" applyAlignment="1">
      <alignment horizontal="right"/>
    </xf>
    <xf numFmtId="176" fontId="6" fillId="0" borderId="23" xfId="0" applyNumberFormat="1" applyFont="1" applyFill="1" applyBorder="1" applyAlignment="1">
      <alignment horizontal="right"/>
    </xf>
    <xf numFmtId="176" fontId="4" fillId="0" borderId="9" xfId="0" applyNumberFormat="1" applyFont="1" applyFill="1" applyBorder="1" applyAlignment="1">
      <alignment horizontal="right"/>
    </xf>
    <xf numFmtId="176" fontId="6" fillId="0" borderId="9" xfId="0" applyNumberFormat="1" applyFont="1" applyFill="1" applyBorder="1" applyAlignment="1">
      <alignment horizontal="right"/>
    </xf>
    <xf numFmtId="176" fontId="6" fillId="0" borderId="34" xfId="0" applyNumberFormat="1" applyFont="1" applyFill="1" applyBorder="1" applyAlignment="1">
      <alignment horizontal="right"/>
    </xf>
    <xf numFmtId="0" fontId="6" fillId="0" borderId="24" xfId="0" applyFont="1" applyFill="1" applyBorder="1" applyAlignment="1">
      <alignment horizontal="center"/>
    </xf>
    <xf numFmtId="0" fontId="4" fillId="0" borderId="24" xfId="0" applyFont="1" applyFill="1" applyBorder="1" applyAlignment="1">
      <alignment horizontal="left"/>
    </xf>
    <xf numFmtId="0" fontId="30" fillId="0" borderId="24" xfId="0" applyFont="1" applyFill="1" applyBorder="1" applyAlignment="1">
      <alignment horizontal="center"/>
    </xf>
    <xf numFmtId="172" fontId="4" fillId="0" borderId="24" xfId="0" applyNumberFormat="1" applyFont="1" applyFill="1" applyBorder="1" applyAlignment="1">
      <alignment horizontal="right"/>
    </xf>
    <xf numFmtId="172" fontId="4" fillId="0" borderId="25" xfId="0" applyNumberFormat="1" applyFont="1" applyFill="1" applyBorder="1" applyAlignment="1">
      <alignment horizontal="right"/>
    </xf>
    <xf numFmtId="176" fontId="4" fillId="0" borderId="25" xfId="0" applyNumberFormat="1" applyFont="1" applyFill="1" applyBorder="1" applyAlignment="1">
      <alignment horizontal="right"/>
    </xf>
    <xf numFmtId="176" fontId="4" fillId="0" borderId="24" xfId="0" applyNumberFormat="1" applyFont="1" applyFill="1" applyBorder="1" applyAlignment="1">
      <alignment horizontal="right"/>
    </xf>
    <xf numFmtId="176" fontId="4" fillId="0" borderId="40" xfId="0" applyNumberFormat="1" applyFont="1" applyFill="1" applyBorder="1" applyAlignment="1">
      <alignment horizontal="right"/>
    </xf>
    <xf numFmtId="0" fontId="6" fillId="0" borderId="3" xfId="0" applyFont="1" applyFill="1" applyBorder="1" applyAlignment="1">
      <alignment horizontal="left"/>
    </xf>
    <xf numFmtId="0" fontId="30" fillId="0" borderId="3" xfId="0" applyFont="1" applyFill="1" applyBorder="1" applyAlignment="1">
      <alignment horizontal="center"/>
    </xf>
    <xf numFmtId="172" fontId="6" fillId="0" borderId="3" xfId="0" applyNumberFormat="1" applyFont="1" applyFill="1" applyBorder="1" applyAlignment="1">
      <alignment horizontal="right"/>
    </xf>
    <xf numFmtId="172" fontId="6" fillId="0" borderId="16" xfId="0" applyNumberFormat="1" applyFont="1" applyFill="1" applyBorder="1" applyAlignment="1">
      <alignment horizontal="right"/>
    </xf>
    <xf numFmtId="172" fontId="6" fillId="0" borderId="15" xfId="0" applyNumberFormat="1" applyFont="1" applyFill="1" applyBorder="1" applyAlignment="1">
      <alignment horizontal="right"/>
    </xf>
    <xf numFmtId="172" fontId="4" fillId="0" borderId="40" xfId="0" applyNumberFormat="1" applyFont="1" applyFill="1" applyBorder="1" applyAlignment="1">
      <alignment horizontal="right"/>
    </xf>
    <xf numFmtId="172" fontId="4" fillId="0" borderId="38" xfId="0" applyNumberFormat="1" applyFont="1" applyFill="1" applyBorder="1" applyAlignment="1">
      <alignment horizontal="right"/>
    </xf>
    <xf numFmtId="176" fontId="3" fillId="0" borderId="0" xfId="0" applyNumberFormat="1" applyFont="1" applyFill="1"/>
    <xf numFmtId="0" fontId="4" fillId="0" borderId="21" xfId="0" applyFont="1" applyFill="1" applyBorder="1"/>
    <xf numFmtId="172" fontId="4" fillId="0" borderId="39" xfId="0" applyNumberFormat="1" applyFont="1" applyFill="1" applyBorder="1" applyAlignment="1">
      <alignment horizontal="right"/>
    </xf>
    <xf numFmtId="172" fontId="6" fillId="0" borderId="34" xfId="0" applyNumberFormat="1" applyFont="1" applyFill="1" applyBorder="1" applyAlignment="1">
      <alignment horizontal="right"/>
    </xf>
    <xf numFmtId="174" fontId="4" fillId="0" borderId="20" xfId="0" applyNumberFormat="1" applyFont="1" applyFill="1" applyBorder="1" applyAlignment="1">
      <alignment horizontal="right"/>
    </xf>
    <xf numFmtId="176" fontId="4" fillId="0" borderId="23" xfId="0" applyNumberFormat="1" applyFont="1" applyFill="1" applyBorder="1" applyAlignment="1">
      <alignment horizontal="right"/>
    </xf>
    <xf numFmtId="0" fontId="4" fillId="0" borderId="0" xfId="0" applyFont="1" applyFill="1"/>
    <xf numFmtId="0" fontId="30" fillId="0" borderId="0" xfId="0" applyFont="1" applyFill="1" applyAlignment="1">
      <alignment horizontal="center"/>
    </xf>
    <xf numFmtId="165" fontId="11" fillId="0" borderId="4" xfId="0" applyNumberFormat="1" applyFont="1" applyFill="1" applyBorder="1"/>
    <xf numFmtId="165" fontId="11" fillId="0" borderId="4" xfId="0" applyNumberFormat="1" applyFont="1" applyFill="1" applyBorder="1" applyAlignment="1">
      <alignment horizontal="left"/>
    </xf>
    <xf numFmtId="165" fontId="12" fillId="0" borderId="2" xfId="0" applyNumberFormat="1" applyFont="1" applyFill="1" applyBorder="1" applyAlignment="1">
      <alignment horizontal="left"/>
    </xf>
    <xf numFmtId="165" fontId="12" fillId="0" borderId="6" xfId="0" applyNumberFormat="1" applyFont="1" applyFill="1" applyBorder="1" applyAlignment="1">
      <alignment horizontal="left"/>
    </xf>
    <xf numFmtId="0" fontId="2" fillId="0" borderId="4" xfId="0" applyFont="1" applyFill="1" applyBorder="1" applyAlignment="1">
      <alignment horizontal="center" vertical="center" wrapText="1"/>
    </xf>
    <xf numFmtId="0" fontId="3" fillId="0" borderId="8" xfId="0" applyFont="1" applyFill="1" applyBorder="1" applyAlignment="1">
      <alignment horizontal="right" wrapText="1"/>
    </xf>
    <xf numFmtId="1" fontId="3" fillId="0" borderId="4" xfId="0" applyNumberFormat="1" applyFont="1" applyFill="1" applyBorder="1"/>
    <xf numFmtId="0" fontId="3" fillId="0" borderId="10" xfId="0" applyFont="1" applyFill="1" applyBorder="1"/>
    <xf numFmtId="0" fontId="3" fillId="0" borderId="4" xfId="0" applyFont="1" applyFill="1" applyBorder="1" applyAlignment="1">
      <alignment horizontal="center"/>
    </xf>
    <xf numFmtId="0" fontId="3" fillId="0" borderId="9" xfId="0" applyFont="1" applyFill="1" applyBorder="1"/>
    <xf numFmtId="1" fontId="3" fillId="0" borderId="9" xfId="0" applyNumberFormat="1" applyFont="1" applyFill="1" applyBorder="1"/>
    <xf numFmtId="0" fontId="3" fillId="0" borderId="34" xfId="0" applyFont="1" applyFill="1" applyBorder="1"/>
    <xf numFmtId="2" fontId="3" fillId="0" borderId="9" xfId="0" applyNumberFormat="1" applyFont="1" applyFill="1" applyBorder="1" applyAlignment="1">
      <alignment horizontal="center"/>
    </xf>
    <xf numFmtId="0" fontId="3" fillId="0" borderId="9" xfId="0" applyFont="1" applyFill="1" applyBorder="1" applyAlignment="1">
      <alignment horizontal="center"/>
    </xf>
    <xf numFmtId="0" fontId="2" fillId="0" borderId="0" xfId="0" applyFont="1" applyFill="1" applyBorder="1"/>
    <xf numFmtId="0" fontId="4" fillId="0" borderId="0" xfId="0" applyFont="1" applyFill="1" applyAlignment="1">
      <alignment horizontal="right"/>
    </xf>
    <xf numFmtId="0" fontId="3" fillId="0" borderId="0" xfId="0" applyFont="1" applyFill="1" applyBorder="1" applyAlignment="1">
      <alignment horizontal="right"/>
    </xf>
    <xf numFmtId="0" fontId="3" fillId="0" borderId="29" xfId="0" applyFont="1" applyFill="1" applyBorder="1"/>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xf>
    <xf numFmtId="1" fontId="3" fillId="0" borderId="0" xfId="0" applyNumberFormat="1" applyFont="1" applyFill="1" applyBorder="1" applyAlignment="1">
      <alignment horizontal="center" vertical="center" wrapText="1"/>
    </xf>
    <xf numFmtId="0" fontId="12" fillId="0" borderId="3" xfId="0" applyFont="1" applyFill="1" applyBorder="1" applyAlignment="1">
      <alignment horizontal="left" vertical="center" wrapText="1"/>
    </xf>
    <xf numFmtId="0" fontId="2" fillId="0" borderId="2" xfId="0" applyFont="1" applyFill="1" applyBorder="1" applyAlignment="1">
      <alignment horizontal="left" wrapText="1"/>
    </xf>
    <xf numFmtId="0" fontId="2" fillId="0" borderId="2" xfId="0" applyFont="1" applyFill="1" applyBorder="1" applyAlignment="1">
      <alignment horizontal="center" wrapText="1"/>
    </xf>
    <xf numFmtId="0" fontId="11" fillId="0" borderId="2" xfId="0" applyFont="1" applyFill="1" applyBorder="1" applyAlignment="1">
      <alignment horizontal="center" wrapText="1"/>
    </xf>
    <xf numFmtId="2" fontId="3" fillId="0" borderId="0" xfId="0" applyNumberFormat="1" applyFont="1" applyFill="1"/>
    <xf numFmtId="167" fontId="3" fillId="0" borderId="0" xfId="0" applyNumberFormat="1" applyFont="1" applyFill="1"/>
    <xf numFmtId="0" fontId="2" fillId="0" borderId="0" xfId="0" applyFont="1" applyFill="1" applyBorder="1" applyAlignment="1">
      <alignment horizontal="left"/>
    </xf>
    <xf numFmtId="177" fontId="3" fillId="0" borderId="0" xfId="0" applyNumberFormat="1" applyFont="1" applyFill="1"/>
    <xf numFmtId="179" fontId="3" fillId="0" borderId="0" xfId="3" applyNumberFormat="1" applyFont="1" applyFill="1"/>
  </cellXfs>
  <cellStyles count="9">
    <cellStyle name="Accent2" xfId="1" builtinId="33"/>
    <cellStyle name="Good" xfId="2" builtinId="26"/>
    <cellStyle name="Normal" xfId="0" builtinId="0"/>
    <cellStyle name="Normal 10" xfId="6" xr:uid="{70E55009-0AB2-4CD7-A360-B43B5141DB0D}"/>
    <cellStyle name="Normal 2" xfId="4" xr:uid="{00000000-0005-0000-0000-000003000000}"/>
    <cellStyle name="Normal 2 3 2" xfId="7" xr:uid="{DE51C537-CCA8-4EAE-9DAB-22C5CEA6ACA8}"/>
    <cellStyle name="Normal 3 2 6" xfId="8" xr:uid="{537EBB3F-30DF-4867-8304-08C7CC3B12CC}"/>
    <cellStyle name="Normal 4 2" xfId="5" xr:uid="{57608673-FF96-438E-94A5-90C62CC2405D}"/>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1714500</xdr:colOff>
      <xdr:row>84</xdr:row>
      <xdr:rowOff>15875</xdr:rowOff>
    </xdr:from>
    <xdr:to>
      <xdr:col>19</xdr:col>
      <xdr:colOff>3916988</xdr:colOff>
      <xdr:row>98</xdr:row>
      <xdr:rowOff>44107</xdr:rowOff>
    </xdr:to>
    <xdr:pic>
      <xdr:nvPicPr>
        <xdr:cNvPr id="2" name="Picture 1">
          <a:extLst>
            <a:ext uri="{FF2B5EF4-FFF2-40B4-BE49-F238E27FC236}">
              <a16:creationId xmlns:a16="http://schemas.microsoft.com/office/drawing/2014/main" id="{08D09724-F78A-4C59-AEB2-17965147119A}"/>
            </a:ext>
          </a:extLst>
        </xdr:cNvPr>
        <xdr:cNvPicPr>
          <a:picLocks noChangeAspect="1"/>
        </xdr:cNvPicPr>
      </xdr:nvPicPr>
      <xdr:blipFill>
        <a:blip xmlns:r="http://schemas.openxmlformats.org/officeDocument/2006/relationships" r:embed="rId1"/>
        <a:stretch>
          <a:fillRect/>
        </a:stretch>
      </xdr:blipFill>
      <xdr:spPr>
        <a:xfrm>
          <a:off x="28924250" y="16557625"/>
          <a:ext cx="7695238" cy="27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avoro/KZ_GiZ/Model_TIMES-KZ/Balances/NEB-2017%20v1_Ig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
      <sheetName val="Main Menu"/>
      <sheetName val="IEA Definitions"/>
      <sheetName val="Description"/>
      <sheetName val="Exceptions"/>
      <sheetName val="Conversion factors"/>
      <sheetName val="Aggregated Balance (ktoe)"/>
      <sheetName val="Disaggregated Balance (ktoe)"/>
      <sheetName val="Data in physical units"/>
      <sheetName val="t04"/>
      <sheetName val="t05"/>
      <sheetName val="T01"/>
      <sheetName val="T09"/>
      <sheetName val="T10"/>
      <sheetName val="T11"/>
      <sheetName val="T12"/>
      <sheetName val="T16"/>
      <sheetName val="T19"/>
      <sheetName val="T21"/>
      <sheetName val="T31"/>
      <sheetName val="T32"/>
      <sheetName val="T33"/>
      <sheetName val="T34"/>
      <sheetName val="T37"/>
      <sheetName val="T39"/>
      <sheetName val="T40"/>
      <sheetName val="T41"/>
      <sheetName val="T42"/>
      <sheetName val="T43"/>
      <sheetName val="T44"/>
      <sheetName val="T45"/>
      <sheetName val="T47"/>
      <sheetName val="T48"/>
      <sheetName val="T49"/>
      <sheetName val="T50"/>
      <sheetName val="T51"/>
      <sheetName val="T52"/>
      <sheetName val="T54"/>
      <sheetName val="T55"/>
      <sheetName val="T62"/>
      <sheetName val="T71"/>
      <sheetName val="T72"/>
      <sheetName val="T73"/>
      <sheetName val="T74"/>
      <sheetName val="T75"/>
      <sheetName val="T76"/>
      <sheetName val="T77"/>
      <sheetName val="T78"/>
      <sheetName val="T79"/>
      <sheetName val="T82"/>
      <sheetName val="T83"/>
      <sheetName val="T84"/>
      <sheetName val="T86"/>
      <sheetName val="T87"/>
      <sheetName val="T88"/>
      <sheetName val="T89"/>
      <sheetName val="T90"/>
      <sheetName val="T91"/>
      <sheetName val="T92"/>
      <sheetName val="T93"/>
      <sheetName val="T94"/>
      <sheetName val="T95"/>
      <sheetName val="T96"/>
      <sheetName val="T97"/>
      <sheetName val="T98"/>
      <sheetName val="T99"/>
      <sheetName val="T100"/>
    </sheetNames>
    <sheetDataSet>
      <sheetData sheetId="0"/>
      <sheetData sheetId="1"/>
      <sheetData sheetId="2"/>
      <sheetData sheetId="3"/>
      <sheetData sheetId="4"/>
      <sheetData sheetId="5">
        <row r="6">
          <cell r="B6" t="str">
            <v>ANTCOAL</v>
          </cell>
        </row>
      </sheetData>
      <sheetData sheetId="6"/>
      <sheetData sheetId="7"/>
      <sheetData sheetId="8">
        <row r="10">
          <cell r="B10" t="str">
            <v>INDPROD</v>
          </cell>
          <cell r="C10" t="str">
            <v>Updated using the coal balance projection 2013</v>
          </cell>
          <cell r="D10">
            <v>9063.4</v>
          </cell>
          <cell r="E10">
            <v>19266.019</v>
          </cell>
          <cell r="F10">
            <v>84554.1</v>
          </cell>
          <cell r="G10">
            <v>6690.2169999999996</v>
          </cell>
          <cell r="H10">
            <v>0</v>
          </cell>
          <cell r="I10">
            <v>0</v>
          </cell>
          <cell r="J10"/>
          <cell r="K10"/>
          <cell r="L10"/>
          <cell r="M10">
            <v>1.625</v>
          </cell>
          <cell r="N10"/>
          <cell r="O10"/>
          <cell r="P10"/>
          <cell r="Q10">
            <v>0</v>
          </cell>
          <cell r="R10">
            <v>0</v>
          </cell>
          <cell r="S10">
            <v>0</v>
          </cell>
          <cell r="T10">
            <v>0</v>
          </cell>
          <cell r="U10">
            <v>0</v>
          </cell>
          <cell r="V10">
            <v>4008.0390000000002</v>
          </cell>
          <cell r="W10">
            <v>0</v>
          </cell>
          <cell r="X10">
            <v>0</v>
          </cell>
          <cell r="Y10">
            <v>0</v>
          </cell>
          <cell r="Z10">
            <v>0</v>
          </cell>
          <cell r="AA10">
            <v>0</v>
          </cell>
          <cell r="AB10">
            <v>235.256</v>
          </cell>
          <cell r="AC10">
            <v>0</v>
          </cell>
          <cell r="AD10">
            <v>14859</v>
          </cell>
          <cell r="AE10">
            <v>14610</v>
          </cell>
          <cell r="AF10"/>
          <cell r="AG10">
            <v>69485.645999999993</v>
          </cell>
          <cell r="AH10">
            <v>12303.35</v>
          </cell>
          <cell r="AI10"/>
          <cell r="AJ10"/>
          <cell r="AK10"/>
          <cell r="AL10"/>
          <cell r="AM10"/>
          <cell r="AN10">
            <v>0</v>
          </cell>
          <cell r="AO10"/>
          <cell r="AP10"/>
          <cell r="AQ10"/>
          <cell r="AR10"/>
          <cell r="AS10">
            <v>0</v>
          </cell>
          <cell r="AT10"/>
          <cell r="AU10"/>
          <cell r="AV10"/>
          <cell r="AW10"/>
          <cell r="AX10"/>
          <cell r="AY10">
            <v>0</v>
          </cell>
          <cell r="AZ10">
            <v>0</v>
          </cell>
          <cell r="BA10"/>
          <cell r="BB10"/>
          <cell r="BC10"/>
          <cell r="BD10"/>
          <cell r="BE10">
            <v>0</v>
          </cell>
          <cell r="BF10"/>
          <cell r="BG10"/>
          <cell r="BH10"/>
          <cell r="BI10"/>
          <cell r="BJ10"/>
          <cell r="BK10"/>
          <cell r="BL10"/>
          <cell r="BM10"/>
          <cell r="BN10"/>
          <cell r="BO10"/>
          <cell r="BP10"/>
          <cell r="BQ10"/>
          <cell r="BR10"/>
          <cell r="BS10"/>
          <cell r="BT10"/>
        </row>
        <row r="11">
          <cell r="B11" t="str">
            <v>OSCOAL</v>
          </cell>
          <cell r="C11"/>
          <cell r="D11"/>
          <cell r="E11"/>
          <cell r="F11"/>
          <cell r="G11"/>
          <cell r="H11"/>
          <cell r="I11"/>
          <cell r="J11">
            <v>2379.0639999999999</v>
          </cell>
          <cell r="K11">
            <v>0</v>
          </cell>
          <cell r="L11">
            <v>0</v>
          </cell>
          <cell r="M11"/>
          <cell r="N11">
            <v>0</v>
          </cell>
          <cell r="O11">
            <v>789.02300000000002</v>
          </cell>
          <cell r="P11">
            <v>4467.9690000000001</v>
          </cell>
          <cell r="Q11"/>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cell r="BF11" t="str">
            <v>Moved solar, wind and hydro altogether to electricity</v>
          </cell>
          <cell r="BG11"/>
          <cell r="BH11"/>
          <cell r="BI11"/>
          <cell r="BJ11"/>
          <cell r="BK11"/>
          <cell r="BL11"/>
          <cell r="BM11"/>
          <cell r="BN11"/>
          <cell r="BO11"/>
          <cell r="BP11"/>
          <cell r="BQ11">
            <v>67337.399999999994</v>
          </cell>
          <cell r="BR11">
            <v>63646.5</v>
          </cell>
          <cell r="BS11"/>
          <cell r="BT11"/>
        </row>
        <row r="12">
          <cell r="B12" t="str">
            <v>OSNATGAS</v>
          </cell>
          <cell r="C12"/>
          <cell r="D12"/>
          <cell r="E12"/>
          <cell r="F12"/>
          <cell r="G12"/>
          <cell r="H12"/>
          <cell r="I12"/>
          <cell r="J12"/>
          <cell r="K12"/>
          <cell r="L12"/>
          <cell r="M12"/>
          <cell r="N12"/>
          <cell r="O12"/>
          <cell r="P12"/>
          <cell r="Q12"/>
          <cell r="R12"/>
          <cell r="S12"/>
          <cell r="T12"/>
          <cell r="U12"/>
          <cell r="V12"/>
          <cell r="W12"/>
          <cell r="X12"/>
          <cell r="Y12"/>
          <cell r="Z12"/>
          <cell r="AA12"/>
          <cell r="AB12"/>
          <cell r="AC12"/>
          <cell r="AD12"/>
          <cell r="AE12"/>
          <cell r="AF12">
            <v>9111.2129999999997</v>
          </cell>
          <cell r="AG12"/>
          <cell r="AH12"/>
          <cell r="AI12"/>
          <cell r="AJ12"/>
          <cell r="AK12"/>
          <cell r="AL12"/>
          <cell r="AM12"/>
          <cell r="AN12"/>
          <cell r="AO12">
            <v>2050.6</v>
          </cell>
          <cell r="AP12"/>
          <cell r="AQ12"/>
          <cell r="AR12"/>
          <cell r="AS12"/>
          <cell r="AT12"/>
          <cell r="AU12"/>
          <cell r="AV12"/>
          <cell r="AW12"/>
          <cell r="AX12"/>
          <cell r="AY12"/>
          <cell r="AZ12"/>
          <cell r="BA12"/>
          <cell r="BB12"/>
          <cell r="BC12"/>
          <cell r="BD12"/>
          <cell r="BE12"/>
          <cell r="BF12"/>
          <cell r="BG12"/>
          <cell r="BH12"/>
          <cell r="BI12"/>
          <cell r="BJ12"/>
          <cell r="BK12"/>
          <cell r="BL12"/>
          <cell r="BM12"/>
          <cell r="BN12"/>
          <cell r="BO12"/>
          <cell r="BP12"/>
          <cell r="BQ12">
            <v>16993.099999999999</v>
          </cell>
          <cell r="BR12">
            <v>28937.199999999997</v>
          </cell>
          <cell r="BS12"/>
          <cell r="BT12"/>
        </row>
        <row r="13">
          <cell r="B13" t="str">
            <v>OSOIL</v>
          </cell>
          <cell r="C13"/>
          <cell r="D13"/>
          <cell r="E13"/>
          <cell r="F13"/>
          <cell r="G13"/>
          <cell r="H13"/>
          <cell r="I13"/>
          <cell r="J13"/>
          <cell r="K13"/>
          <cell r="L13"/>
          <cell r="M13"/>
          <cell r="N13"/>
          <cell r="O13"/>
          <cell r="P13"/>
          <cell r="Q13"/>
          <cell r="R13"/>
          <cell r="S13"/>
          <cell r="T13"/>
          <cell r="U13"/>
          <cell r="V13"/>
          <cell r="W13"/>
          <cell r="X13"/>
          <cell r="Y13"/>
          <cell r="Z13"/>
          <cell r="AA13"/>
          <cell r="AB13"/>
          <cell r="AC13"/>
          <cell r="AD13"/>
          <cell r="AE13"/>
          <cell r="AF13"/>
          <cell r="AG13"/>
          <cell r="AH13"/>
          <cell r="AI13">
            <v>502.59300000000002</v>
          </cell>
          <cell r="AJ13">
            <v>0</v>
          </cell>
          <cell r="AK13">
            <v>0</v>
          </cell>
          <cell r="AL13">
            <v>0</v>
          </cell>
          <cell r="AM13">
            <v>188.512</v>
          </cell>
          <cell r="AN13"/>
          <cell r="AO13">
            <v>264.7</v>
          </cell>
          <cell r="AP13">
            <v>2738.3009999999999</v>
          </cell>
          <cell r="AQ13">
            <v>6.7</v>
          </cell>
          <cell r="AR13">
            <v>41.188000000000002</v>
          </cell>
          <cell r="AS13">
            <v>0</v>
          </cell>
          <cell r="AT13">
            <v>367.57900000000001</v>
          </cell>
          <cell r="AU13">
            <v>5140.424</v>
          </cell>
          <cell r="AV13">
            <v>3734.3040000000001</v>
          </cell>
          <cell r="AW13">
            <v>158.255</v>
          </cell>
          <cell r="AX13">
            <v>0</v>
          </cell>
          <cell r="AY13"/>
          <cell r="AZ13"/>
          <cell r="BA13">
            <v>331.52300000000002</v>
          </cell>
          <cell r="BB13">
            <v>0</v>
          </cell>
          <cell r="BC13">
            <v>262.32100000000003</v>
          </cell>
          <cell r="BD13">
            <v>0</v>
          </cell>
          <cell r="BE13"/>
          <cell r="BF13"/>
          <cell r="BG13"/>
          <cell r="BH13"/>
          <cell r="BI13"/>
          <cell r="BJ13"/>
          <cell r="BK13"/>
          <cell r="BL13"/>
          <cell r="BM13"/>
          <cell r="BN13"/>
          <cell r="BO13"/>
          <cell r="BP13"/>
          <cell r="BQ13">
            <v>14.4</v>
          </cell>
          <cell r="BR13">
            <v>2634.5000000000005</v>
          </cell>
          <cell r="BS13"/>
          <cell r="BT13"/>
        </row>
        <row r="14">
          <cell r="B14" t="str">
            <v>OSRENEW</v>
          </cell>
          <cell r="C14"/>
          <cell r="D14"/>
          <cell r="E14"/>
          <cell r="F14"/>
          <cell r="G14"/>
          <cell r="H14"/>
          <cell r="I14"/>
          <cell r="J14"/>
          <cell r="K14"/>
          <cell r="L14"/>
          <cell r="M14"/>
          <cell r="N14"/>
          <cell r="O14"/>
          <cell r="P14"/>
          <cell r="Q14"/>
          <cell r="R14"/>
          <cell r="S14"/>
          <cell r="T14"/>
          <cell r="U14"/>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cell r="BF14"/>
          <cell r="BG14">
            <v>0</v>
          </cell>
          <cell r="BH14">
            <v>0</v>
          </cell>
          <cell r="BI14">
            <v>0</v>
          </cell>
          <cell r="BJ14">
            <v>0</v>
          </cell>
          <cell r="BK14"/>
          <cell r="BL14">
            <v>0</v>
          </cell>
          <cell r="BM14">
            <v>0</v>
          </cell>
          <cell r="BN14">
            <v>0</v>
          </cell>
          <cell r="BO14">
            <v>0</v>
          </cell>
          <cell r="BP14"/>
          <cell r="BQ14">
            <v>7704.1</v>
          </cell>
          <cell r="BR14"/>
          <cell r="BS14"/>
          <cell r="BT14"/>
        </row>
        <row r="15">
          <cell r="B15" t="str">
            <v>OSNONSPEC</v>
          </cell>
          <cell r="C15"/>
          <cell r="D15"/>
          <cell r="E15"/>
          <cell r="F15"/>
          <cell r="G15"/>
          <cell r="H15"/>
          <cell r="I15"/>
          <cell r="J15"/>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cell r="BD15"/>
          <cell r="BE15"/>
          <cell r="BF15"/>
          <cell r="BG15"/>
          <cell r="BH15"/>
          <cell r="BI15"/>
          <cell r="BJ15"/>
          <cell r="BK15"/>
          <cell r="BL15"/>
          <cell r="BM15"/>
          <cell r="BN15"/>
          <cell r="BO15"/>
          <cell r="BP15"/>
          <cell r="BQ15"/>
          <cell r="BR15"/>
          <cell r="BS15"/>
          <cell r="BT15"/>
        </row>
        <row r="16">
          <cell r="B16" t="str">
            <v>IMPORTS</v>
          </cell>
          <cell r="C16"/>
          <cell r="D16"/>
          <cell r="E16">
            <v>227.76</v>
          </cell>
          <cell r="F16">
            <v>0</v>
          </cell>
          <cell r="G16">
            <v>0.63300000000000001</v>
          </cell>
          <cell r="H16">
            <v>0</v>
          </cell>
          <cell r="I16">
            <v>0</v>
          </cell>
          <cell r="J16">
            <v>1089.597</v>
          </cell>
          <cell r="K16">
            <v>0</v>
          </cell>
          <cell r="L16">
            <v>0</v>
          </cell>
          <cell r="M16">
            <v>3.9E-2</v>
          </cell>
          <cell r="N16">
            <v>0</v>
          </cell>
          <cell r="O16">
            <v>0</v>
          </cell>
          <cell r="P16">
            <v>0</v>
          </cell>
          <cell r="Q16">
            <v>0</v>
          </cell>
          <cell r="R16">
            <v>0</v>
          </cell>
          <cell r="S16">
            <v>0</v>
          </cell>
          <cell r="T16">
            <v>0</v>
          </cell>
          <cell r="U16">
            <v>0</v>
          </cell>
          <cell r="V16">
            <v>1.6E-2</v>
          </cell>
          <cell r="W16">
            <v>0</v>
          </cell>
          <cell r="X16">
            <v>0</v>
          </cell>
          <cell r="Y16">
            <v>0</v>
          </cell>
          <cell r="Z16">
            <v>0</v>
          </cell>
          <cell r="AA16">
            <v>0</v>
          </cell>
          <cell r="AB16">
            <v>5.0000000000000001E-3</v>
          </cell>
          <cell r="AC16">
            <v>0</v>
          </cell>
          <cell r="AD16">
            <v>5383.4084999999995</v>
          </cell>
          <cell r="AE16">
            <v>0</v>
          </cell>
          <cell r="AF16">
            <v>0</v>
          </cell>
          <cell r="AG16">
            <v>7261.6549999999997</v>
          </cell>
          <cell r="AH16">
            <v>231.53700000000001</v>
          </cell>
          <cell r="AI16">
            <v>86.31</v>
          </cell>
          <cell r="AJ16">
            <v>0</v>
          </cell>
          <cell r="AK16">
            <v>0</v>
          </cell>
          <cell r="AL16">
            <v>0</v>
          </cell>
          <cell r="AM16">
            <v>0</v>
          </cell>
          <cell r="AN16">
            <v>0</v>
          </cell>
          <cell r="AO16">
            <v>520.202</v>
          </cell>
          <cell r="AP16">
            <v>1467.72</v>
          </cell>
          <cell r="AQ16">
            <v>2.8380000000000001</v>
          </cell>
          <cell r="AR16">
            <v>17.701000000000001</v>
          </cell>
          <cell r="AS16">
            <v>0</v>
          </cell>
          <cell r="AT16">
            <v>170.04000000000002</v>
          </cell>
          <cell r="AU16">
            <v>2176.3019999999997</v>
          </cell>
          <cell r="AV16">
            <v>3219.5529999999999</v>
          </cell>
          <cell r="AW16">
            <v>10</v>
          </cell>
          <cell r="AX16">
            <v>0</v>
          </cell>
          <cell r="AY16">
            <v>0</v>
          </cell>
          <cell r="AZ16">
            <v>0</v>
          </cell>
          <cell r="BA16">
            <v>441.79</v>
          </cell>
          <cell r="BB16">
            <v>0</v>
          </cell>
          <cell r="BC16">
            <v>26.468</v>
          </cell>
          <cell r="BD16">
            <v>0</v>
          </cell>
          <cell r="BE16">
            <v>0</v>
          </cell>
          <cell r="BF16"/>
          <cell r="BG16">
            <v>0</v>
          </cell>
          <cell r="BH16">
            <v>0</v>
          </cell>
          <cell r="BI16">
            <v>0</v>
          </cell>
          <cell r="BJ16">
            <v>0</v>
          </cell>
          <cell r="BK16"/>
          <cell r="BL16">
            <v>0</v>
          </cell>
          <cell r="BM16">
            <v>0</v>
          </cell>
          <cell r="BN16">
            <v>0</v>
          </cell>
          <cell r="BO16">
            <v>0</v>
          </cell>
          <cell r="BP16"/>
          <cell r="BQ16">
            <v>841.04559999999992</v>
          </cell>
          <cell r="BR16">
            <v>0</v>
          </cell>
          <cell r="BS16"/>
          <cell r="BT16"/>
        </row>
        <row r="17">
          <cell r="B17" t="str">
            <v>EXPORTS</v>
          </cell>
          <cell r="C17"/>
          <cell r="D17">
            <v>-1869.9</v>
          </cell>
          <cell r="E17">
            <v>-6223</v>
          </cell>
          <cell r="F17">
            <v>-22597.4</v>
          </cell>
          <cell r="G17">
            <v>-2186.5</v>
          </cell>
          <cell r="H17">
            <v>0</v>
          </cell>
          <cell r="I17">
            <v>0</v>
          </cell>
          <cell r="J17">
            <v>-22.832000000000001</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-10209.156800000001</v>
          </cell>
          <cell r="AE17">
            <v>0</v>
          </cell>
          <cell r="AF17">
            <v>-3475.7910000000002</v>
          </cell>
          <cell r="AG17">
            <v>-60503.82</v>
          </cell>
          <cell r="AH17">
            <v>-12362.18</v>
          </cell>
          <cell r="AI17">
            <v>-106.26600000000001</v>
          </cell>
          <cell r="AJ17">
            <v>0</v>
          </cell>
          <cell r="AK17">
            <v>0</v>
          </cell>
          <cell r="AL17">
            <v>0</v>
          </cell>
          <cell r="AM17">
            <v>0</v>
          </cell>
          <cell r="AN17">
            <v>0</v>
          </cell>
          <cell r="AO17">
            <v>-2231.377</v>
          </cell>
          <cell r="AP17">
            <v>-37.716999999999999</v>
          </cell>
          <cell r="AQ17">
            <v>-4.9000000000000002E-2</v>
          </cell>
          <cell r="AR17">
            <v>0</v>
          </cell>
          <cell r="AS17">
            <v>0</v>
          </cell>
          <cell r="AT17">
            <v>-15.797000000000001</v>
          </cell>
          <cell r="AU17">
            <v>-1678.59</v>
          </cell>
          <cell r="AV17">
            <v>-5391.9470000000001</v>
          </cell>
          <cell r="AW17">
            <v>-87.623000000000005</v>
          </cell>
          <cell r="AX17">
            <v>0</v>
          </cell>
          <cell r="AY17">
            <v>0</v>
          </cell>
          <cell r="AZ17">
            <v>0</v>
          </cell>
          <cell r="BA17">
            <v>-109.872</v>
          </cell>
          <cell r="BB17">
            <v>0</v>
          </cell>
          <cell r="BC17">
            <v>-247.57</v>
          </cell>
          <cell r="BD17">
            <v>0</v>
          </cell>
          <cell r="BE17">
            <v>0</v>
          </cell>
          <cell r="BF17"/>
          <cell r="BG17">
            <v>0</v>
          </cell>
          <cell r="BH17">
            <v>0</v>
          </cell>
          <cell r="BI17">
            <v>0</v>
          </cell>
          <cell r="BJ17">
            <v>0</v>
          </cell>
          <cell r="BK17"/>
          <cell r="BL17">
            <v>0</v>
          </cell>
          <cell r="BM17">
            <v>0</v>
          </cell>
          <cell r="BN17">
            <v>0</v>
          </cell>
          <cell r="BO17">
            <v>0</v>
          </cell>
          <cell r="BP17"/>
          <cell r="BQ17">
            <v>-3221.1779999999999</v>
          </cell>
          <cell r="BR17">
            <v>0</v>
          </cell>
          <cell r="BS17"/>
          <cell r="BT17"/>
        </row>
        <row r="18">
          <cell r="B18" t="str">
            <v>MARBUNK</v>
          </cell>
          <cell r="C18"/>
          <cell r="D18"/>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5.1820000000000004</v>
          </cell>
          <cell r="AU18">
            <v>3.9E-2</v>
          </cell>
          <cell r="AV18">
            <v>0</v>
          </cell>
          <cell r="AW18">
            <v>0</v>
          </cell>
          <cell r="AX18">
            <v>0</v>
          </cell>
          <cell r="AY18">
            <v>0</v>
          </cell>
          <cell r="AZ18">
            <v>0</v>
          </cell>
          <cell r="BA18">
            <v>0</v>
          </cell>
          <cell r="BB18">
            <v>0</v>
          </cell>
          <cell r="BC18">
            <v>0</v>
          </cell>
          <cell r="BD18">
            <v>0</v>
          </cell>
          <cell r="BE18">
            <v>0</v>
          </cell>
          <cell r="BF18"/>
          <cell r="BG18">
            <v>0</v>
          </cell>
          <cell r="BH18">
            <v>0</v>
          </cell>
          <cell r="BI18">
            <v>0</v>
          </cell>
          <cell r="BJ18">
            <v>0</v>
          </cell>
          <cell r="BK18"/>
          <cell r="BL18">
            <v>0</v>
          </cell>
          <cell r="BM18">
            <v>0</v>
          </cell>
          <cell r="BN18">
            <v>0</v>
          </cell>
          <cell r="BO18">
            <v>0</v>
          </cell>
          <cell r="BP18"/>
          <cell r="BQ18">
            <v>0</v>
          </cell>
          <cell r="BR18">
            <v>0</v>
          </cell>
          <cell r="BS18"/>
          <cell r="BT18"/>
        </row>
        <row r="19">
          <cell r="B19" t="str">
            <v>AVBUNK</v>
          </cell>
          <cell r="C19"/>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cell r="BF19"/>
          <cell r="BG19"/>
          <cell r="BH19"/>
          <cell r="BI19"/>
          <cell r="BJ19"/>
          <cell r="BK19"/>
          <cell r="BL19"/>
          <cell r="BM19"/>
          <cell r="BN19"/>
          <cell r="BO19"/>
          <cell r="BP19"/>
          <cell r="BQ19"/>
          <cell r="BR19"/>
          <cell r="BS19"/>
          <cell r="BT19"/>
        </row>
        <row r="20">
          <cell r="B20" t="str">
            <v>STOCKCHA</v>
          </cell>
          <cell r="C20"/>
          <cell r="D20">
            <v>-150</v>
          </cell>
          <cell r="E20">
            <v>0</v>
          </cell>
          <cell r="F20">
            <v>-1457.9580000000001</v>
          </cell>
          <cell r="G20">
            <v>-44.959000000000003</v>
          </cell>
          <cell r="H20">
            <v>0</v>
          </cell>
          <cell r="I20">
            <v>0</v>
          </cell>
          <cell r="J20">
            <v>-3.1389999999999998</v>
          </cell>
          <cell r="K20">
            <v>0</v>
          </cell>
          <cell r="L20">
            <v>0</v>
          </cell>
          <cell r="M20">
            <v>-0.13700000000000001</v>
          </cell>
          <cell r="N20">
            <v>0</v>
          </cell>
          <cell r="O20">
            <v>0</v>
          </cell>
          <cell r="P20">
            <v>0</v>
          </cell>
          <cell r="Q20">
            <v>0</v>
          </cell>
          <cell r="R20">
            <v>0</v>
          </cell>
          <cell r="S20">
            <v>0</v>
          </cell>
          <cell r="T20">
            <v>0</v>
          </cell>
          <cell r="U20">
            <v>0</v>
          </cell>
          <cell r="V20">
            <v>-0.61899999999999999</v>
          </cell>
          <cell r="W20">
            <v>0</v>
          </cell>
          <cell r="X20">
            <v>0</v>
          </cell>
          <cell r="Y20">
            <v>0</v>
          </cell>
          <cell r="Z20">
            <v>0</v>
          </cell>
          <cell r="AA20">
            <v>0</v>
          </cell>
          <cell r="AB20">
            <v>-4.9470000000000001</v>
          </cell>
          <cell r="AC20">
            <v>0</v>
          </cell>
          <cell r="AD20">
            <v>-220.20740000000001</v>
          </cell>
          <cell r="AE20">
            <v>11.231999999999999</v>
          </cell>
          <cell r="AF20">
            <v>0</v>
          </cell>
          <cell r="AG20"/>
          <cell r="AH20"/>
          <cell r="AI20">
            <v>0.84099999999999997</v>
          </cell>
          <cell r="AJ20">
            <v>0</v>
          </cell>
          <cell r="AK20">
            <v>0</v>
          </cell>
          <cell r="AL20">
            <v>0</v>
          </cell>
          <cell r="AM20">
            <v>-1.9999999999999998E-4</v>
          </cell>
          <cell r="AN20">
            <v>0</v>
          </cell>
          <cell r="AO20">
            <v>-14.645</v>
          </cell>
          <cell r="AP20">
            <v>5.87</v>
          </cell>
          <cell r="AQ20">
            <v>0.83699999999999997</v>
          </cell>
          <cell r="AR20">
            <v>3.4369999999999998</v>
          </cell>
          <cell r="AS20">
            <v>0</v>
          </cell>
          <cell r="AT20">
            <v>-4.53</v>
          </cell>
          <cell r="AU20">
            <v>-27.15</v>
          </cell>
          <cell r="AV20">
            <v>-165.38200000000001</v>
          </cell>
          <cell r="AW20">
            <v>-3.7589999999999999</v>
          </cell>
          <cell r="AX20">
            <v>0</v>
          </cell>
          <cell r="AY20">
            <v>0</v>
          </cell>
          <cell r="AZ20">
            <v>0</v>
          </cell>
          <cell r="BA20">
            <v>7.7969999999999997</v>
          </cell>
          <cell r="BB20">
            <v>0</v>
          </cell>
          <cell r="BC20">
            <v>-8.7390000000000008</v>
          </cell>
          <cell r="BD20">
            <v>0</v>
          </cell>
          <cell r="BE20">
            <v>0</v>
          </cell>
          <cell r="BF20"/>
          <cell r="BG20">
            <v>0</v>
          </cell>
          <cell r="BH20">
            <v>0</v>
          </cell>
          <cell r="BI20">
            <v>0</v>
          </cell>
          <cell r="BJ20">
            <v>0</v>
          </cell>
          <cell r="BK20"/>
          <cell r="BL20">
            <v>0</v>
          </cell>
          <cell r="BM20">
            <v>0</v>
          </cell>
          <cell r="BN20">
            <v>0</v>
          </cell>
          <cell r="BO20">
            <v>0</v>
          </cell>
          <cell r="BP20"/>
          <cell r="BQ20">
            <v>0</v>
          </cell>
          <cell r="BR20">
            <v>0</v>
          </cell>
          <cell r="BS20"/>
          <cell r="BT20"/>
        </row>
        <row r="21">
          <cell r="B21" t="str">
            <v>DOMSUP</v>
          </cell>
          <cell r="C21"/>
          <cell r="D21">
            <v>7043.5</v>
          </cell>
          <cell r="E21">
            <v>13270.778999999999</v>
          </cell>
          <cell r="F21">
            <v>60498.742000000006</v>
          </cell>
          <cell r="G21">
            <v>4459.3909999999996</v>
          </cell>
          <cell r="H21">
            <v>0</v>
          </cell>
          <cell r="I21">
            <v>0</v>
          </cell>
          <cell r="J21">
            <v>3442.69</v>
          </cell>
          <cell r="K21">
            <v>0</v>
          </cell>
          <cell r="L21">
            <v>0</v>
          </cell>
          <cell r="M21">
            <v>1.5269999999999999</v>
          </cell>
          <cell r="N21">
            <v>0</v>
          </cell>
          <cell r="O21">
            <v>789.02300000000002</v>
          </cell>
          <cell r="P21">
            <v>4467.9690000000001</v>
          </cell>
          <cell r="Q21">
            <v>0</v>
          </cell>
          <cell r="R21">
            <v>0</v>
          </cell>
          <cell r="S21">
            <v>0</v>
          </cell>
          <cell r="T21">
            <v>0</v>
          </cell>
          <cell r="U21">
            <v>0</v>
          </cell>
          <cell r="V21">
            <v>4007.4360000000001</v>
          </cell>
          <cell r="W21">
            <v>0</v>
          </cell>
          <cell r="X21">
            <v>0</v>
          </cell>
          <cell r="Y21">
            <v>0</v>
          </cell>
          <cell r="Z21">
            <v>0</v>
          </cell>
          <cell r="AA21">
            <v>0</v>
          </cell>
          <cell r="AB21">
            <v>230.31399999999999</v>
          </cell>
          <cell r="AC21">
            <v>0</v>
          </cell>
          <cell r="AD21">
            <v>9813.0442999999977</v>
          </cell>
          <cell r="AE21">
            <v>14621.232</v>
          </cell>
          <cell r="AF21">
            <v>5635.4219999999996</v>
          </cell>
          <cell r="AG21">
            <v>16243.480999999992</v>
          </cell>
          <cell r="AH21">
            <v>172.70700000000033</v>
          </cell>
          <cell r="AI21">
            <v>483.47800000000001</v>
          </cell>
          <cell r="AJ21">
            <v>0</v>
          </cell>
          <cell r="AK21">
            <v>0</v>
          </cell>
          <cell r="AL21">
            <v>0</v>
          </cell>
          <cell r="AM21">
            <v>188.51179999999999</v>
          </cell>
          <cell r="AN21">
            <v>0</v>
          </cell>
          <cell r="AO21">
            <v>589.47999999999956</v>
          </cell>
          <cell r="AP21">
            <v>4174.174</v>
          </cell>
          <cell r="AQ21">
            <v>10.326000000000001</v>
          </cell>
          <cell r="AR21">
            <v>62.326000000000001</v>
          </cell>
          <cell r="AS21">
            <v>0</v>
          </cell>
          <cell r="AT21">
            <v>512.11</v>
          </cell>
          <cell r="AU21">
            <v>5610.9470000000001</v>
          </cell>
          <cell r="AV21">
            <v>1396.5279999999998</v>
          </cell>
          <cell r="AW21">
            <v>76.87299999999999</v>
          </cell>
          <cell r="AX21">
            <v>0</v>
          </cell>
          <cell r="AY21">
            <v>0</v>
          </cell>
          <cell r="AZ21">
            <v>0</v>
          </cell>
          <cell r="BA21">
            <v>671.23800000000017</v>
          </cell>
          <cell r="BB21">
            <v>0</v>
          </cell>
          <cell r="BC21">
            <v>32.480000000000047</v>
          </cell>
          <cell r="BD21">
            <v>0</v>
          </cell>
          <cell r="BE21">
            <v>0</v>
          </cell>
          <cell r="BF21"/>
          <cell r="BG21">
            <v>0</v>
          </cell>
          <cell r="BH21">
            <v>0</v>
          </cell>
          <cell r="BI21">
            <v>0</v>
          </cell>
          <cell r="BJ21">
            <v>0</v>
          </cell>
          <cell r="BK21"/>
          <cell r="BL21">
            <v>0</v>
          </cell>
          <cell r="BM21">
            <v>0</v>
          </cell>
          <cell r="BN21">
            <v>0</v>
          </cell>
          <cell r="BO21">
            <v>0</v>
          </cell>
          <cell r="BP21"/>
          <cell r="BQ21">
            <v>89668.867599999998</v>
          </cell>
          <cell r="BR21">
            <v>95218.2</v>
          </cell>
          <cell r="BS21"/>
          <cell r="BT21"/>
        </row>
        <row r="22">
          <cell r="B22" t="str">
            <v>TRANSFER</v>
          </cell>
          <cell r="C22"/>
          <cell r="D22"/>
          <cell r="E22"/>
          <cell r="F22"/>
          <cell r="G22"/>
          <cell r="H22"/>
          <cell r="I22"/>
          <cell r="J22">
            <v>5.9</v>
          </cell>
          <cell r="K22"/>
          <cell r="L22"/>
          <cell r="M22"/>
          <cell r="N22"/>
          <cell r="O22"/>
          <cell r="P22"/>
          <cell r="Q22"/>
          <cell r="R22"/>
          <cell r="S22"/>
          <cell r="T22"/>
          <cell r="U22"/>
          <cell r="V22"/>
          <cell r="W22">
            <v>0</v>
          </cell>
          <cell r="X22"/>
          <cell r="Y22"/>
          <cell r="Z22"/>
          <cell r="AA22"/>
          <cell r="AB22"/>
          <cell r="AC22"/>
          <cell r="AD22">
            <v>4059</v>
          </cell>
          <cell r="AE22"/>
          <cell r="AF22">
            <v>-4059</v>
          </cell>
          <cell r="AG22"/>
          <cell r="AH22"/>
          <cell r="AI22"/>
          <cell r="AJ22"/>
          <cell r="AK22"/>
          <cell r="AL22"/>
          <cell r="AM22"/>
          <cell r="AN22"/>
          <cell r="AO22"/>
          <cell r="AP22"/>
          <cell r="AQ22"/>
          <cell r="AR22"/>
          <cell r="AS22"/>
          <cell r="AT22"/>
          <cell r="AU22"/>
          <cell r="AV22"/>
          <cell r="AW22"/>
          <cell r="AX22"/>
          <cell r="AY22"/>
          <cell r="AZ22"/>
          <cell r="BA22"/>
          <cell r="BB22"/>
          <cell r="BC22">
            <v>-5.9</v>
          </cell>
          <cell r="BD22"/>
          <cell r="BE22"/>
          <cell r="BF22"/>
          <cell r="BG22"/>
          <cell r="BH22"/>
          <cell r="BI22"/>
          <cell r="BJ22"/>
          <cell r="BK22"/>
          <cell r="BL22"/>
          <cell r="BM22"/>
          <cell r="BN22"/>
          <cell r="BO22"/>
          <cell r="BP22"/>
          <cell r="BQ22"/>
          <cell r="BR22"/>
          <cell r="BS22"/>
          <cell r="BT22"/>
        </row>
        <row r="23">
          <cell r="B23" t="str">
            <v>STATDIFF</v>
          </cell>
          <cell r="C23"/>
          <cell r="D23">
            <v>2238.8784999999998</v>
          </cell>
          <cell r="E23">
            <v>1999.8647999999982</v>
          </cell>
          <cell r="F23">
            <v>-0.37099999999190914</v>
          </cell>
          <cell r="G23">
            <v>-27.901000000000053</v>
          </cell>
          <cell r="H23">
            <v>0</v>
          </cell>
          <cell r="I23">
            <v>0</v>
          </cell>
          <cell r="J23">
            <v>-618.74620000000004</v>
          </cell>
          <cell r="K23">
            <v>0</v>
          </cell>
          <cell r="L23">
            <v>0</v>
          </cell>
          <cell r="M23">
            <v>1.488</v>
          </cell>
          <cell r="N23">
            <v>0</v>
          </cell>
          <cell r="O23">
            <v>715.42200000000048</v>
          </cell>
          <cell r="P23">
            <v>-6607.5621999999994</v>
          </cell>
          <cell r="Q23">
            <v>0</v>
          </cell>
          <cell r="R23">
            <v>0</v>
          </cell>
          <cell r="S23">
            <v>0</v>
          </cell>
          <cell r="T23">
            <v>0</v>
          </cell>
          <cell r="U23">
            <v>0</v>
          </cell>
          <cell r="V23">
            <v>-2.6373999999999995</v>
          </cell>
          <cell r="W23">
            <v>0</v>
          </cell>
          <cell r="X23">
            <v>0</v>
          </cell>
          <cell r="Y23">
            <v>0</v>
          </cell>
          <cell r="Z23">
            <v>0</v>
          </cell>
          <cell r="AA23">
            <v>0</v>
          </cell>
          <cell r="AB23">
            <v>-12.013299999999987</v>
          </cell>
          <cell r="AC23">
            <v>0</v>
          </cell>
          <cell r="AD23">
            <v>-428.9806000000026</v>
          </cell>
          <cell r="AE23">
            <v>-16191.178200000004</v>
          </cell>
          <cell r="AF23">
            <v>540.89769999999953</v>
          </cell>
          <cell r="AG23">
            <v>52.326999999995451</v>
          </cell>
          <cell r="AH23">
            <v>-245.35359999999966</v>
          </cell>
          <cell r="AI23">
            <v>-320.97220000000004</v>
          </cell>
          <cell r="AJ23">
            <v>0</v>
          </cell>
          <cell r="AK23">
            <v>0</v>
          </cell>
          <cell r="AL23">
            <v>0</v>
          </cell>
          <cell r="AM23">
            <v>-885.97210000000007</v>
          </cell>
          <cell r="AN23">
            <v>0</v>
          </cell>
          <cell r="AO23">
            <v>123.00829999999962</v>
          </cell>
          <cell r="AP23">
            <v>-34.40179999999939</v>
          </cell>
          <cell r="AQ23">
            <v>-1.8803999999999983</v>
          </cell>
          <cell r="AR23">
            <v>-0.16370000000000362</v>
          </cell>
          <cell r="AS23">
            <v>0</v>
          </cell>
          <cell r="AT23">
            <v>1.7057000000000595</v>
          </cell>
          <cell r="AU23">
            <v>-340.86280000000016</v>
          </cell>
          <cell r="AV23">
            <v>105.18060000000003</v>
          </cell>
          <cell r="AW23">
            <v>-21.891700000000021</v>
          </cell>
          <cell r="AX23">
            <v>0</v>
          </cell>
          <cell r="AY23">
            <v>0</v>
          </cell>
          <cell r="AZ23">
            <v>-3.8405000000000005</v>
          </cell>
          <cell r="BA23">
            <v>53.020900000000196</v>
          </cell>
          <cell r="BB23">
            <v>0</v>
          </cell>
          <cell r="BC23">
            <v>-49.683399999999956</v>
          </cell>
          <cell r="BD23">
            <v>0</v>
          </cell>
          <cell r="BE23">
            <v>0</v>
          </cell>
          <cell r="BF23"/>
          <cell r="BG23">
            <v>0</v>
          </cell>
          <cell r="BH23">
            <v>0</v>
          </cell>
          <cell r="BI23">
            <v>0</v>
          </cell>
          <cell r="BJ23">
            <v>0</v>
          </cell>
          <cell r="BK23"/>
          <cell r="BL23">
            <v>0</v>
          </cell>
          <cell r="BM23">
            <v>0</v>
          </cell>
          <cell r="BN23">
            <v>0</v>
          </cell>
          <cell r="BO23">
            <v>0</v>
          </cell>
          <cell r="BP23"/>
          <cell r="BQ23">
            <v>-7961.8555000000215</v>
          </cell>
          <cell r="BR23">
            <v>40339.896890700009</v>
          </cell>
          <cell r="BS23"/>
          <cell r="BT23"/>
        </row>
        <row r="24">
          <cell r="B24" t="str">
            <v>TOTTRANF</v>
          </cell>
          <cell r="C24"/>
          <cell r="D24">
            <v>4804.6215000000002</v>
          </cell>
          <cell r="E24">
            <v>4164</v>
          </cell>
          <cell r="F24">
            <v>57635</v>
          </cell>
          <cell r="G24">
            <v>3818.3395999999998</v>
          </cell>
          <cell r="H24">
            <v>0</v>
          </cell>
          <cell r="I24">
            <v>0</v>
          </cell>
          <cell r="J24">
            <v>855.67740000000003</v>
          </cell>
          <cell r="K24">
            <v>0</v>
          </cell>
          <cell r="L24">
            <v>0</v>
          </cell>
          <cell r="M24">
            <v>0</v>
          </cell>
          <cell r="N24">
            <v>0</v>
          </cell>
          <cell r="O24">
            <v>6674.3440000000001</v>
          </cell>
          <cell r="P24">
            <v>0</v>
          </cell>
          <cell r="Q24">
            <v>0</v>
          </cell>
          <cell r="R24">
            <v>0</v>
          </cell>
          <cell r="S24">
            <v>0</v>
          </cell>
          <cell r="T24">
            <v>0</v>
          </cell>
          <cell r="U24">
            <v>0</v>
          </cell>
          <cell r="V24">
            <v>2.8873999999999995</v>
          </cell>
          <cell r="W24">
            <v>0</v>
          </cell>
          <cell r="X24">
            <v>0</v>
          </cell>
          <cell r="Y24">
            <v>0</v>
          </cell>
          <cell r="Z24">
            <v>0</v>
          </cell>
          <cell r="AA24">
            <v>0</v>
          </cell>
          <cell r="AB24">
            <v>0</v>
          </cell>
          <cell r="AC24"/>
          <cell r="AD24">
            <v>9519</v>
          </cell>
          <cell r="AE24">
            <v>13492.0278</v>
          </cell>
          <cell r="AF24">
            <v>0</v>
          </cell>
          <cell r="AG24">
            <v>16114.849999999997</v>
          </cell>
          <cell r="AH24">
            <v>54.990499999999997</v>
          </cell>
          <cell r="AI24">
            <v>220.858</v>
          </cell>
          <cell r="AJ24">
            <v>0</v>
          </cell>
          <cell r="AK24">
            <v>0</v>
          </cell>
          <cell r="AL24">
            <v>0</v>
          </cell>
          <cell r="AM24">
            <v>156.4161</v>
          </cell>
          <cell r="AN24">
            <v>0</v>
          </cell>
          <cell r="AO24">
            <v>3.1400999999999999</v>
          </cell>
          <cell r="AP24">
            <v>0.90540000000000009</v>
          </cell>
          <cell r="AQ24">
            <v>2.2223999999999999</v>
          </cell>
          <cell r="AR24">
            <v>0</v>
          </cell>
          <cell r="AS24">
            <v>0</v>
          </cell>
          <cell r="AT24">
            <v>8.9999999999999998E-4</v>
          </cell>
          <cell r="AU24">
            <v>59.500099999999996</v>
          </cell>
          <cell r="AV24">
            <v>585.41</v>
          </cell>
          <cell r="AW24">
            <v>7.92</v>
          </cell>
          <cell r="AX24">
            <v>0</v>
          </cell>
          <cell r="AY24">
            <v>0</v>
          </cell>
          <cell r="AZ24">
            <v>0</v>
          </cell>
          <cell r="BA24">
            <v>0</v>
          </cell>
          <cell r="BB24">
            <v>0</v>
          </cell>
          <cell r="BC24">
            <v>0</v>
          </cell>
          <cell r="BD24">
            <v>0</v>
          </cell>
          <cell r="BE24">
            <v>0</v>
          </cell>
          <cell r="BF24"/>
          <cell r="BG24">
            <v>0</v>
          </cell>
          <cell r="BH24">
            <v>0</v>
          </cell>
          <cell r="BI24">
            <v>0</v>
          </cell>
          <cell r="BJ24">
            <v>0</v>
          </cell>
          <cell r="BK24"/>
          <cell r="BL24">
            <v>0</v>
          </cell>
          <cell r="BM24">
            <v>0</v>
          </cell>
          <cell r="BN24">
            <v>0</v>
          </cell>
          <cell r="BO24">
            <v>0</v>
          </cell>
          <cell r="BP24"/>
          <cell r="BQ24">
            <v>0</v>
          </cell>
          <cell r="BR24">
            <v>0</v>
          </cell>
          <cell r="BS24"/>
          <cell r="BT24"/>
        </row>
        <row r="25">
          <cell r="B25" t="str">
            <v>MAINELEC</v>
          </cell>
          <cell r="C25"/>
          <cell r="D25"/>
          <cell r="E25"/>
          <cell r="F25">
            <v>22478</v>
          </cell>
          <cell r="G25">
            <v>2038</v>
          </cell>
          <cell r="H25"/>
          <cell r="I25"/>
          <cell r="J25"/>
          <cell r="K25"/>
          <cell r="L25"/>
          <cell r="M25"/>
          <cell r="N25"/>
          <cell r="O25"/>
          <cell r="P25"/>
          <cell r="Q25"/>
          <cell r="R25"/>
          <cell r="S25"/>
          <cell r="T25"/>
          <cell r="U25"/>
          <cell r="V25"/>
          <cell r="W25"/>
          <cell r="X25"/>
          <cell r="Y25"/>
          <cell r="Z25"/>
          <cell r="AA25"/>
          <cell r="AB25"/>
          <cell r="AC25"/>
          <cell r="AD25">
            <v>503</v>
          </cell>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row>
        <row r="26">
          <cell r="B26" t="str">
            <v>AUTOELEC</v>
          </cell>
          <cell r="C26"/>
          <cell r="D26"/>
          <cell r="E26"/>
          <cell r="F26">
            <v>0</v>
          </cell>
          <cell r="G26"/>
          <cell r="H26"/>
          <cell r="I26"/>
          <cell r="J26"/>
          <cell r="K26"/>
          <cell r="L26"/>
          <cell r="M26"/>
          <cell r="N26"/>
          <cell r="O26"/>
          <cell r="P26"/>
          <cell r="Q26"/>
          <cell r="R26"/>
          <cell r="S26"/>
          <cell r="T26"/>
          <cell r="U26"/>
          <cell r="V26"/>
          <cell r="W26"/>
          <cell r="X26"/>
          <cell r="Y26"/>
          <cell r="Z26"/>
          <cell r="AA26"/>
          <cell r="AB26"/>
          <cell r="AC26"/>
          <cell r="AD26">
            <v>2515</v>
          </cell>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row>
        <row r="27">
          <cell r="B27" t="str">
            <v>MAINCHP</v>
          </cell>
          <cell r="C27"/>
          <cell r="D27"/>
          <cell r="E27">
            <v>1925</v>
          </cell>
          <cell r="F27">
            <v>23055</v>
          </cell>
          <cell r="G27">
            <v>82</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15.72</v>
          </cell>
          <cell r="AD27">
            <v>1766</v>
          </cell>
          <cell r="AE27"/>
          <cell r="AF27">
            <v>0</v>
          </cell>
          <cell r="AG27">
            <v>0</v>
          </cell>
          <cell r="AH27"/>
          <cell r="AI27">
            <v>0</v>
          </cell>
          <cell r="AJ27">
            <v>0</v>
          </cell>
          <cell r="AK27">
            <v>0</v>
          </cell>
          <cell r="AL27">
            <v>0</v>
          </cell>
          <cell r="AM27">
            <v>0</v>
          </cell>
          <cell r="AN27">
            <v>0</v>
          </cell>
          <cell r="AO27">
            <v>0</v>
          </cell>
          <cell r="AP27">
            <v>0</v>
          </cell>
          <cell r="AQ27">
            <v>0</v>
          </cell>
          <cell r="AR27">
            <v>0</v>
          </cell>
          <cell r="AS27">
            <v>0</v>
          </cell>
          <cell r="AT27">
            <v>0</v>
          </cell>
          <cell r="AU27">
            <v>14.5068</v>
          </cell>
          <cell r="AV27">
            <v>22</v>
          </cell>
          <cell r="AW27">
            <v>3.1899999999999998E-2</v>
          </cell>
          <cell r="AX27">
            <v>0</v>
          </cell>
          <cell r="AY27">
            <v>0</v>
          </cell>
          <cell r="AZ27">
            <v>0</v>
          </cell>
          <cell r="BA27">
            <v>0</v>
          </cell>
          <cell r="BB27">
            <v>0</v>
          </cell>
          <cell r="BC27">
            <v>0</v>
          </cell>
          <cell r="BD27">
            <v>0</v>
          </cell>
          <cell r="BE27">
            <v>0</v>
          </cell>
          <cell r="BF27"/>
          <cell r="BG27">
            <v>0</v>
          </cell>
          <cell r="BH27">
            <v>0</v>
          </cell>
          <cell r="BI27">
            <v>0</v>
          </cell>
          <cell r="BJ27">
            <v>0</v>
          </cell>
          <cell r="BK27"/>
          <cell r="BL27">
            <v>0</v>
          </cell>
          <cell r="BM27">
            <v>0</v>
          </cell>
          <cell r="BN27">
            <v>0</v>
          </cell>
          <cell r="BO27">
            <v>0</v>
          </cell>
          <cell r="BP27"/>
          <cell r="BQ27"/>
          <cell r="BR27"/>
          <cell r="BS27"/>
          <cell r="BT27"/>
        </row>
        <row r="28">
          <cell r="B28" t="str">
            <v>AUTOCHP</v>
          </cell>
          <cell r="C28"/>
          <cell r="D28"/>
          <cell r="E28">
            <v>689</v>
          </cell>
          <cell r="F28">
            <v>6641</v>
          </cell>
          <cell r="G28">
            <v>51.33959999999999</v>
          </cell>
          <cell r="H28">
            <v>0</v>
          </cell>
          <cell r="I28">
            <v>0</v>
          </cell>
          <cell r="J28">
            <v>4.7763999999999998</v>
          </cell>
          <cell r="K28">
            <v>0</v>
          </cell>
          <cell r="L28">
            <v>0</v>
          </cell>
          <cell r="M28">
            <v>0</v>
          </cell>
          <cell r="N28">
            <v>0</v>
          </cell>
          <cell r="O28">
            <v>66.543999999999997</v>
          </cell>
          <cell r="P28">
            <v>0</v>
          </cell>
          <cell r="Q28">
            <v>0</v>
          </cell>
          <cell r="R28">
            <v>0</v>
          </cell>
          <cell r="S28">
            <v>0</v>
          </cell>
          <cell r="T28">
            <v>0</v>
          </cell>
          <cell r="U28">
            <v>0</v>
          </cell>
          <cell r="V28">
            <v>2.8873999999999995</v>
          </cell>
          <cell r="W28">
            <v>0</v>
          </cell>
          <cell r="X28">
            <v>0</v>
          </cell>
          <cell r="Y28">
            <v>0</v>
          </cell>
          <cell r="Z28">
            <v>0</v>
          </cell>
          <cell r="AA28">
            <v>0</v>
          </cell>
          <cell r="AB28">
            <v>0</v>
          </cell>
          <cell r="AC28">
            <v>0</v>
          </cell>
          <cell r="AD28">
            <v>1528</v>
          </cell>
          <cell r="AE28"/>
          <cell r="AF28"/>
          <cell r="AG28"/>
          <cell r="AH28">
            <v>0</v>
          </cell>
          <cell r="AI28">
            <v>220.858</v>
          </cell>
          <cell r="AJ28">
            <v>0</v>
          </cell>
          <cell r="AK28">
            <v>0</v>
          </cell>
          <cell r="AL28">
            <v>0</v>
          </cell>
          <cell r="AM28">
            <v>0</v>
          </cell>
          <cell r="AN28">
            <v>0</v>
          </cell>
          <cell r="AO28">
            <v>3.1400999999999999</v>
          </cell>
          <cell r="AP28">
            <v>2.8E-3</v>
          </cell>
          <cell r="AQ28">
            <v>0</v>
          </cell>
          <cell r="AR28">
            <v>0</v>
          </cell>
          <cell r="AS28">
            <v>0</v>
          </cell>
          <cell r="AT28">
            <v>8.9999999999999998E-4</v>
          </cell>
          <cell r="AU28">
            <v>42.950399999999995</v>
          </cell>
          <cell r="AV28">
            <v>0</v>
          </cell>
          <cell r="AW28">
            <v>4.2253999999999996</v>
          </cell>
          <cell r="AX28">
            <v>0</v>
          </cell>
          <cell r="AY28">
            <v>0</v>
          </cell>
          <cell r="AZ28">
            <v>0</v>
          </cell>
          <cell r="BA28">
            <v>0</v>
          </cell>
          <cell r="BB28">
            <v>0</v>
          </cell>
          <cell r="BC28">
            <v>0</v>
          </cell>
          <cell r="BD28">
            <v>0</v>
          </cell>
          <cell r="BE28">
            <v>0</v>
          </cell>
          <cell r="BF28"/>
          <cell r="BG28">
            <v>0</v>
          </cell>
          <cell r="BH28">
            <v>0</v>
          </cell>
          <cell r="BI28">
            <v>0</v>
          </cell>
          <cell r="BJ28">
            <v>0</v>
          </cell>
          <cell r="BK28"/>
          <cell r="BL28">
            <v>0</v>
          </cell>
          <cell r="BM28">
            <v>0</v>
          </cell>
          <cell r="BN28">
            <v>0</v>
          </cell>
          <cell r="BO28">
            <v>0</v>
          </cell>
          <cell r="BP28"/>
          <cell r="BQ28"/>
          <cell r="BR28"/>
          <cell r="BS28"/>
          <cell r="BT28"/>
        </row>
        <row r="29">
          <cell r="B29" t="str">
            <v>MAINHEAT</v>
          </cell>
          <cell r="C29"/>
          <cell r="D29"/>
          <cell r="E29">
            <v>1550</v>
          </cell>
          <cell r="F29">
            <v>5461</v>
          </cell>
          <cell r="G29">
            <v>1647</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3207</v>
          </cell>
          <cell r="AE29"/>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437</v>
          </cell>
          <cell r="AW29">
            <v>0</v>
          </cell>
          <cell r="AX29">
            <v>0</v>
          </cell>
          <cell r="AY29">
            <v>0</v>
          </cell>
          <cell r="AZ29">
            <v>0</v>
          </cell>
          <cell r="BA29">
            <v>0</v>
          </cell>
          <cell r="BB29">
            <v>0</v>
          </cell>
          <cell r="BC29">
            <v>0</v>
          </cell>
          <cell r="BD29">
            <v>0</v>
          </cell>
          <cell r="BE29">
            <v>0</v>
          </cell>
          <cell r="BF29"/>
          <cell r="BG29">
            <v>0</v>
          </cell>
          <cell r="BH29">
            <v>0</v>
          </cell>
          <cell r="BI29">
            <v>0</v>
          </cell>
          <cell r="BJ29">
            <v>0</v>
          </cell>
          <cell r="BK29"/>
          <cell r="BL29">
            <v>0</v>
          </cell>
          <cell r="BM29">
            <v>0</v>
          </cell>
          <cell r="BN29">
            <v>0</v>
          </cell>
          <cell r="BO29">
            <v>0</v>
          </cell>
          <cell r="BP29"/>
          <cell r="BQ29"/>
          <cell r="BR29"/>
          <cell r="BS29"/>
          <cell r="BT29"/>
        </row>
        <row r="30">
          <cell r="B30" t="str">
            <v>AUTOHEAT</v>
          </cell>
          <cell r="C30"/>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row>
        <row r="31">
          <cell r="B31" t="str">
            <v>THEAT</v>
          </cell>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row>
        <row r="32">
          <cell r="B32" t="str">
            <v>TBOILER</v>
          </cell>
          <cell r="C32"/>
          <cell r="D32"/>
          <cell r="E32"/>
          <cell r="F32"/>
          <cell r="G32"/>
          <cell r="H32"/>
          <cell r="I32"/>
          <cell r="J32"/>
          <cell r="K32"/>
          <cell r="L32"/>
          <cell r="M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row>
        <row r="33">
          <cell r="B33" t="str">
            <v>TELE</v>
          </cell>
          <cell r="C33"/>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row>
        <row r="34">
          <cell r="B34" t="str">
            <v>TPATFUEL</v>
          </cell>
          <cell r="C34"/>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row>
        <row r="35">
          <cell r="B35" t="str">
            <v>TCOKEOVS</v>
          </cell>
          <cell r="C35"/>
          <cell r="D35">
            <v>4804.6215000000002</v>
          </cell>
          <cell r="E35"/>
          <cell r="F35">
            <v>0</v>
          </cell>
          <cell r="G35">
            <v>0</v>
          </cell>
          <cell r="H35">
            <v>0</v>
          </cell>
          <cell r="I35">
            <v>0</v>
          </cell>
          <cell r="J35"/>
          <cell r="K35">
            <v>0</v>
          </cell>
          <cell r="L35">
            <v>0</v>
          </cell>
          <cell r="M35">
            <v>0</v>
          </cell>
          <cell r="N35">
            <v>0</v>
          </cell>
          <cell r="O35">
            <v>6607.8</v>
          </cell>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cell r="BD35"/>
          <cell r="BE35"/>
          <cell r="BF35"/>
          <cell r="BG35"/>
          <cell r="BH35"/>
          <cell r="BI35"/>
          <cell r="BJ35"/>
          <cell r="BK35"/>
          <cell r="BL35"/>
          <cell r="BM35"/>
          <cell r="BN35"/>
          <cell r="BO35"/>
          <cell r="BP35"/>
          <cell r="BQ35"/>
          <cell r="BR35"/>
          <cell r="BS35"/>
          <cell r="BT35"/>
        </row>
        <row r="36">
          <cell r="B36" t="str">
            <v>TGASWKS</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row>
        <row r="37">
          <cell r="B37" t="str">
            <v>TBLASTFUR</v>
          </cell>
          <cell r="C37"/>
          <cell r="D37"/>
          <cell r="E37"/>
          <cell r="F37"/>
          <cell r="G37"/>
          <cell r="H37"/>
          <cell r="I37"/>
          <cell r="J37">
            <v>850.90100000000007</v>
          </cell>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cell r="BD37"/>
          <cell r="BE37"/>
          <cell r="BF37"/>
          <cell r="BG37"/>
          <cell r="BH37"/>
          <cell r="BI37"/>
          <cell r="BJ37"/>
          <cell r="BK37"/>
          <cell r="BL37"/>
          <cell r="BM37"/>
          <cell r="BN37"/>
          <cell r="BO37"/>
          <cell r="BP37"/>
          <cell r="BQ37"/>
          <cell r="BR37"/>
          <cell r="BS37"/>
          <cell r="BT37"/>
        </row>
        <row r="38">
          <cell r="B38" t="str">
            <v>TPETCHEM</v>
          </cell>
          <cell r="C38"/>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row>
        <row r="39">
          <cell r="B39" t="str">
            <v>TBKB</v>
          </cell>
          <cell r="C39"/>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row>
        <row r="40">
          <cell r="B40" t="str">
            <v>TREFINER</v>
          </cell>
          <cell r="C40"/>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v>503.2278</v>
          </cell>
          <cell r="AF40">
            <v>0</v>
          </cell>
          <cell r="AG40">
            <v>16114.849999999997</v>
          </cell>
          <cell r="AH40">
            <v>54.990499999999997</v>
          </cell>
          <cell r="AI40">
            <v>0</v>
          </cell>
          <cell r="AJ40">
            <v>0</v>
          </cell>
          <cell r="AK40">
            <v>0</v>
          </cell>
          <cell r="AL40">
            <v>0</v>
          </cell>
          <cell r="AM40">
            <v>156.4161</v>
          </cell>
          <cell r="AN40">
            <v>0</v>
          </cell>
          <cell r="AO40">
            <v>0</v>
          </cell>
          <cell r="AP40">
            <v>0.90260000000000007</v>
          </cell>
          <cell r="AQ40">
            <v>2.2223999999999999</v>
          </cell>
          <cell r="AR40">
            <v>0</v>
          </cell>
          <cell r="AS40">
            <v>0</v>
          </cell>
          <cell r="AT40">
            <v>0</v>
          </cell>
          <cell r="AU40">
            <v>2.0428999999999999</v>
          </cell>
          <cell r="AV40">
            <v>126.41</v>
          </cell>
          <cell r="AW40">
            <v>3.6627000000000001</v>
          </cell>
          <cell r="AX40">
            <v>0</v>
          </cell>
          <cell r="AY40">
            <v>0</v>
          </cell>
          <cell r="AZ40">
            <v>0</v>
          </cell>
          <cell r="BA40">
            <v>0</v>
          </cell>
          <cell r="BB40">
            <v>0</v>
          </cell>
          <cell r="BC40">
            <v>0</v>
          </cell>
          <cell r="BD40">
            <v>0</v>
          </cell>
          <cell r="BE40"/>
          <cell r="BF40"/>
          <cell r="BG40"/>
          <cell r="BH40"/>
          <cell r="BI40"/>
          <cell r="BJ40"/>
          <cell r="BK40"/>
          <cell r="BL40"/>
          <cell r="BM40"/>
          <cell r="BN40"/>
          <cell r="BO40"/>
          <cell r="BP40"/>
          <cell r="BQ40"/>
          <cell r="BR40"/>
          <cell r="BS40"/>
          <cell r="BT40"/>
        </row>
        <row r="41">
          <cell r="B41" t="str">
            <v>TCOALLIQ</v>
          </cell>
          <cell r="C41"/>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cell r="BD41"/>
          <cell r="BE41"/>
          <cell r="BF41"/>
          <cell r="BG41"/>
          <cell r="BH41"/>
          <cell r="BI41"/>
          <cell r="BJ41"/>
          <cell r="BK41"/>
          <cell r="BL41"/>
          <cell r="BM41"/>
          <cell r="BN41"/>
          <cell r="BO41"/>
          <cell r="BP41"/>
          <cell r="BQ41"/>
          <cell r="BR41"/>
          <cell r="BS41"/>
          <cell r="BT41"/>
        </row>
        <row r="42">
          <cell r="B42" t="str">
            <v>TGTL</v>
          </cell>
          <cell r="C42"/>
          <cell r="D42"/>
          <cell r="E42"/>
          <cell r="F42"/>
          <cell r="G42"/>
          <cell r="H42"/>
          <cell r="I42"/>
          <cell r="J42"/>
          <cell r="K42"/>
          <cell r="L42"/>
          <cell r="M42"/>
          <cell r="N42"/>
          <cell r="O42"/>
          <cell r="P42"/>
          <cell r="Q42"/>
          <cell r="R42"/>
          <cell r="S42"/>
          <cell r="T42"/>
          <cell r="U42"/>
          <cell r="V42"/>
          <cell r="W42"/>
          <cell r="X42"/>
          <cell r="Y42"/>
          <cell r="Z42"/>
          <cell r="AA42"/>
          <cell r="AB42"/>
          <cell r="AC42"/>
          <cell r="AD42"/>
          <cell r="AE42"/>
          <cell r="AF42"/>
          <cell r="AG42"/>
          <cell r="AH42"/>
          <cell r="AI42"/>
          <cell r="AJ42"/>
          <cell r="AK42"/>
          <cell r="AL42"/>
          <cell r="AM42"/>
          <cell r="AN42"/>
          <cell r="AO42"/>
          <cell r="AP42"/>
          <cell r="AQ42"/>
          <cell r="AR42"/>
          <cell r="AS42"/>
          <cell r="AT42"/>
          <cell r="AU42"/>
          <cell r="AV42"/>
          <cell r="AW42"/>
          <cell r="AX42"/>
          <cell r="AY42"/>
          <cell r="AZ42"/>
          <cell r="BA42"/>
          <cell r="BB42"/>
          <cell r="BC42"/>
          <cell r="BD42"/>
          <cell r="BE42"/>
          <cell r="BF42"/>
          <cell r="BG42"/>
          <cell r="BH42"/>
          <cell r="BI42"/>
          <cell r="BJ42"/>
          <cell r="BK42"/>
          <cell r="BL42"/>
          <cell r="BM42"/>
          <cell r="BN42"/>
          <cell r="BO42"/>
          <cell r="BP42"/>
          <cell r="BQ42"/>
          <cell r="BR42"/>
          <cell r="BS42"/>
          <cell r="BT42"/>
        </row>
        <row r="43">
          <cell r="B43" t="str">
            <v>TBLENDGAS</v>
          </cell>
          <cell r="C43"/>
          <cell r="D43"/>
          <cell r="E43"/>
          <cell r="F43"/>
          <cell r="G43"/>
          <cell r="H43"/>
          <cell r="I43"/>
          <cell r="J43"/>
          <cell r="K43"/>
          <cell r="L43"/>
          <cell r="M43"/>
          <cell r="N43"/>
          <cell r="O43"/>
          <cell r="P43"/>
          <cell r="Q43"/>
          <cell r="R43"/>
          <cell r="S43"/>
          <cell r="T43"/>
          <cell r="U43"/>
          <cell r="V43"/>
          <cell r="W43"/>
          <cell r="X43"/>
          <cell r="Y43"/>
          <cell r="Z43"/>
          <cell r="AA43"/>
          <cell r="AB43"/>
          <cell r="AC43"/>
          <cell r="AD43"/>
          <cell r="AE43"/>
          <cell r="AF43"/>
          <cell r="AG43"/>
          <cell r="AH43"/>
          <cell r="AI43"/>
          <cell r="AJ43"/>
          <cell r="AK43"/>
          <cell r="AL43"/>
          <cell r="AM43"/>
          <cell r="AN43"/>
          <cell r="AO43"/>
          <cell r="AP43"/>
          <cell r="AQ43"/>
          <cell r="AR43"/>
          <cell r="AS43"/>
          <cell r="AT43"/>
          <cell r="AU43"/>
          <cell r="AV43"/>
          <cell r="AW43"/>
          <cell r="AX43"/>
          <cell r="AY43"/>
          <cell r="AZ43"/>
          <cell r="BA43"/>
          <cell r="BB43"/>
          <cell r="BC43"/>
          <cell r="BD43"/>
          <cell r="BE43"/>
          <cell r="BF43"/>
          <cell r="BG43"/>
          <cell r="BH43"/>
          <cell r="BI43"/>
          <cell r="BJ43"/>
          <cell r="BK43"/>
          <cell r="BL43"/>
          <cell r="BM43"/>
          <cell r="BN43"/>
          <cell r="BO43"/>
          <cell r="BP43"/>
          <cell r="BQ43"/>
          <cell r="BR43"/>
          <cell r="BS43"/>
          <cell r="BT43"/>
        </row>
        <row r="44">
          <cell r="B44" t="str">
            <v>TCHARCOAL</v>
          </cell>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row>
        <row r="45">
          <cell r="B45" t="str">
            <v>TNONSPEC</v>
          </cell>
          <cell r="C45"/>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v>12988.8</v>
          </cell>
          <cell r="AF45"/>
          <cell r="AG45"/>
          <cell r="AH45"/>
          <cell r="AI45"/>
          <cell r="AJ45"/>
          <cell r="AK45"/>
          <cell r="AL45"/>
          <cell r="AM45"/>
          <cell r="AN45"/>
          <cell r="AO45"/>
          <cell r="AP45"/>
          <cell r="AQ45"/>
          <cell r="AR45"/>
          <cell r="AS45"/>
          <cell r="AT45"/>
          <cell r="AU45"/>
          <cell r="AV45"/>
          <cell r="AW45"/>
          <cell r="AX45"/>
          <cell r="AY45"/>
          <cell r="AZ45"/>
          <cell r="BA45"/>
          <cell r="BB45"/>
          <cell r="BC45"/>
          <cell r="BD45"/>
          <cell r="BE45"/>
          <cell r="BF45"/>
          <cell r="BG45"/>
          <cell r="BH45"/>
          <cell r="BI45"/>
          <cell r="BJ45"/>
          <cell r="BK45"/>
          <cell r="BL45"/>
          <cell r="BM45"/>
          <cell r="BN45"/>
          <cell r="BO45"/>
          <cell r="BP45"/>
          <cell r="BQ45"/>
          <cell r="BR45"/>
          <cell r="BS45"/>
          <cell r="BT45"/>
        </row>
        <row r="46">
          <cell r="B46" t="str">
            <v>TOTENGY</v>
          </cell>
          <cell r="C46"/>
          <cell r="D46"/>
          <cell r="E46">
            <v>-715.38319999999999</v>
          </cell>
          <cell r="F46">
            <v>0</v>
          </cell>
          <cell r="G46">
            <v>9.2752999999999997</v>
          </cell>
          <cell r="H46">
            <v>0</v>
          </cell>
          <cell r="I46">
            <v>0</v>
          </cell>
          <cell r="J46">
            <v>3.0999999999999999E-3</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cell r="AD46">
            <v>479.20150000000001</v>
          </cell>
          <cell r="AE46">
            <v>17567.603100000004</v>
          </cell>
          <cell r="AF46">
            <v>496.0793000000001</v>
          </cell>
          <cell r="AG46">
            <v>-504.21199999999999</v>
          </cell>
          <cell r="AH46">
            <v>318.39830000000001</v>
          </cell>
          <cell r="AI46">
            <v>558.26620000000003</v>
          </cell>
          <cell r="AJ46">
            <v>0</v>
          </cell>
          <cell r="AK46">
            <v>0</v>
          </cell>
          <cell r="AL46">
            <v>0</v>
          </cell>
          <cell r="AM46">
            <v>1.9</v>
          </cell>
          <cell r="AN46">
            <v>0</v>
          </cell>
          <cell r="AO46">
            <v>4.8837999999999999</v>
          </cell>
          <cell r="AP46">
            <v>44.1145</v>
          </cell>
          <cell r="AQ46">
            <v>0</v>
          </cell>
          <cell r="AR46">
            <v>0.19069999999999998</v>
          </cell>
          <cell r="AS46">
            <v>0</v>
          </cell>
          <cell r="AT46">
            <v>9.9300000000000013E-2</v>
          </cell>
          <cell r="AU46">
            <v>313.47409999999996</v>
          </cell>
          <cell r="AV46">
            <v>116.45559999999999</v>
          </cell>
          <cell r="AW46">
            <v>22.791800000000002</v>
          </cell>
          <cell r="AX46">
            <v>0</v>
          </cell>
          <cell r="AY46">
            <v>0</v>
          </cell>
          <cell r="AZ46">
            <v>3.0371999999999999</v>
          </cell>
          <cell r="BA46">
            <v>5.4399999999999997E-2</v>
          </cell>
          <cell r="BB46">
            <v>0</v>
          </cell>
          <cell r="BC46">
            <v>0</v>
          </cell>
          <cell r="BD46">
            <v>0</v>
          </cell>
          <cell r="BE46">
            <v>0</v>
          </cell>
          <cell r="BF46"/>
          <cell r="BG46">
            <v>0</v>
          </cell>
          <cell r="BH46">
            <v>0</v>
          </cell>
          <cell r="BI46">
            <v>0</v>
          </cell>
          <cell r="BJ46">
            <v>0</v>
          </cell>
          <cell r="BK46"/>
          <cell r="BL46">
            <v>0</v>
          </cell>
          <cell r="BM46">
            <v>0</v>
          </cell>
          <cell r="BN46">
            <v>0</v>
          </cell>
          <cell r="BO46">
            <v>0</v>
          </cell>
          <cell r="BP46"/>
          <cell r="BQ46">
            <v>19120.554900000003</v>
          </cell>
          <cell r="BR46">
            <v>-17578.537137200001</v>
          </cell>
          <cell r="BS46"/>
          <cell r="BT46"/>
        </row>
        <row r="47">
          <cell r="B47" t="str">
            <v>EMINES</v>
          </cell>
          <cell r="C47"/>
          <cell r="D47"/>
          <cell r="E47">
            <v>419.8852</v>
          </cell>
          <cell r="F47">
            <v>0</v>
          </cell>
          <cell r="G47">
            <v>1.3752</v>
          </cell>
          <cell r="H47">
            <v>0</v>
          </cell>
          <cell r="I47">
            <v>0</v>
          </cell>
          <cell r="J47">
            <v>1E-4</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3.1800000000000002E-2</v>
          </cell>
          <cell r="AP47">
            <v>2.31</v>
          </cell>
          <cell r="AQ47">
            <v>0</v>
          </cell>
          <cell r="AR47">
            <v>0</v>
          </cell>
          <cell r="AS47">
            <v>0</v>
          </cell>
          <cell r="AT47">
            <v>7.0900000000000005E-2</v>
          </cell>
          <cell r="AU47">
            <v>94.683199999999999</v>
          </cell>
          <cell r="AV47">
            <v>0</v>
          </cell>
          <cell r="AW47">
            <v>0</v>
          </cell>
          <cell r="AX47">
            <v>0</v>
          </cell>
          <cell r="AY47">
            <v>0</v>
          </cell>
          <cell r="AZ47">
            <v>0</v>
          </cell>
          <cell r="BA47">
            <v>0</v>
          </cell>
          <cell r="BB47">
            <v>0</v>
          </cell>
          <cell r="BC47">
            <v>0</v>
          </cell>
          <cell r="BD47">
            <v>0</v>
          </cell>
          <cell r="BE47">
            <v>0</v>
          </cell>
          <cell r="BF47"/>
          <cell r="BG47">
            <v>0</v>
          </cell>
          <cell r="BH47">
            <v>0</v>
          </cell>
          <cell r="BI47">
            <v>0</v>
          </cell>
          <cell r="BJ47">
            <v>0</v>
          </cell>
          <cell r="BK47"/>
          <cell r="BL47">
            <v>0</v>
          </cell>
          <cell r="BM47">
            <v>0</v>
          </cell>
          <cell r="BN47">
            <v>0</v>
          </cell>
          <cell r="BO47">
            <v>0</v>
          </cell>
          <cell r="BP47"/>
          <cell r="BQ47">
            <v>483.04559999999998</v>
          </cell>
          <cell r="BR47">
            <v>0.12036409999999999</v>
          </cell>
          <cell r="BS47"/>
          <cell r="BT47"/>
        </row>
        <row r="48">
          <cell r="B48" t="str">
            <v>EOILGASEX</v>
          </cell>
          <cell r="C48"/>
          <cell r="D48"/>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436.83590000000004</v>
          </cell>
          <cell r="AE48">
            <v>17483.188700000002</v>
          </cell>
          <cell r="AF48">
            <v>433.6853000000001</v>
          </cell>
          <cell r="AG48">
            <v>-504.21199999999999</v>
          </cell>
          <cell r="AH48">
            <v>318.39830000000001</v>
          </cell>
          <cell r="AI48">
            <v>0</v>
          </cell>
          <cell r="AJ48">
            <v>0</v>
          </cell>
          <cell r="AK48">
            <v>0</v>
          </cell>
          <cell r="AL48">
            <v>0</v>
          </cell>
          <cell r="AM48">
            <v>0</v>
          </cell>
          <cell r="AN48">
            <v>0</v>
          </cell>
          <cell r="AO48">
            <v>1.0001</v>
          </cell>
          <cell r="AP48">
            <v>12.1449</v>
          </cell>
          <cell r="AQ48">
            <v>0</v>
          </cell>
          <cell r="AR48">
            <v>0.19069999999999998</v>
          </cell>
          <cell r="AS48">
            <v>0</v>
          </cell>
          <cell r="AT48">
            <v>2.2499999999999999E-2</v>
          </cell>
          <cell r="AU48">
            <v>138.04499999999999</v>
          </cell>
          <cell r="AV48">
            <v>5.6000000000000001E-2</v>
          </cell>
          <cell r="AW48">
            <v>0</v>
          </cell>
          <cell r="AX48">
            <v>0</v>
          </cell>
          <cell r="AY48">
            <v>0</v>
          </cell>
          <cell r="AZ48">
            <v>3.0371999999999999</v>
          </cell>
          <cell r="BA48">
            <v>4.7399999999999998E-2</v>
          </cell>
          <cell r="BB48">
            <v>0</v>
          </cell>
          <cell r="BC48">
            <v>0</v>
          </cell>
          <cell r="BD48">
            <v>0</v>
          </cell>
          <cell r="BE48">
            <v>0</v>
          </cell>
          <cell r="BF48"/>
          <cell r="BG48">
            <v>0</v>
          </cell>
          <cell r="BH48">
            <v>0</v>
          </cell>
          <cell r="BI48">
            <v>0</v>
          </cell>
          <cell r="BJ48">
            <v>0</v>
          </cell>
          <cell r="BK48"/>
          <cell r="BL48">
            <v>0</v>
          </cell>
          <cell r="BM48">
            <v>0</v>
          </cell>
          <cell r="BN48">
            <v>0</v>
          </cell>
          <cell r="BO48">
            <v>0</v>
          </cell>
          <cell r="BP48"/>
          <cell r="BQ48">
            <v>8002.8995999999997</v>
          </cell>
          <cell r="BR48">
            <v>9.168776900000001</v>
          </cell>
          <cell r="BS48"/>
          <cell r="BT48"/>
        </row>
        <row r="49">
          <cell r="B49" t="str">
            <v>EPATFUEL</v>
          </cell>
          <cell r="C49"/>
          <cell r="D49"/>
          <cell r="E49"/>
          <cell r="F49"/>
          <cell r="G49"/>
          <cell r="H49"/>
          <cell r="I49"/>
          <cell r="J49"/>
          <cell r="K49"/>
          <cell r="L49"/>
          <cell r="M49"/>
          <cell r="N49"/>
          <cell r="O49"/>
          <cell r="P49"/>
          <cell r="Q49"/>
          <cell r="R49"/>
          <cell r="S49"/>
          <cell r="T49"/>
          <cell r="U49"/>
          <cell r="V49"/>
          <cell r="W49"/>
          <cell r="X49"/>
          <cell r="Y49"/>
          <cell r="Z49"/>
          <cell r="AA49"/>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cell r="BD49"/>
          <cell r="BE49"/>
          <cell r="BF49"/>
          <cell r="BG49"/>
          <cell r="BH49"/>
          <cell r="BI49"/>
          <cell r="BJ49"/>
          <cell r="BK49"/>
          <cell r="BL49"/>
          <cell r="BM49"/>
          <cell r="BN49"/>
          <cell r="BO49"/>
          <cell r="BP49"/>
          <cell r="BQ49"/>
          <cell r="BR49"/>
          <cell r="BS49"/>
          <cell r="BT49"/>
        </row>
        <row r="50">
          <cell r="B50" t="str">
            <v>ECOKEOVS</v>
          </cell>
          <cell r="C50"/>
          <cell r="D50"/>
          <cell r="E50">
            <v>0.41560000000000002</v>
          </cell>
          <cell r="F50">
            <v>0</v>
          </cell>
          <cell r="G50">
            <v>0</v>
          </cell>
          <cell r="H50">
            <v>0</v>
          </cell>
          <cell r="I50">
            <v>0</v>
          </cell>
          <cell r="J50">
            <v>0</v>
          </cell>
          <cell r="K50">
            <v>0</v>
          </cell>
          <cell r="L50">
            <v>0</v>
          </cell>
          <cell r="M50"/>
          <cell r="N50"/>
          <cell r="O50">
            <v>0</v>
          </cell>
          <cell r="P50">
            <v>0</v>
          </cell>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cell r="BO50"/>
          <cell r="BP50"/>
          <cell r="BQ50"/>
          <cell r="BR50"/>
          <cell r="BS50"/>
          <cell r="BT50"/>
        </row>
        <row r="51">
          <cell r="B51" t="str">
            <v>EGASWKS</v>
          </cell>
          <cell r="C51"/>
          <cell r="D51"/>
          <cell r="E51"/>
          <cell r="F51"/>
          <cell r="G51"/>
          <cell r="H51"/>
          <cell r="I51"/>
          <cell r="J51"/>
          <cell r="K51"/>
          <cell r="L51"/>
          <cell r="M51"/>
          <cell r="N51"/>
          <cell r="O51"/>
          <cell r="P51"/>
          <cell r="Q51"/>
          <cell r="R51"/>
          <cell r="S51"/>
          <cell r="T51"/>
          <cell r="U51"/>
          <cell r="V51"/>
          <cell r="W51"/>
          <cell r="X51"/>
          <cell r="Y51"/>
          <cell r="Z51"/>
          <cell r="AA51"/>
          <cell r="AB51"/>
          <cell r="AC51"/>
          <cell r="AD51"/>
          <cell r="AE51"/>
          <cell r="AF51"/>
          <cell r="AG51"/>
          <cell r="AH51"/>
          <cell r="AI51"/>
          <cell r="AJ51"/>
          <cell r="AK51"/>
          <cell r="AL51"/>
          <cell r="AM51"/>
          <cell r="AN51"/>
          <cell r="AO51"/>
          <cell r="AP51"/>
          <cell r="AQ51"/>
          <cell r="AR51"/>
          <cell r="AS51"/>
          <cell r="AT51"/>
          <cell r="AU51"/>
          <cell r="AV51"/>
          <cell r="AW51"/>
          <cell r="AX51"/>
          <cell r="AY51"/>
          <cell r="AZ51"/>
          <cell r="BA51"/>
          <cell r="BB51"/>
          <cell r="BC51"/>
          <cell r="BD51"/>
          <cell r="BE51"/>
          <cell r="BF51"/>
          <cell r="BG51"/>
          <cell r="BH51"/>
          <cell r="BI51"/>
          <cell r="BJ51"/>
          <cell r="BK51"/>
          <cell r="BL51"/>
          <cell r="BM51"/>
          <cell r="BN51"/>
          <cell r="BO51"/>
          <cell r="BP51"/>
          <cell r="BQ51"/>
          <cell r="BR51"/>
          <cell r="BS51"/>
          <cell r="BT51"/>
        </row>
        <row r="52">
          <cell r="B52" t="str">
            <v>EBIOGAS</v>
          </cell>
          <cell r="C52"/>
          <cell r="D52"/>
          <cell r="E52"/>
          <cell r="F52"/>
          <cell r="G52"/>
          <cell r="H52"/>
          <cell r="I52"/>
          <cell r="J52"/>
          <cell r="K52"/>
          <cell r="L52"/>
          <cell r="M52"/>
          <cell r="N52"/>
          <cell r="O52"/>
          <cell r="P52"/>
          <cell r="Q52"/>
          <cell r="R52"/>
          <cell r="S52"/>
          <cell r="T52"/>
          <cell r="U52"/>
          <cell r="V52"/>
          <cell r="W52"/>
          <cell r="X52"/>
          <cell r="Y52"/>
          <cell r="Z52"/>
          <cell r="AA52"/>
          <cell r="AB52"/>
          <cell r="AC52"/>
          <cell r="AD52"/>
          <cell r="AE52"/>
          <cell r="AF52"/>
          <cell r="AG52"/>
          <cell r="AH52"/>
          <cell r="AI52"/>
          <cell r="AJ52"/>
          <cell r="AK52"/>
          <cell r="AL52"/>
          <cell r="AM52"/>
          <cell r="AN52"/>
          <cell r="AO52"/>
          <cell r="AP52"/>
          <cell r="AQ52"/>
          <cell r="AR52"/>
          <cell r="AS52"/>
          <cell r="AT52"/>
          <cell r="AU52"/>
          <cell r="AV52"/>
          <cell r="AW52"/>
          <cell r="AX52"/>
          <cell r="AY52"/>
          <cell r="AZ52"/>
          <cell r="BA52"/>
          <cell r="BB52"/>
          <cell r="BC52"/>
          <cell r="BD52"/>
          <cell r="BE52"/>
          <cell r="BF52"/>
          <cell r="BG52"/>
          <cell r="BH52"/>
          <cell r="BI52"/>
          <cell r="BJ52"/>
          <cell r="BK52"/>
          <cell r="BL52"/>
          <cell r="BM52"/>
          <cell r="BN52"/>
          <cell r="BO52"/>
          <cell r="BP52"/>
          <cell r="BQ52"/>
          <cell r="BR52"/>
          <cell r="BS52"/>
          <cell r="BT52"/>
        </row>
        <row r="53">
          <cell r="B53" t="str">
            <v>EBLASTFUR</v>
          </cell>
          <cell r="C53"/>
          <cell r="D53"/>
          <cell r="E53"/>
          <cell r="F53"/>
          <cell r="G53"/>
          <cell r="H53"/>
          <cell r="I53"/>
          <cell r="J53"/>
          <cell r="K53"/>
          <cell r="L53"/>
          <cell r="M53"/>
          <cell r="N53"/>
          <cell r="O53"/>
          <cell r="P53"/>
          <cell r="Q53"/>
          <cell r="R53"/>
          <cell r="S53"/>
          <cell r="T53"/>
          <cell r="U53"/>
          <cell r="V53"/>
          <cell r="W53"/>
          <cell r="X53"/>
          <cell r="Y53"/>
          <cell r="Z53"/>
          <cell r="AA53"/>
          <cell r="AB53"/>
          <cell r="AC53"/>
          <cell r="AD53"/>
          <cell r="AE53"/>
          <cell r="AF53"/>
          <cell r="AG53"/>
          <cell r="AH53"/>
          <cell r="AI53"/>
          <cell r="AJ53"/>
          <cell r="AK53"/>
          <cell r="AL53"/>
          <cell r="AM53"/>
          <cell r="AN53"/>
          <cell r="AO53"/>
          <cell r="AP53"/>
          <cell r="AQ53"/>
          <cell r="AR53"/>
          <cell r="AS53"/>
          <cell r="AT53"/>
          <cell r="AU53"/>
          <cell r="AV53"/>
          <cell r="AW53"/>
          <cell r="AX53"/>
          <cell r="AY53"/>
          <cell r="AZ53"/>
          <cell r="BA53"/>
          <cell r="BB53"/>
          <cell r="BC53"/>
          <cell r="BD53"/>
          <cell r="BE53"/>
          <cell r="BF53"/>
          <cell r="BG53"/>
          <cell r="BH53"/>
          <cell r="BI53"/>
          <cell r="BJ53"/>
          <cell r="BK53"/>
          <cell r="BL53"/>
          <cell r="BM53"/>
          <cell r="BN53"/>
          <cell r="BO53"/>
          <cell r="BP53"/>
          <cell r="BQ53"/>
          <cell r="BR53"/>
          <cell r="BS53"/>
          <cell r="BT53"/>
        </row>
        <row r="54">
          <cell r="B54" t="str">
            <v>EBKB</v>
          </cell>
          <cell r="C54"/>
          <cell r="D54"/>
          <cell r="E54"/>
          <cell r="F54"/>
          <cell r="G54"/>
          <cell r="H54"/>
          <cell r="I54"/>
          <cell r="J54"/>
          <cell r="K54"/>
          <cell r="L54"/>
          <cell r="M54"/>
          <cell r="N54"/>
          <cell r="O54"/>
          <cell r="P54"/>
          <cell r="Q54"/>
          <cell r="R54"/>
          <cell r="S54"/>
          <cell r="T54"/>
          <cell r="U54"/>
          <cell r="V54"/>
          <cell r="W54"/>
          <cell r="X54"/>
          <cell r="Y54"/>
          <cell r="Z54"/>
          <cell r="AA54"/>
          <cell r="AB54"/>
          <cell r="AC54"/>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cell r="BD54"/>
          <cell r="BE54"/>
          <cell r="BF54"/>
          <cell r="BG54"/>
          <cell r="BH54"/>
          <cell r="BI54"/>
          <cell r="BJ54"/>
          <cell r="BK54"/>
          <cell r="BL54"/>
          <cell r="BM54"/>
          <cell r="BN54"/>
          <cell r="BO54"/>
          <cell r="BP54"/>
          <cell r="BQ54"/>
          <cell r="BR54"/>
          <cell r="BS54"/>
          <cell r="BT54"/>
        </row>
        <row r="55">
          <cell r="B55" t="str">
            <v>EREFINER</v>
          </cell>
          <cell r="C55"/>
          <cell r="D55"/>
          <cell r="E55"/>
          <cell r="F55"/>
          <cell r="G55"/>
          <cell r="H55"/>
          <cell r="I55"/>
          <cell r="J55"/>
          <cell r="K55"/>
          <cell r="L55"/>
          <cell r="M55"/>
          <cell r="N55"/>
          <cell r="O55"/>
          <cell r="P55"/>
          <cell r="Q55"/>
          <cell r="R55"/>
          <cell r="S55"/>
          <cell r="T55"/>
          <cell r="U55"/>
          <cell r="V55"/>
          <cell r="W55"/>
          <cell r="X55"/>
          <cell r="Y55"/>
          <cell r="Z55"/>
          <cell r="AA55"/>
          <cell r="AB55"/>
          <cell r="AC55"/>
          <cell r="AD55">
            <v>42.365600000000001</v>
          </cell>
          <cell r="AE55">
            <v>2.8090000000000002</v>
          </cell>
          <cell r="AF55">
            <v>62.393999999999998</v>
          </cell>
          <cell r="AG55"/>
          <cell r="AH55"/>
          <cell r="AI55">
            <v>558.26089999999999</v>
          </cell>
          <cell r="AJ55">
            <v>0</v>
          </cell>
          <cell r="AK55">
            <v>0</v>
          </cell>
          <cell r="AL55">
            <v>0</v>
          </cell>
          <cell r="AM55">
            <v>1.9</v>
          </cell>
          <cell r="AN55">
            <v>0</v>
          </cell>
          <cell r="AO55">
            <v>3.2000000000000001E-2</v>
          </cell>
          <cell r="AP55">
            <v>0.57399999999999995</v>
          </cell>
          <cell r="AQ55">
            <v>0</v>
          </cell>
          <cell r="AR55">
            <v>0</v>
          </cell>
          <cell r="AS55">
            <v>0</v>
          </cell>
          <cell r="AT55">
            <v>0</v>
          </cell>
          <cell r="AU55">
            <v>41.995800000000003</v>
          </cell>
          <cell r="AV55">
            <v>96.840199999999996</v>
          </cell>
          <cell r="AW55">
            <v>22.788400000000003</v>
          </cell>
          <cell r="AX55">
            <v>0</v>
          </cell>
          <cell r="AY55">
            <v>0</v>
          </cell>
          <cell r="AZ55">
            <v>0</v>
          </cell>
          <cell r="BA55">
            <v>0</v>
          </cell>
          <cell r="BB55">
            <v>0</v>
          </cell>
          <cell r="BC55">
            <v>0</v>
          </cell>
          <cell r="BD55">
            <v>0</v>
          </cell>
          <cell r="BE55"/>
          <cell r="BF55"/>
          <cell r="BG55"/>
          <cell r="BH55"/>
          <cell r="BI55"/>
          <cell r="BJ55"/>
          <cell r="BK55"/>
          <cell r="BL55"/>
          <cell r="BM55"/>
          <cell r="BN55"/>
          <cell r="BO55"/>
          <cell r="BP55"/>
          <cell r="BQ55">
            <v>1136.2906</v>
          </cell>
          <cell r="BR55">
            <v>3.2581338999999998</v>
          </cell>
          <cell r="BS55"/>
          <cell r="BT55"/>
        </row>
        <row r="56">
          <cell r="B56" t="str">
            <v>ECOALLIQ</v>
          </cell>
          <cell r="C56"/>
          <cell r="D56"/>
          <cell r="E56"/>
          <cell r="F56"/>
          <cell r="G56"/>
          <cell r="H56"/>
          <cell r="I56"/>
          <cell r="J56"/>
          <cell r="K56"/>
          <cell r="L56"/>
          <cell r="M56"/>
          <cell r="N56"/>
          <cell r="O56"/>
          <cell r="P56"/>
          <cell r="Q56"/>
          <cell r="R56"/>
          <cell r="S56"/>
          <cell r="T56"/>
          <cell r="U56"/>
          <cell r="V56"/>
          <cell r="W56"/>
          <cell r="X56"/>
          <cell r="Y56"/>
          <cell r="Z56"/>
          <cell r="AA56"/>
          <cell r="AB56"/>
          <cell r="AC56"/>
          <cell r="AD56"/>
          <cell r="AE56"/>
          <cell r="AF56"/>
          <cell r="AG56"/>
          <cell r="AH56"/>
          <cell r="AI56"/>
          <cell r="AJ56"/>
          <cell r="AK56"/>
          <cell r="AL56"/>
          <cell r="AM56"/>
          <cell r="AN56"/>
          <cell r="AO56"/>
          <cell r="AP56"/>
          <cell r="AQ56"/>
          <cell r="AR56"/>
          <cell r="AS56"/>
          <cell r="AT56"/>
          <cell r="AU56"/>
          <cell r="AV56"/>
          <cell r="AW56"/>
          <cell r="AX56"/>
          <cell r="AY56"/>
          <cell r="AZ56"/>
          <cell r="BA56"/>
          <cell r="BB56"/>
          <cell r="BC56"/>
          <cell r="BD56"/>
          <cell r="BE56"/>
          <cell r="BF56"/>
          <cell r="BG56"/>
          <cell r="BH56"/>
          <cell r="BI56"/>
          <cell r="BJ56"/>
          <cell r="BK56"/>
          <cell r="BL56"/>
          <cell r="BM56"/>
          <cell r="BN56"/>
          <cell r="BO56"/>
          <cell r="BP56"/>
          <cell r="BQ56"/>
          <cell r="BR56"/>
          <cell r="BS56"/>
          <cell r="BT56"/>
        </row>
        <row r="57">
          <cell r="B57" t="str">
            <v>ELNG</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row>
        <row r="58">
          <cell r="B58" t="str">
            <v>EGTL</v>
          </cell>
          <cell r="C58"/>
          <cell r="D58"/>
          <cell r="E58"/>
          <cell r="F58"/>
          <cell r="G58"/>
          <cell r="H58"/>
          <cell r="I58"/>
          <cell r="J58"/>
          <cell r="K58"/>
          <cell r="L58"/>
          <cell r="M58"/>
          <cell r="N58"/>
          <cell r="O58"/>
          <cell r="P58"/>
          <cell r="Q58"/>
          <cell r="R58"/>
          <cell r="S58"/>
          <cell r="T58"/>
          <cell r="U58"/>
          <cell r="V58"/>
          <cell r="W58"/>
          <cell r="X58"/>
          <cell r="Y58"/>
          <cell r="Z58"/>
          <cell r="AA58"/>
          <cell r="AB58"/>
          <cell r="AC58"/>
          <cell r="AD58"/>
          <cell r="AE58"/>
          <cell r="AF58"/>
          <cell r="AG58"/>
          <cell r="AH58"/>
          <cell r="AI58"/>
          <cell r="AJ58"/>
          <cell r="AK58"/>
          <cell r="AL58"/>
          <cell r="AM58"/>
          <cell r="AN58"/>
          <cell r="AO58"/>
          <cell r="AP58"/>
          <cell r="AQ58"/>
          <cell r="AR58"/>
          <cell r="AS58"/>
          <cell r="AT58"/>
          <cell r="AU58"/>
          <cell r="AV58"/>
          <cell r="AW58"/>
          <cell r="AX58"/>
          <cell r="AY58"/>
          <cell r="AZ58"/>
          <cell r="BA58"/>
          <cell r="BB58"/>
          <cell r="BC58"/>
          <cell r="BD58"/>
          <cell r="BE58"/>
          <cell r="BF58"/>
          <cell r="BG58"/>
          <cell r="BH58"/>
          <cell r="BI58"/>
          <cell r="BJ58"/>
          <cell r="BK58"/>
          <cell r="BL58"/>
          <cell r="BM58"/>
          <cell r="BN58"/>
          <cell r="BO58"/>
          <cell r="BP58"/>
          <cell r="BQ58"/>
          <cell r="BR58"/>
          <cell r="BS58"/>
          <cell r="BT58"/>
        </row>
        <row r="59">
          <cell r="B59" t="str">
            <v>EPOWERPLT</v>
          </cell>
          <cell r="C59"/>
          <cell r="D59"/>
          <cell r="E59">
            <v>-1150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cell r="BG59">
            <v>0</v>
          </cell>
          <cell r="BH59">
            <v>0</v>
          </cell>
          <cell r="BI59">
            <v>0</v>
          </cell>
          <cell r="BJ59">
            <v>0</v>
          </cell>
          <cell r="BK59"/>
          <cell r="BL59">
            <v>0</v>
          </cell>
          <cell r="BM59">
            <v>0</v>
          </cell>
          <cell r="BN59">
            <v>0</v>
          </cell>
          <cell r="BO59">
            <v>0</v>
          </cell>
          <cell r="BP59"/>
          <cell r="BQ59">
            <v>4748.6269000000002</v>
          </cell>
          <cell r="BR59">
            <v>-4099.8534440000003</v>
          </cell>
          <cell r="BS59"/>
          <cell r="BT59"/>
        </row>
        <row r="60">
          <cell r="B60" t="str">
            <v>EPUMPST</v>
          </cell>
          <cell r="C60"/>
          <cell r="D60"/>
          <cell r="E60"/>
          <cell r="F60"/>
          <cell r="G60"/>
          <cell r="H60"/>
          <cell r="I60"/>
          <cell r="J60"/>
          <cell r="K60"/>
          <cell r="L60"/>
          <cell r="M60"/>
          <cell r="N60"/>
          <cell r="O60"/>
          <cell r="P60"/>
          <cell r="Q60"/>
          <cell r="R60"/>
          <cell r="S60"/>
          <cell r="T60"/>
          <cell r="U60"/>
          <cell r="V60"/>
          <cell r="W60"/>
          <cell r="X60"/>
          <cell r="Y60"/>
          <cell r="Z60"/>
          <cell r="AA60"/>
          <cell r="AB60"/>
          <cell r="AC60"/>
          <cell r="AD60"/>
          <cell r="AE60"/>
          <cell r="AF60"/>
          <cell r="AG60"/>
          <cell r="AH60"/>
          <cell r="AI60"/>
          <cell r="AJ60"/>
          <cell r="AK60"/>
          <cell r="AL60"/>
          <cell r="AM60"/>
          <cell r="AN60"/>
          <cell r="AO60"/>
          <cell r="AP60"/>
          <cell r="AQ60"/>
          <cell r="AR60"/>
          <cell r="AS60"/>
          <cell r="AT60"/>
          <cell r="AU60"/>
          <cell r="AV60"/>
          <cell r="AW60"/>
          <cell r="AX60"/>
          <cell r="AY60"/>
          <cell r="AZ60"/>
          <cell r="BA60"/>
          <cell r="BB60"/>
          <cell r="BC60"/>
          <cell r="BD60"/>
          <cell r="BE60"/>
          <cell r="BF60"/>
          <cell r="BG60"/>
          <cell r="BH60"/>
          <cell r="BI60"/>
          <cell r="BJ60"/>
          <cell r="BK60"/>
          <cell r="BL60"/>
          <cell r="BM60"/>
          <cell r="BN60"/>
          <cell r="BO60"/>
          <cell r="BP60"/>
          <cell r="BQ60"/>
          <cell r="BR60"/>
          <cell r="BS60"/>
          <cell r="BT60"/>
        </row>
        <row r="61">
          <cell r="B61" t="str">
            <v>ENUC</v>
          </cell>
          <cell r="C61"/>
          <cell r="D61"/>
          <cell r="E61"/>
          <cell r="F61"/>
          <cell r="G61"/>
          <cell r="H61"/>
          <cell r="I61"/>
          <cell r="J61"/>
          <cell r="K61"/>
          <cell r="L61"/>
          <cell r="M61"/>
          <cell r="N61"/>
          <cell r="O61"/>
          <cell r="P61"/>
          <cell r="Q61"/>
          <cell r="R61"/>
          <cell r="S61"/>
          <cell r="T61"/>
          <cell r="U61"/>
          <cell r="V61"/>
          <cell r="W61"/>
          <cell r="X61"/>
          <cell r="Y61"/>
          <cell r="Z61"/>
          <cell r="AA61"/>
          <cell r="AB61"/>
          <cell r="AC61"/>
          <cell r="AD61"/>
          <cell r="AE61"/>
          <cell r="AF61"/>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cell r="BG61"/>
          <cell r="BH61"/>
          <cell r="BI61"/>
          <cell r="BJ61"/>
          <cell r="BK61"/>
          <cell r="BL61"/>
          <cell r="BM61"/>
          <cell r="BN61"/>
          <cell r="BO61"/>
          <cell r="BP61"/>
          <cell r="BQ61"/>
          <cell r="BR61"/>
          <cell r="BS61"/>
          <cell r="BT61"/>
        </row>
        <row r="62">
          <cell r="B62" t="str">
            <v>ECHARCOAL</v>
          </cell>
          <cell r="C62"/>
          <cell r="D62"/>
          <cell r="E62"/>
          <cell r="F62"/>
          <cell r="G62"/>
          <cell r="H62"/>
          <cell r="I62"/>
          <cell r="J62"/>
          <cell r="K62"/>
          <cell r="L62"/>
          <cell r="M62"/>
          <cell r="N62"/>
          <cell r="O62"/>
          <cell r="P62"/>
          <cell r="Q62"/>
          <cell r="R62"/>
          <cell r="S62"/>
          <cell r="T62"/>
          <cell r="U62"/>
          <cell r="V62"/>
          <cell r="W62"/>
          <cell r="X62"/>
          <cell r="Y62"/>
          <cell r="Z62"/>
          <cell r="AA62"/>
          <cell r="AB62"/>
          <cell r="AC62"/>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cell r="BG62"/>
          <cell r="BH62"/>
          <cell r="BI62"/>
          <cell r="BJ62"/>
          <cell r="BK62"/>
          <cell r="BL62"/>
          <cell r="BM62"/>
          <cell r="BN62"/>
          <cell r="BO62"/>
          <cell r="BP62"/>
          <cell r="BQ62"/>
          <cell r="BR62"/>
          <cell r="BS62"/>
          <cell r="BT62"/>
        </row>
        <row r="63">
          <cell r="B63" t="str">
            <v>ENONSPEC</v>
          </cell>
          <cell r="C63"/>
          <cell r="D63"/>
          <cell r="E63">
            <v>14.316000000000001</v>
          </cell>
          <cell r="F63">
            <v>0</v>
          </cell>
          <cell r="G63">
            <v>7.9001000000000001</v>
          </cell>
          <cell r="H63">
            <v>0</v>
          </cell>
          <cell r="I63">
            <v>0</v>
          </cell>
          <cell r="J63">
            <v>3.0000000000000001E-3</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cell r="AE63">
            <v>81.605399999999989</v>
          </cell>
          <cell r="AF63">
            <v>0</v>
          </cell>
          <cell r="AG63">
            <v>0</v>
          </cell>
          <cell r="AH63">
            <v>0</v>
          </cell>
          <cell r="AI63">
            <v>5.3E-3</v>
          </cell>
          <cell r="AJ63">
            <v>0</v>
          </cell>
          <cell r="AK63">
            <v>0</v>
          </cell>
          <cell r="AL63">
            <v>0</v>
          </cell>
          <cell r="AM63">
            <v>0</v>
          </cell>
          <cell r="AN63">
            <v>0</v>
          </cell>
          <cell r="AO63">
            <v>3.8199000000000001</v>
          </cell>
          <cell r="AP63">
            <v>29.085599999999999</v>
          </cell>
          <cell r="AQ63">
            <v>0</v>
          </cell>
          <cell r="AR63">
            <v>0</v>
          </cell>
          <cell r="AS63">
            <v>0</v>
          </cell>
          <cell r="AT63">
            <v>5.9000000000000007E-3</v>
          </cell>
          <cell r="AU63">
            <v>38.750099999999996</v>
          </cell>
          <cell r="AV63">
            <v>19.5594</v>
          </cell>
          <cell r="AW63">
            <v>3.3999999999999998E-3</v>
          </cell>
          <cell r="AX63">
            <v>0</v>
          </cell>
          <cell r="AY63">
            <v>0</v>
          </cell>
          <cell r="AZ63">
            <v>0</v>
          </cell>
          <cell r="BA63">
            <v>7.0000000000000001E-3</v>
          </cell>
          <cell r="BB63">
            <v>0</v>
          </cell>
          <cell r="BC63">
            <v>0</v>
          </cell>
          <cell r="BD63">
            <v>0</v>
          </cell>
          <cell r="BE63">
            <v>0</v>
          </cell>
          <cell r="BF63"/>
          <cell r="BG63">
            <v>0</v>
          </cell>
          <cell r="BH63">
            <v>0</v>
          </cell>
          <cell r="BI63">
            <v>0</v>
          </cell>
          <cell r="BJ63">
            <v>0</v>
          </cell>
          <cell r="BK63"/>
          <cell r="BL63">
            <v>0</v>
          </cell>
          <cell r="BM63">
            <v>0</v>
          </cell>
          <cell r="BN63">
            <v>0</v>
          </cell>
          <cell r="BO63">
            <v>0</v>
          </cell>
          <cell r="BP63"/>
          <cell r="BQ63">
            <v>4749.6922000000004</v>
          </cell>
          <cell r="BR63">
            <v>-13491.230968100001</v>
          </cell>
          <cell r="BS63"/>
          <cell r="BT63"/>
        </row>
        <row r="64">
          <cell r="B64" t="str">
            <v>DISTLOSS</v>
          </cell>
          <cell r="C64"/>
          <cell r="D64"/>
          <cell r="E64">
            <v>0.50900000000001455</v>
          </cell>
          <cell r="F64">
            <v>0</v>
          </cell>
          <cell r="G64">
            <v>0</v>
          </cell>
          <cell r="H64">
            <v>0</v>
          </cell>
          <cell r="I64">
            <v>0</v>
          </cell>
          <cell r="J64">
            <v>3.5790000000000002</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6</v>
          </cell>
          <cell r="AE64">
            <v>18</v>
          </cell>
          <cell r="AF64">
            <v>6</v>
          </cell>
          <cell r="AG64">
            <v>577.35400000000004</v>
          </cell>
          <cell r="AH64">
            <v>31.814</v>
          </cell>
          <cell r="AI64">
            <v>0</v>
          </cell>
          <cell r="AJ64">
            <v>0</v>
          </cell>
          <cell r="AK64">
            <v>0</v>
          </cell>
          <cell r="AL64">
            <v>0</v>
          </cell>
          <cell r="AM64">
            <v>0</v>
          </cell>
          <cell r="AN64">
            <v>0</v>
          </cell>
          <cell r="AO64">
            <v>35.590000000000003</v>
          </cell>
          <cell r="AP64">
            <v>24.259</v>
          </cell>
          <cell r="AQ64">
            <v>0.123</v>
          </cell>
          <cell r="AR64">
            <v>2E-3</v>
          </cell>
          <cell r="AS64">
            <v>0</v>
          </cell>
          <cell r="AT64">
            <v>0.23100000000000001</v>
          </cell>
          <cell r="AU64">
            <v>60.884</v>
          </cell>
          <cell r="AV64">
            <v>0.193</v>
          </cell>
          <cell r="AW64">
            <v>3.3000000000000002E-2</v>
          </cell>
          <cell r="AX64">
            <v>0</v>
          </cell>
          <cell r="AY64">
            <v>0</v>
          </cell>
          <cell r="AZ64">
            <v>0</v>
          </cell>
          <cell r="BA64">
            <v>0</v>
          </cell>
          <cell r="BB64">
            <v>0</v>
          </cell>
          <cell r="BC64">
            <v>0</v>
          </cell>
          <cell r="BD64">
            <v>0</v>
          </cell>
          <cell r="BE64">
            <v>0</v>
          </cell>
          <cell r="BF64"/>
          <cell r="BG64">
            <v>0</v>
          </cell>
          <cell r="BH64">
            <v>0</v>
          </cell>
          <cell r="BI64">
            <v>0</v>
          </cell>
          <cell r="BJ64">
            <v>0</v>
          </cell>
          <cell r="BK64"/>
          <cell r="BL64">
            <v>0</v>
          </cell>
          <cell r="BM64">
            <v>0</v>
          </cell>
          <cell r="BN64">
            <v>0</v>
          </cell>
          <cell r="BO64">
            <v>0</v>
          </cell>
          <cell r="BP64"/>
          <cell r="BQ64">
            <v>7685.3520000000008</v>
          </cell>
          <cell r="BR64">
            <v>19370.8</v>
          </cell>
          <cell r="BS64"/>
          <cell r="BT64"/>
        </row>
        <row r="65">
          <cell r="B65" t="str">
            <v>FINCONS</v>
          </cell>
          <cell r="C65"/>
          <cell r="D65">
            <v>0</v>
          </cell>
          <cell r="E65">
            <v>7821.7884000000004</v>
          </cell>
          <cell r="F65">
            <v>2864.1130000000003</v>
          </cell>
          <cell r="G65">
            <v>659.67710000000011</v>
          </cell>
          <cell r="H65">
            <v>0</v>
          </cell>
          <cell r="I65">
            <v>0</v>
          </cell>
          <cell r="J65">
            <v>3208.0767000000001</v>
          </cell>
          <cell r="K65">
            <v>0</v>
          </cell>
          <cell r="L65">
            <v>0</v>
          </cell>
          <cell r="M65">
            <v>3.9000000000000007E-2</v>
          </cell>
          <cell r="N65">
            <v>0</v>
          </cell>
          <cell r="O65">
            <v>-6600.7430000000004</v>
          </cell>
          <cell r="P65">
            <v>11075.531199999999</v>
          </cell>
          <cell r="Q65">
            <v>0</v>
          </cell>
          <cell r="R65">
            <v>0</v>
          </cell>
          <cell r="S65">
            <v>0</v>
          </cell>
          <cell r="T65">
            <v>0</v>
          </cell>
          <cell r="U65">
            <v>0</v>
          </cell>
          <cell r="V65">
            <v>4007.1860000000001</v>
          </cell>
          <cell r="W65">
            <v>0</v>
          </cell>
          <cell r="X65">
            <v>0</v>
          </cell>
          <cell r="Y65">
            <v>0</v>
          </cell>
          <cell r="Z65">
            <v>0</v>
          </cell>
          <cell r="AA65">
            <v>0</v>
          </cell>
          <cell r="AB65">
            <v>242.32729999999998</v>
          </cell>
          <cell r="AC65"/>
          <cell r="AD65">
            <v>4296.8234000000002</v>
          </cell>
          <cell r="AE65">
            <v>-265.22070000000008</v>
          </cell>
          <cell r="AF65">
            <v>533.44500000000005</v>
          </cell>
          <cell r="AG65">
            <v>3.1619999999999999</v>
          </cell>
          <cell r="AH65">
            <v>12.857799999999999</v>
          </cell>
          <cell r="AI65">
            <v>25.326000000000001</v>
          </cell>
          <cell r="AJ65">
            <v>0</v>
          </cell>
          <cell r="AK65">
            <v>0</v>
          </cell>
          <cell r="AL65">
            <v>0</v>
          </cell>
          <cell r="AM65">
            <v>916.16780000000006</v>
          </cell>
          <cell r="AN65">
            <v>0</v>
          </cell>
          <cell r="AO65">
            <v>422.85779999999994</v>
          </cell>
          <cell r="AP65">
            <v>4139.2968999999994</v>
          </cell>
          <cell r="AQ65">
            <v>9.8609999999999989</v>
          </cell>
          <cell r="AR65">
            <v>62.297000000000004</v>
          </cell>
          <cell r="AS65">
            <v>0</v>
          </cell>
          <cell r="AT65">
            <v>510.07309999999995</v>
          </cell>
          <cell r="AU65">
            <v>5517.9516000000003</v>
          </cell>
          <cell r="AV65">
            <v>589.28879999999981</v>
          </cell>
          <cell r="AW65">
            <v>68.019900000000007</v>
          </cell>
          <cell r="AX65">
            <v>0</v>
          </cell>
          <cell r="AY65">
            <v>0</v>
          </cell>
          <cell r="AZ65">
            <v>0.80330000000000057</v>
          </cell>
          <cell r="BA65">
            <v>618.16269999999997</v>
          </cell>
          <cell r="BB65">
            <v>0</v>
          </cell>
          <cell r="BC65">
            <v>76.263400000000004</v>
          </cell>
          <cell r="BD65">
            <v>0</v>
          </cell>
          <cell r="BE65">
            <v>0</v>
          </cell>
          <cell r="BF65"/>
          <cell r="BG65">
            <v>0</v>
          </cell>
          <cell r="BH65">
            <v>0</v>
          </cell>
          <cell r="BI65">
            <v>0</v>
          </cell>
          <cell r="BJ65">
            <v>0</v>
          </cell>
          <cell r="BK65"/>
          <cell r="BL65">
            <v>0</v>
          </cell>
          <cell r="BM65">
            <v>0</v>
          </cell>
          <cell r="BN65">
            <v>0</v>
          </cell>
          <cell r="BO65">
            <v>0</v>
          </cell>
          <cell r="BP65"/>
          <cell r="BQ65">
            <v>70824.816200000016</v>
          </cell>
          <cell r="BR65">
            <v>53086.040246499993</v>
          </cell>
          <cell r="BS65"/>
          <cell r="BT65"/>
        </row>
        <row r="66">
          <cell r="B66" t="str">
            <v>TOTIND</v>
          </cell>
          <cell r="C66"/>
          <cell r="D66"/>
          <cell r="E66">
            <v>1378.2901000000002</v>
          </cell>
          <cell r="F66">
            <v>1539.1130000000001</v>
          </cell>
          <cell r="G66">
            <v>34.153799999999997</v>
          </cell>
          <cell r="H66">
            <v>0</v>
          </cell>
          <cell r="I66">
            <v>0</v>
          </cell>
          <cell r="J66">
            <v>2860.0572999999999</v>
          </cell>
          <cell r="K66">
            <v>0</v>
          </cell>
          <cell r="L66">
            <v>0</v>
          </cell>
          <cell r="M66">
            <v>0</v>
          </cell>
          <cell r="N66">
            <v>0</v>
          </cell>
          <cell r="O66">
            <v>7.0570000000000004</v>
          </cell>
          <cell r="P66">
            <v>4468.0159999999996</v>
          </cell>
          <cell r="Q66">
            <v>0</v>
          </cell>
          <cell r="R66"/>
          <cell r="S66">
            <v>0</v>
          </cell>
          <cell r="T66">
            <v>0</v>
          </cell>
          <cell r="U66">
            <v>0</v>
          </cell>
          <cell r="V66">
            <v>0.217</v>
          </cell>
          <cell r="W66">
            <v>0</v>
          </cell>
          <cell r="X66">
            <v>0</v>
          </cell>
          <cell r="Y66">
            <v>0</v>
          </cell>
          <cell r="Z66">
            <v>0</v>
          </cell>
          <cell r="AA66"/>
          <cell r="AB66">
            <v>16.505299999999998</v>
          </cell>
          <cell r="AC66"/>
          <cell r="AD66">
            <v>671.01129999999989</v>
          </cell>
          <cell r="AE66">
            <v>0</v>
          </cell>
          <cell r="AF66">
            <v>308.697</v>
          </cell>
          <cell r="AG66">
            <v>0</v>
          </cell>
          <cell r="AH66">
            <v>12.857799999999999</v>
          </cell>
          <cell r="AI66"/>
          <cell r="AJ66">
            <v>0</v>
          </cell>
          <cell r="AK66"/>
          <cell r="AL66"/>
          <cell r="AM66">
            <v>915.96400000000006</v>
          </cell>
          <cell r="AN66">
            <v>0</v>
          </cell>
          <cell r="AO66">
            <v>124.4435</v>
          </cell>
          <cell r="AP66">
            <v>187.65780000000004</v>
          </cell>
          <cell r="AQ66">
            <v>1.2999999999999999E-2</v>
          </cell>
          <cell r="AR66">
            <v>0.14599999999999999</v>
          </cell>
          <cell r="AS66">
            <v>0</v>
          </cell>
          <cell r="AT66">
            <v>8.2127999999999997</v>
          </cell>
          <cell r="AU66">
            <v>1761.5189</v>
          </cell>
          <cell r="AV66">
            <v>553.05189999999982</v>
          </cell>
          <cell r="AW66">
            <v>30.3871</v>
          </cell>
          <cell r="AX66">
            <v>0</v>
          </cell>
          <cell r="AY66">
            <v>0</v>
          </cell>
          <cell r="AZ66">
            <v>0.80330000000000057</v>
          </cell>
          <cell r="BA66">
            <v>376.33510000000001</v>
          </cell>
          <cell r="BB66">
            <v>0</v>
          </cell>
          <cell r="BC66">
            <v>1.7452000000000001</v>
          </cell>
          <cell r="BD66">
            <v>0</v>
          </cell>
          <cell r="BE66">
            <v>0</v>
          </cell>
          <cell r="BF66"/>
          <cell r="BG66">
            <v>0</v>
          </cell>
          <cell r="BH66">
            <v>0</v>
          </cell>
          <cell r="BI66">
            <v>0</v>
          </cell>
          <cell r="BJ66">
            <v>0</v>
          </cell>
          <cell r="BK66"/>
          <cell r="BL66">
            <v>0</v>
          </cell>
          <cell r="BM66">
            <v>0</v>
          </cell>
          <cell r="BN66">
            <v>0</v>
          </cell>
          <cell r="BO66">
            <v>0</v>
          </cell>
          <cell r="BP66"/>
          <cell r="BQ66">
            <v>45464.599700000013</v>
          </cell>
          <cell r="BR66">
            <v>7341.0407464999989</v>
          </cell>
          <cell r="BS66"/>
          <cell r="BT66"/>
        </row>
        <row r="67">
          <cell r="B67" t="str">
            <v>IRONSTL</v>
          </cell>
          <cell r="C67"/>
          <cell r="D67"/>
          <cell r="E67">
            <v>1180.0133000000001</v>
          </cell>
          <cell r="F67">
            <v>0</v>
          </cell>
          <cell r="G67">
            <v>3.3948</v>
          </cell>
          <cell r="H67">
            <v>0</v>
          </cell>
          <cell r="I67">
            <v>0</v>
          </cell>
          <cell r="J67">
            <v>2823.5970000000002</v>
          </cell>
          <cell r="K67">
            <v>0</v>
          </cell>
          <cell r="L67">
            <v>0</v>
          </cell>
          <cell r="M67">
            <v>0</v>
          </cell>
          <cell r="N67">
            <v>0</v>
          </cell>
          <cell r="O67">
            <v>0</v>
          </cell>
          <cell r="P67">
            <v>4468.0159999999996</v>
          </cell>
          <cell r="Q67">
            <v>0</v>
          </cell>
          <cell r="R67">
            <v>0</v>
          </cell>
          <cell r="S67">
            <v>0</v>
          </cell>
          <cell r="T67">
            <v>0</v>
          </cell>
          <cell r="U67">
            <v>0</v>
          </cell>
          <cell r="V67">
            <v>0</v>
          </cell>
          <cell r="W67">
            <v>0</v>
          </cell>
          <cell r="X67">
            <v>0</v>
          </cell>
          <cell r="Y67">
            <v>0</v>
          </cell>
          <cell r="Z67">
            <v>0</v>
          </cell>
          <cell r="AA67">
            <v>0</v>
          </cell>
          <cell r="AB67">
            <v>12.0863</v>
          </cell>
          <cell r="AC67">
            <v>1E-4</v>
          </cell>
          <cell r="AD67">
            <v>24.502400000000002</v>
          </cell>
          <cell r="AF67">
            <v>106.0217</v>
          </cell>
          <cell r="AG67">
            <v>0</v>
          </cell>
          <cell r="AH67">
            <v>0</v>
          </cell>
          <cell r="AI67">
            <v>0</v>
          </cell>
          <cell r="AJ67">
            <v>0</v>
          </cell>
          <cell r="AK67">
            <v>0</v>
          </cell>
          <cell r="AL67">
            <v>0</v>
          </cell>
          <cell r="AM67">
            <v>915.96400000000006</v>
          </cell>
          <cell r="AN67">
            <v>0</v>
          </cell>
          <cell r="AO67">
            <v>84.031000000000006</v>
          </cell>
          <cell r="AP67">
            <v>9.4855</v>
          </cell>
          <cell r="AQ67">
            <v>0</v>
          </cell>
          <cell r="AR67">
            <v>0</v>
          </cell>
          <cell r="AS67">
            <v>0</v>
          </cell>
          <cell r="AT67">
            <v>0</v>
          </cell>
          <cell r="AU67">
            <v>145.91720000000001</v>
          </cell>
          <cell r="AV67">
            <v>494.89499999999998</v>
          </cell>
          <cell r="AW67">
            <v>6.4000000000000001E-2</v>
          </cell>
          <cell r="AX67">
            <v>0</v>
          </cell>
          <cell r="AY67">
            <v>0</v>
          </cell>
          <cell r="AZ67">
            <v>0</v>
          </cell>
          <cell r="BA67">
            <v>0</v>
          </cell>
          <cell r="BB67">
            <v>0</v>
          </cell>
          <cell r="BC67">
            <v>1.7452000000000001</v>
          </cell>
          <cell r="BD67">
            <v>0</v>
          </cell>
          <cell r="BE67">
            <v>0</v>
          </cell>
          <cell r="BF67"/>
          <cell r="BG67">
            <v>0</v>
          </cell>
          <cell r="BH67">
            <v>0</v>
          </cell>
          <cell r="BI67">
            <v>0</v>
          </cell>
          <cell r="BJ67">
            <v>0</v>
          </cell>
          <cell r="BK67"/>
          <cell r="BL67">
            <v>0</v>
          </cell>
          <cell r="BM67">
            <v>0</v>
          </cell>
          <cell r="BN67">
            <v>0</v>
          </cell>
          <cell r="BO67">
            <v>0</v>
          </cell>
          <cell r="BP67"/>
          <cell r="BQ67">
            <v>18960.8194</v>
          </cell>
          <cell r="BR67">
            <v>-6487.4222621000008</v>
          </cell>
          <cell r="BS67"/>
          <cell r="BT67"/>
        </row>
        <row r="68">
          <cell r="B68" t="str">
            <v>CHEMICAL</v>
          </cell>
          <cell r="C68"/>
          <cell r="D68"/>
          <cell r="E68">
            <v>14.044</v>
          </cell>
          <cell r="F68">
            <v>0</v>
          </cell>
          <cell r="G68">
            <v>8.2360000000000007</v>
          </cell>
          <cell r="H68">
            <v>0</v>
          </cell>
          <cell r="I68">
            <v>0</v>
          </cell>
          <cell r="J68">
            <v>0.36899999999999999</v>
          </cell>
          <cell r="K68">
            <v>0</v>
          </cell>
          <cell r="L68">
            <v>0</v>
          </cell>
          <cell r="M68">
            <v>0</v>
          </cell>
          <cell r="N68">
            <v>0</v>
          </cell>
          <cell r="O68">
            <v>0</v>
          </cell>
          <cell r="P68">
            <v>0</v>
          </cell>
          <cell r="Q68">
            <v>0</v>
          </cell>
          <cell r="R68">
            <v>0</v>
          </cell>
          <cell r="S68">
            <v>0</v>
          </cell>
          <cell r="T68">
            <v>0</v>
          </cell>
          <cell r="U68">
            <v>0</v>
          </cell>
          <cell r="V68">
            <v>0.20499999999999999</v>
          </cell>
          <cell r="W68">
            <v>0</v>
          </cell>
          <cell r="X68">
            <v>0</v>
          </cell>
          <cell r="Y68">
            <v>0</v>
          </cell>
          <cell r="Z68">
            <v>0</v>
          </cell>
          <cell r="AA68">
            <v>0</v>
          </cell>
          <cell r="AB68">
            <v>0.01</v>
          </cell>
          <cell r="AC68">
            <v>0</v>
          </cell>
          <cell r="AD68">
            <v>194.54900000000001</v>
          </cell>
          <cell r="AF68">
            <v>111.789</v>
          </cell>
          <cell r="AG68">
            <v>0</v>
          </cell>
          <cell r="AH68">
            <v>0</v>
          </cell>
          <cell r="AI68">
            <v>0</v>
          </cell>
          <cell r="AJ68">
            <v>0</v>
          </cell>
          <cell r="AK68">
            <v>0</v>
          </cell>
          <cell r="AL68">
            <v>0</v>
          </cell>
          <cell r="AM68">
            <v>0</v>
          </cell>
          <cell r="AN68">
            <v>0</v>
          </cell>
          <cell r="AO68">
            <v>0.21099999999999999</v>
          </cell>
          <cell r="AP68">
            <v>2.8639999999999999</v>
          </cell>
          <cell r="AQ68">
            <v>0</v>
          </cell>
          <cell r="AR68">
            <v>0</v>
          </cell>
          <cell r="AS68">
            <v>0</v>
          </cell>
          <cell r="AT68">
            <v>0.03</v>
          </cell>
          <cell r="AU68">
            <v>11.11</v>
          </cell>
          <cell r="AV68">
            <v>6.883</v>
          </cell>
          <cell r="AW68">
            <v>0.1</v>
          </cell>
          <cell r="AX68">
            <v>0</v>
          </cell>
          <cell r="AY68">
            <v>0</v>
          </cell>
          <cell r="AZ68">
            <v>0</v>
          </cell>
          <cell r="BA68">
            <v>2.9000000000000001E-2</v>
          </cell>
          <cell r="BB68">
            <v>0</v>
          </cell>
          <cell r="BC68">
            <v>0</v>
          </cell>
          <cell r="BD68">
            <v>0</v>
          </cell>
          <cell r="BE68">
            <v>0</v>
          </cell>
          <cell r="BF68"/>
          <cell r="BG68">
            <v>0</v>
          </cell>
          <cell r="BH68">
            <v>0</v>
          </cell>
          <cell r="BI68">
            <v>0</v>
          </cell>
          <cell r="BJ68">
            <v>0</v>
          </cell>
          <cell r="BK68"/>
          <cell r="BL68">
            <v>0</v>
          </cell>
          <cell r="BM68">
            <v>0</v>
          </cell>
          <cell r="BN68">
            <v>0</v>
          </cell>
          <cell r="BO68">
            <v>0</v>
          </cell>
          <cell r="BP68"/>
          <cell r="BQ68">
            <v>2834.0655000000002</v>
          </cell>
          <cell r="BR68">
            <v>1373.4857</v>
          </cell>
          <cell r="BS68"/>
          <cell r="BT68"/>
        </row>
        <row r="69">
          <cell r="B69" t="str">
            <v>NONFERR</v>
          </cell>
          <cell r="C69"/>
          <cell r="D69"/>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cell r="BG69">
            <v>0</v>
          </cell>
          <cell r="BH69">
            <v>0</v>
          </cell>
          <cell r="BI69">
            <v>0</v>
          </cell>
          <cell r="BJ69">
            <v>0</v>
          </cell>
          <cell r="BK69"/>
          <cell r="BL69">
            <v>0</v>
          </cell>
          <cell r="BM69">
            <v>0</v>
          </cell>
          <cell r="BN69">
            <v>0</v>
          </cell>
          <cell r="BO69">
            <v>0</v>
          </cell>
          <cell r="BP69"/>
          <cell r="BQ69">
            <v>13200</v>
          </cell>
          <cell r="BR69">
            <v>9000</v>
          </cell>
          <cell r="BS69"/>
          <cell r="BT69"/>
        </row>
        <row r="70">
          <cell r="B70" t="str">
            <v>NONMET</v>
          </cell>
          <cell r="C70"/>
          <cell r="D70"/>
          <cell r="E70">
            <v>0</v>
          </cell>
          <cell r="F70">
            <v>1539.1130000000001</v>
          </cell>
          <cell r="G70">
            <v>2.7490000000000001</v>
          </cell>
          <cell r="H70">
            <v>0</v>
          </cell>
          <cell r="I70">
            <v>0</v>
          </cell>
          <cell r="J70">
            <v>9.3789999999999996</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5.6000000000000001E-2</v>
          </cell>
          <cell r="AC70">
            <v>0</v>
          </cell>
          <cell r="AD70">
            <v>133.47020000000001</v>
          </cell>
          <cell r="AF70">
            <v>43.067</v>
          </cell>
          <cell r="AG70">
            <v>0</v>
          </cell>
          <cell r="AH70">
            <v>0</v>
          </cell>
          <cell r="AI70">
            <v>0</v>
          </cell>
          <cell r="AJ70">
            <v>0</v>
          </cell>
          <cell r="AK70">
            <v>0</v>
          </cell>
          <cell r="AL70">
            <v>0</v>
          </cell>
          <cell r="AM70">
            <v>0</v>
          </cell>
          <cell r="AN70">
            <v>0</v>
          </cell>
          <cell r="AO70">
            <v>26.443999999999999</v>
          </cell>
          <cell r="AP70"/>
          <cell r="AQ70">
            <v>0</v>
          </cell>
          <cell r="AR70">
            <v>0</v>
          </cell>
          <cell r="AS70">
            <v>0</v>
          </cell>
          <cell r="AT70">
            <v>2.7189999999999999</v>
          </cell>
          <cell r="AU70"/>
          <cell r="AV70">
            <v>4.8929999999999998</v>
          </cell>
          <cell r="AW70">
            <v>3.0870000000000002</v>
          </cell>
          <cell r="AX70">
            <v>0</v>
          </cell>
          <cell r="AY70">
            <v>0</v>
          </cell>
          <cell r="AZ70">
            <v>0</v>
          </cell>
          <cell r="BA70">
            <v>33.601999999999997</v>
          </cell>
          <cell r="BB70">
            <v>0</v>
          </cell>
          <cell r="BC70">
            <v>0</v>
          </cell>
          <cell r="BD70">
            <v>0</v>
          </cell>
          <cell r="BE70">
            <v>0</v>
          </cell>
          <cell r="BF70"/>
          <cell r="BG70">
            <v>0</v>
          </cell>
          <cell r="BH70">
            <v>0</v>
          </cell>
          <cell r="BI70">
            <v>0</v>
          </cell>
          <cell r="BJ70">
            <v>0</v>
          </cell>
          <cell r="BK70"/>
          <cell r="BL70">
            <v>0</v>
          </cell>
          <cell r="BM70">
            <v>0</v>
          </cell>
          <cell r="BN70">
            <v>0</v>
          </cell>
          <cell r="BO70">
            <v>0</v>
          </cell>
          <cell r="BP70"/>
          <cell r="BQ70">
            <v>1319.9686000000002</v>
          </cell>
          <cell r="BR70">
            <v>525.28959999999995</v>
          </cell>
          <cell r="BS70"/>
          <cell r="BT70"/>
        </row>
        <row r="71">
          <cell r="B71" t="str">
            <v>TRANSEQ</v>
          </cell>
          <cell r="C71"/>
          <cell r="D71"/>
          <cell r="E71">
            <v>1.9750000000000001</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5.0000000000000001E-3</v>
          </cell>
          <cell r="AC71">
            <v>0</v>
          </cell>
          <cell r="AD71">
            <v>4.4405999999999999</v>
          </cell>
          <cell r="AF71">
            <v>3.1E-2</v>
          </cell>
          <cell r="AG71">
            <v>0</v>
          </cell>
          <cell r="AH71">
            <v>0</v>
          </cell>
          <cell r="AI71">
            <v>0</v>
          </cell>
          <cell r="AJ71">
            <v>0</v>
          </cell>
          <cell r="AK71">
            <v>0</v>
          </cell>
          <cell r="AL71">
            <v>0</v>
          </cell>
          <cell r="AM71">
            <v>0</v>
          </cell>
          <cell r="AN71">
            <v>0</v>
          </cell>
          <cell r="AO71">
            <v>2.5999999999999999E-2</v>
          </cell>
          <cell r="AP71">
            <v>0.73499999999999999</v>
          </cell>
          <cell r="AQ71">
            <v>1.2999999999999999E-2</v>
          </cell>
          <cell r="AR71">
            <v>0</v>
          </cell>
          <cell r="AS71">
            <v>0</v>
          </cell>
          <cell r="AT71">
            <v>5.1999999999999998E-2</v>
          </cell>
          <cell r="AU71">
            <v>1.7640000000000002</v>
          </cell>
          <cell r="AV71">
            <v>0</v>
          </cell>
          <cell r="AW71">
            <v>3.5000000000000003E-2</v>
          </cell>
          <cell r="AX71">
            <v>0</v>
          </cell>
          <cell r="AY71">
            <v>0</v>
          </cell>
          <cell r="AZ71">
            <v>0</v>
          </cell>
          <cell r="BA71">
            <v>0</v>
          </cell>
          <cell r="BB71">
            <v>0</v>
          </cell>
          <cell r="BC71">
            <v>0</v>
          </cell>
          <cell r="BD71">
            <v>0</v>
          </cell>
          <cell r="BE71">
            <v>0</v>
          </cell>
          <cell r="BF71"/>
          <cell r="BG71">
            <v>0</v>
          </cell>
          <cell r="BH71">
            <v>0</v>
          </cell>
          <cell r="BI71">
            <v>0</v>
          </cell>
          <cell r="BJ71">
            <v>0</v>
          </cell>
          <cell r="BK71"/>
          <cell r="BL71">
            <v>0</v>
          </cell>
          <cell r="BM71">
            <v>0</v>
          </cell>
          <cell r="BN71">
            <v>0</v>
          </cell>
          <cell r="BO71">
            <v>0</v>
          </cell>
          <cell r="BP71"/>
          <cell r="BQ71">
            <v>604.75509999999997</v>
          </cell>
          <cell r="BR71">
            <v>97.046699999999987</v>
          </cell>
          <cell r="BS71"/>
          <cell r="BT71"/>
        </row>
        <row r="72">
          <cell r="B72" t="str">
            <v>MACHINE</v>
          </cell>
          <cell r="C72"/>
          <cell r="D72"/>
          <cell r="E72">
            <v>23.443000000000001</v>
          </cell>
          <cell r="F72">
            <v>0</v>
          </cell>
          <cell r="G72">
            <v>0.89500000000000002</v>
          </cell>
          <cell r="H72">
            <v>0</v>
          </cell>
          <cell r="I72">
            <v>0</v>
          </cell>
          <cell r="J72">
            <v>8.9499999999999993</v>
          </cell>
          <cell r="K72">
            <v>0</v>
          </cell>
          <cell r="L72">
            <v>0</v>
          </cell>
          <cell r="M72">
            <v>0</v>
          </cell>
          <cell r="N72">
            <v>0</v>
          </cell>
          <cell r="O72">
            <v>7.0570000000000004</v>
          </cell>
          <cell r="P72">
            <v>0</v>
          </cell>
          <cell r="Q72">
            <v>0</v>
          </cell>
          <cell r="R72">
            <v>0</v>
          </cell>
          <cell r="S72">
            <v>0</v>
          </cell>
          <cell r="T72">
            <v>0</v>
          </cell>
          <cell r="U72">
            <v>0</v>
          </cell>
          <cell r="V72">
            <v>0</v>
          </cell>
          <cell r="W72">
            <v>0</v>
          </cell>
          <cell r="X72">
            <v>0</v>
          </cell>
          <cell r="Y72">
            <v>0</v>
          </cell>
          <cell r="Z72">
            <v>0</v>
          </cell>
          <cell r="AA72">
            <v>0</v>
          </cell>
          <cell r="AB72">
            <v>3.4000000000000002E-2</v>
          </cell>
          <cell r="AC72">
            <v>0</v>
          </cell>
          <cell r="AD72">
            <v>2.7148000000000003</v>
          </cell>
          <cell r="AF72">
            <v>1.1719999999999999</v>
          </cell>
          <cell r="AG72">
            <v>0</v>
          </cell>
          <cell r="AH72">
            <v>12.851799999999999</v>
          </cell>
          <cell r="AI72">
            <v>7.0999999999999994E-2</v>
          </cell>
          <cell r="AJ72">
            <v>0</v>
          </cell>
          <cell r="AK72">
            <v>0</v>
          </cell>
          <cell r="AL72">
            <v>0</v>
          </cell>
          <cell r="AM72">
            <v>0</v>
          </cell>
          <cell r="AN72">
            <v>0</v>
          </cell>
          <cell r="AO72">
            <v>2.8130000000000002</v>
          </cell>
          <cell r="AP72">
            <v>6.5089999999999995</v>
          </cell>
          <cell r="AQ72">
            <v>0</v>
          </cell>
          <cell r="AR72">
            <v>0</v>
          </cell>
          <cell r="AS72">
            <v>0</v>
          </cell>
          <cell r="AT72">
            <v>1.6E-2</v>
          </cell>
          <cell r="AU72">
            <v>17.253</v>
          </cell>
          <cell r="AV72">
            <v>5.0469999999999997</v>
          </cell>
          <cell r="AW72">
            <v>0.29599999999999999</v>
          </cell>
          <cell r="AX72">
            <v>0</v>
          </cell>
          <cell r="AY72">
            <v>0</v>
          </cell>
          <cell r="AZ72">
            <v>0</v>
          </cell>
          <cell r="BA72">
            <v>5.0000000000000001E-3</v>
          </cell>
          <cell r="BB72">
            <v>0</v>
          </cell>
          <cell r="BC72">
            <v>0</v>
          </cell>
          <cell r="BD72">
            <v>0</v>
          </cell>
          <cell r="BE72">
            <v>0</v>
          </cell>
          <cell r="BF72"/>
          <cell r="BG72">
            <v>0</v>
          </cell>
          <cell r="BH72">
            <v>0</v>
          </cell>
          <cell r="BI72">
            <v>0</v>
          </cell>
          <cell r="BJ72">
            <v>0</v>
          </cell>
          <cell r="BK72"/>
          <cell r="BL72">
            <v>0</v>
          </cell>
          <cell r="BM72">
            <v>0</v>
          </cell>
          <cell r="BN72">
            <v>0</v>
          </cell>
          <cell r="BO72">
            <v>0</v>
          </cell>
          <cell r="BP72"/>
          <cell r="BQ72">
            <v>622.96310000000005</v>
          </cell>
          <cell r="BR72">
            <v>477.41060000000004</v>
          </cell>
          <cell r="BS72"/>
          <cell r="BT72"/>
        </row>
        <row r="73">
          <cell r="B73" t="str">
            <v>MINING</v>
          </cell>
          <cell r="C73"/>
          <cell r="D73"/>
          <cell r="E73">
            <v>35.049799999999998</v>
          </cell>
          <cell r="F73">
            <v>0</v>
          </cell>
          <cell r="G73">
            <v>0</v>
          </cell>
          <cell r="H73">
            <v>0</v>
          </cell>
          <cell r="I73">
            <v>0</v>
          </cell>
          <cell r="J73">
            <v>0.15930000000000002</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1.2199999999999999E-2</v>
          </cell>
          <cell r="AD73">
            <v>183.29579999999987</v>
          </cell>
          <cell r="AF73">
            <v>7.2542999999999438</v>
          </cell>
          <cell r="AG73">
            <v>0</v>
          </cell>
          <cell r="AH73">
            <v>0</v>
          </cell>
          <cell r="AI73">
            <v>0</v>
          </cell>
          <cell r="AJ73">
            <v>0</v>
          </cell>
          <cell r="AK73">
            <v>0</v>
          </cell>
          <cell r="AL73">
            <v>0</v>
          </cell>
          <cell r="AM73">
            <v>0</v>
          </cell>
          <cell r="AN73">
            <v>0</v>
          </cell>
          <cell r="AO73">
            <v>1.8594999999999999</v>
          </cell>
          <cell r="AP73">
            <v>117.58430000000001</v>
          </cell>
          <cell r="AQ73">
            <v>0</v>
          </cell>
          <cell r="AR73">
            <v>0.10999999999999999</v>
          </cell>
          <cell r="AS73">
            <v>0</v>
          </cell>
          <cell r="AT73">
            <v>0.45079999999999998</v>
          </cell>
          <cell r="AU73">
            <v>798.61770000000013</v>
          </cell>
          <cell r="AV73">
            <v>5.0238999999999994</v>
          </cell>
          <cell r="AW73">
            <v>1.8400999999999998</v>
          </cell>
          <cell r="AX73">
            <v>0</v>
          </cell>
          <cell r="AY73">
            <v>0</v>
          </cell>
          <cell r="AZ73">
            <v>0.80330000000000057</v>
          </cell>
          <cell r="BA73">
            <v>2.5901000000000001</v>
          </cell>
          <cell r="BB73">
            <v>0</v>
          </cell>
          <cell r="BC73">
            <v>0</v>
          </cell>
          <cell r="BD73">
            <v>0</v>
          </cell>
          <cell r="BE73">
            <v>0</v>
          </cell>
          <cell r="BF73"/>
          <cell r="BG73">
            <v>0</v>
          </cell>
          <cell r="BH73">
            <v>0</v>
          </cell>
          <cell r="BI73">
            <v>0</v>
          </cell>
          <cell r="BJ73">
            <v>0</v>
          </cell>
          <cell r="BK73"/>
          <cell r="BL73">
            <v>0</v>
          </cell>
          <cell r="BM73">
            <v>0</v>
          </cell>
          <cell r="BN73">
            <v>0</v>
          </cell>
          <cell r="BO73">
            <v>0</v>
          </cell>
          <cell r="BP73"/>
          <cell r="BQ73">
            <v>5815.0776000000014</v>
          </cell>
          <cell r="BR73">
            <v>1.5400086000000002</v>
          </cell>
          <cell r="BS73"/>
          <cell r="BT73"/>
        </row>
        <row r="74">
          <cell r="B74" t="str">
            <v>FOODPRO</v>
          </cell>
          <cell r="C74"/>
          <cell r="D74"/>
          <cell r="E74">
            <v>52.766999999999996</v>
          </cell>
          <cell r="F74">
            <v>0</v>
          </cell>
          <cell r="G74">
            <v>18.515000000000001</v>
          </cell>
          <cell r="H74">
            <v>0</v>
          </cell>
          <cell r="I74">
            <v>0</v>
          </cell>
          <cell r="J74">
            <v>1.4E-2</v>
          </cell>
          <cell r="K74">
            <v>0</v>
          </cell>
          <cell r="L74">
            <v>0</v>
          </cell>
          <cell r="M74">
            <v>0</v>
          </cell>
          <cell r="N74">
            <v>0</v>
          </cell>
          <cell r="O74">
            <v>0</v>
          </cell>
          <cell r="P74">
            <v>0</v>
          </cell>
          <cell r="Q74">
            <v>0</v>
          </cell>
          <cell r="R74">
            <v>0</v>
          </cell>
          <cell r="S74">
            <v>0</v>
          </cell>
          <cell r="T74">
            <v>0</v>
          </cell>
          <cell r="U74">
            <v>0</v>
          </cell>
          <cell r="V74">
            <v>1.0999999999999999E-2</v>
          </cell>
          <cell r="W74">
            <v>0</v>
          </cell>
          <cell r="X74">
            <v>0</v>
          </cell>
          <cell r="Y74">
            <v>0</v>
          </cell>
          <cell r="Z74">
            <v>0</v>
          </cell>
          <cell r="AA74">
            <v>0</v>
          </cell>
          <cell r="AB74">
            <v>0.22800000000000001</v>
          </cell>
          <cell r="AC74">
            <v>0</v>
          </cell>
          <cell r="AD74">
            <v>76.356200000000001</v>
          </cell>
          <cell r="AF74">
            <v>27.266999999999999</v>
          </cell>
          <cell r="AG74">
            <v>0</v>
          </cell>
          <cell r="AH74">
            <v>0</v>
          </cell>
          <cell r="AI74">
            <v>0</v>
          </cell>
          <cell r="AJ74">
            <v>0</v>
          </cell>
          <cell r="AK74">
            <v>0</v>
          </cell>
          <cell r="AL74">
            <v>0</v>
          </cell>
          <cell r="AM74">
            <v>0</v>
          </cell>
          <cell r="AN74">
            <v>0</v>
          </cell>
          <cell r="AO74">
            <v>2.6829999999999998</v>
          </cell>
          <cell r="AP74">
            <v>46.64</v>
          </cell>
          <cell r="AQ74">
            <v>0</v>
          </cell>
          <cell r="AR74">
            <v>0</v>
          </cell>
          <cell r="AS74">
            <v>0</v>
          </cell>
          <cell r="AT74">
            <v>0</v>
          </cell>
          <cell r="AU74">
            <v>35.753</v>
          </cell>
          <cell r="AV74">
            <v>23.809000000000001</v>
          </cell>
          <cell r="AW74">
            <v>4.4889999999999999</v>
          </cell>
          <cell r="AX74">
            <v>0</v>
          </cell>
          <cell r="AY74">
            <v>0</v>
          </cell>
          <cell r="AZ74">
            <v>0</v>
          </cell>
          <cell r="BA74">
            <v>4.0000000000000001E-3</v>
          </cell>
          <cell r="BB74">
            <v>0</v>
          </cell>
          <cell r="BC74">
            <v>0</v>
          </cell>
          <cell r="BD74">
            <v>0</v>
          </cell>
          <cell r="BE74">
            <v>0</v>
          </cell>
          <cell r="BF74"/>
          <cell r="BG74">
            <v>0</v>
          </cell>
          <cell r="BH74">
            <v>0</v>
          </cell>
          <cell r="BI74">
            <v>0</v>
          </cell>
          <cell r="BJ74">
            <v>0</v>
          </cell>
          <cell r="BK74"/>
          <cell r="BL74">
            <v>0</v>
          </cell>
          <cell r="BM74">
            <v>0</v>
          </cell>
          <cell r="BN74">
            <v>0</v>
          </cell>
          <cell r="BO74">
            <v>0</v>
          </cell>
          <cell r="BP74"/>
          <cell r="BQ74">
            <v>1293.8966</v>
          </cell>
          <cell r="BR74">
            <v>1726.0330999999999</v>
          </cell>
          <cell r="BS74"/>
          <cell r="BT74"/>
        </row>
        <row r="75">
          <cell r="B75" t="str">
            <v>PAPERPRO</v>
          </cell>
          <cell r="C75"/>
          <cell r="D75"/>
          <cell r="E75">
            <v>0.78400000000000003</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15.100299999999999</v>
          </cell>
          <cell r="AF75">
            <v>0</v>
          </cell>
          <cell r="AG75">
            <v>0</v>
          </cell>
          <cell r="AH75">
            <v>0</v>
          </cell>
          <cell r="AI75">
            <v>0</v>
          </cell>
          <cell r="AJ75">
            <v>0</v>
          </cell>
          <cell r="AK75">
            <v>0</v>
          </cell>
          <cell r="AL75">
            <v>0</v>
          </cell>
          <cell r="AM75">
            <v>0</v>
          </cell>
          <cell r="AN75">
            <v>0</v>
          </cell>
          <cell r="AO75">
            <v>4.7E-2</v>
          </cell>
          <cell r="AP75">
            <v>0.37</v>
          </cell>
          <cell r="AQ75">
            <v>0</v>
          </cell>
          <cell r="AR75">
            <v>0</v>
          </cell>
          <cell r="AS75">
            <v>0</v>
          </cell>
          <cell r="AT75">
            <v>0</v>
          </cell>
          <cell r="AU75">
            <v>1.5229999999999999</v>
          </cell>
          <cell r="AV75">
            <v>0</v>
          </cell>
          <cell r="AW75">
            <v>0.01</v>
          </cell>
          <cell r="AX75">
            <v>0</v>
          </cell>
          <cell r="AY75">
            <v>0</v>
          </cell>
          <cell r="AZ75">
            <v>0</v>
          </cell>
          <cell r="BA75">
            <v>0</v>
          </cell>
          <cell r="BB75">
            <v>0</v>
          </cell>
          <cell r="BC75">
            <v>0</v>
          </cell>
          <cell r="BD75">
            <v>0</v>
          </cell>
          <cell r="BE75">
            <v>0</v>
          </cell>
          <cell r="BF75"/>
          <cell r="BG75">
            <v>0</v>
          </cell>
          <cell r="BH75">
            <v>0</v>
          </cell>
          <cell r="BI75">
            <v>0</v>
          </cell>
          <cell r="BJ75">
            <v>0</v>
          </cell>
          <cell r="BK75"/>
          <cell r="BL75">
            <v>0</v>
          </cell>
          <cell r="BM75">
            <v>0</v>
          </cell>
          <cell r="BN75">
            <v>0</v>
          </cell>
          <cell r="BO75">
            <v>0</v>
          </cell>
          <cell r="BP75"/>
          <cell r="BQ75">
            <v>59.178199999999997</v>
          </cell>
          <cell r="BR75">
            <v>108.61619999999999</v>
          </cell>
          <cell r="BS75"/>
          <cell r="BT75"/>
        </row>
        <row r="76">
          <cell r="B76" t="str">
            <v>WOODPRO</v>
          </cell>
          <cell r="C76"/>
          <cell r="D76"/>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cell r="BG76">
            <v>0</v>
          </cell>
          <cell r="BH76">
            <v>0</v>
          </cell>
          <cell r="BI76">
            <v>0</v>
          </cell>
          <cell r="BJ76">
            <v>0</v>
          </cell>
          <cell r="BK76"/>
          <cell r="BL76">
            <v>0</v>
          </cell>
          <cell r="BM76">
            <v>0</v>
          </cell>
          <cell r="BN76">
            <v>0</v>
          </cell>
          <cell r="BO76">
            <v>0</v>
          </cell>
          <cell r="BP76"/>
          <cell r="BQ76">
            <v>0</v>
          </cell>
          <cell r="BR76">
            <v>0</v>
          </cell>
          <cell r="BS76"/>
          <cell r="BT76"/>
        </row>
        <row r="77">
          <cell r="B77" t="str">
            <v>CONSTRUC</v>
          </cell>
          <cell r="C77"/>
          <cell r="D77"/>
          <cell r="E77">
            <v>53.741999999999997</v>
          </cell>
          <cell r="F77">
            <v>0</v>
          </cell>
          <cell r="G77">
            <v>0.36399999999999999</v>
          </cell>
          <cell r="H77">
            <v>0</v>
          </cell>
          <cell r="I77">
            <v>0</v>
          </cell>
          <cell r="J77">
            <v>17.588999999999999</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4.0209999999999999</v>
          </cell>
          <cell r="AC77">
            <v>0</v>
          </cell>
          <cell r="AD77">
            <v>24.8659</v>
          </cell>
          <cell r="AF77">
            <v>11.266</v>
          </cell>
          <cell r="AG77">
            <v>0</v>
          </cell>
          <cell r="AH77">
            <v>6.0000000000000001E-3</v>
          </cell>
          <cell r="AI77">
            <v>0</v>
          </cell>
          <cell r="AJ77">
            <v>0</v>
          </cell>
          <cell r="AK77">
            <v>0</v>
          </cell>
          <cell r="AL77">
            <v>0</v>
          </cell>
          <cell r="AM77">
            <v>0</v>
          </cell>
          <cell r="AN77">
            <v>0</v>
          </cell>
          <cell r="AO77">
            <v>5.931</v>
          </cell>
          <cell r="AP77"/>
          <cell r="AQ77">
            <v>0</v>
          </cell>
          <cell r="AR77">
            <v>2.4E-2</v>
          </cell>
          <cell r="AS77">
            <v>0</v>
          </cell>
          <cell r="AT77">
            <v>4.9400000000000004</v>
          </cell>
          <cell r="AU77">
            <v>744.01400000000001</v>
          </cell>
          <cell r="AV77">
            <v>12.074</v>
          </cell>
          <cell r="AW77">
            <v>20.259</v>
          </cell>
          <cell r="AX77">
            <v>0</v>
          </cell>
          <cell r="AY77">
            <v>0</v>
          </cell>
          <cell r="AZ77">
            <v>0</v>
          </cell>
          <cell r="BA77">
            <v>340.10500000000002</v>
          </cell>
          <cell r="BB77">
            <v>0</v>
          </cell>
          <cell r="BC77">
            <v>0</v>
          </cell>
          <cell r="BD77">
            <v>0</v>
          </cell>
          <cell r="BE77">
            <v>0</v>
          </cell>
          <cell r="BF77"/>
          <cell r="BG77">
            <v>0</v>
          </cell>
          <cell r="BH77">
            <v>0</v>
          </cell>
          <cell r="BI77">
            <v>0</v>
          </cell>
          <cell r="BJ77">
            <v>0</v>
          </cell>
          <cell r="BK77"/>
          <cell r="BL77">
            <v>0</v>
          </cell>
          <cell r="BM77">
            <v>0</v>
          </cell>
          <cell r="BN77">
            <v>0</v>
          </cell>
          <cell r="BO77">
            <v>0</v>
          </cell>
          <cell r="BP77"/>
          <cell r="BQ77">
            <v>475.79240000000004</v>
          </cell>
          <cell r="BR77">
            <v>340.37270000000001</v>
          </cell>
          <cell r="BS77"/>
          <cell r="BT77"/>
        </row>
        <row r="78">
          <cell r="B78" t="str">
            <v>TEXTILES</v>
          </cell>
          <cell r="C78"/>
          <cell r="D78"/>
          <cell r="E78">
            <v>2.4489999999999998</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5.0000000000000001E-3</v>
          </cell>
          <cell r="AC78">
            <v>0</v>
          </cell>
          <cell r="AD78">
            <v>2.7919999999999998</v>
          </cell>
          <cell r="AF78">
            <v>1.6E-2</v>
          </cell>
          <cell r="AG78">
            <v>0</v>
          </cell>
          <cell r="AH78">
            <v>0</v>
          </cell>
          <cell r="AI78">
            <v>0</v>
          </cell>
          <cell r="AJ78">
            <v>0</v>
          </cell>
          <cell r="AK78">
            <v>0</v>
          </cell>
          <cell r="AL78">
            <v>0</v>
          </cell>
          <cell r="AM78">
            <v>0</v>
          </cell>
          <cell r="AN78">
            <v>0</v>
          </cell>
          <cell r="AO78">
            <v>0.24199999999999999</v>
          </cell>
          <cell r="AP78">
            <v>0.94599999999999995</v>
          </cell>
          <cell r="AQ78">
            <v>0</v>
          </cell>
          <cell r="AR78">
            <v>0</v>
          </cell>
          <cell r="AS78">
            <v>0</v>
          </cell>
          <cell r="AT78">
            <v>1E-3</v>
          </cell>
          <cell r="AU78">
            <v>2.0500000000000003</v>
          </cell>
          <cell r="AV78">
            <v>0.26200000000000001</v>
          </cell>
          <cell r="AW78">
            <v>3.4000000000000002E-2</v>
          </cell>
          <cell r="AX78">
            <v>0</v>
          </cell>
          <cell r="AY78">
            <v>0</v>
          </cell>
          <cell r="AZ78">
            <v>0</v>
          </cell>
          <cell r="BA78">
            <v>0</v>
          </cell>
          <cell r="BB78">
            <v>0</v>
          </cell>
          <cell r="BC78">
            <v>0</v>
          </cell>
          <cell r="BD78">
            <v>0</v>
          </cell>
          <cell r="BE78">
            <v>0</v>
          </cell>
          <cell r="BF78"/>
          <cell r="BG78">
            <v>0</v>
          </cell>
          <cell r="BH78">
            <v>0</v>
          </cell>
          <cell r="BI78">
            <v>0</v>
          </cell>
          <cell r="BJ78">
            <v>0</v>
          </cell>
          <cell r="BK78"/>
          <cell r="BL78">
            <v>0</v>
          </cell>
          <cell r="BM78">
            <v>0</v>
          </cell>
          <cell r="BN78">
            <v>0</v>
          </cell>
          <cell r="BO78">
            <v>0</v>
          </cell>
          <cell r="BP78"/>
          <cell r="BQ78">
            <v>101.53190000000001</v>
          </cell>
          <cell r="BR78">
            <v>83.136099999999999</v>
          </cell>
          <cell r="BS78"/>
          <cell r="BT78"/>
        </row>
        <row r="79">
          <cell r="B79" t="str">
            <v>INONSPEC</v>
          </cell>
          <cell r="C79"/>
          <cell r="D79"/>
          <cell r="E79">
            <v>14.023</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1E-3</v>
          </cell>
          <cell r="W79">
            <v>0</v>
          </cell>
          <cell r="X79">
            <v>0</v>
          </cell>
          <cell r="Y79">
            <v>0</v>
          </cell>
          <cell r="Z79">
            <v>0</v>
          </cell>
          <cell r="AA79">
            <v>0</v>
          </cell>
          <cell r="AB79">
            <v>0.06</v>
          </cell>
          <cell r="AC79">
            <v>0</v>
          </cell>
          <cell r="AD79">
            <v>8.924100000000001</v>
          </cell>
          <cell r="AF79">
            <v>0.81299999999999994</v>
          </cell>
          <cell r="AG79">
            <v>0</v>
          </cell>
          <cell r="AH79">
            <v>0</v>
          </cell>
          <cell r="AI79">
            <v>4.0000000000000001E-3</v>
          </cell>
          <cell r="AJ79">
            <v>0</v>
          </cell>
          <cell r="AK79">
            <v>0</v>
          </cell>
          <cell r="AL79">
            <v>0</v>
          </cell>
          <cell r="AM79">
            <v>0</v>
          </cell>
          <cell r="AN79">
            <v>0</v>
          </cell>
          <cell r="AO79">
            <v>0.156</v>
          </cell>
          <cell r="AP79">
            <v>2.524</v>
          </cell>
          <cell r="AQ79">
            <v>0</v>
          </cell>
          <cell r="AR79">
            <v>1.2E-2</v>
          </cell>
          <cell r="AS79">
            <v>0</v>
          </cell>
          <cell r="AT79">
            <v>4.0000000000000001E-3</v>
          </cell>
          <cell r="AU79">
            <v>3.5169999999999999</v>
          </cell>
          <cell r="AV79">
            <v>0.16500000000000001</v>
          </cell>
          <cell r="AW79">
            <v>0.17300000000000001</v>
          </cell>
          <cell r="AX79">
            <v>0</v>
          </cell>
          <cell r="AY79">
            <v>0</v>
          </cell>
          <cell r="AZ79">
            <v>0</v>
          </cell>
          <cell r="BA79">
            <v>0</v>
          </cell>
          <cell r="BB79">
            <v>0</v>
          </cell>
          <cell r="BC79">
            <v>0</v>
          </cell>
          <cell r="BD79">
            <v>0</v>
          </cell>
          <cell r="BE79">
            <v>0</v>
          </cell>
          <cell r="BF79"/>
          <cell r="BG79">
            <v>0</v>
          </cell>
          <cell r="BH79">
            <v>0</v>
          </cell>
          <cell r="BI79">
            <v>0</v>
          </cell>
          <cell r="BJ79">
            <v>0</v>
          </cell>
          <cell r="BK79"/>
          <cell r="BL79">
            <v>0</v>
          </cell>
          <cell r="BM79">
            <v>0</v>
          </cell>
          <cell r="BN79">
            <v>0</v>
          </cell>
          <cell r="BO79">
            <v>0</v>
          </cell>
          <cell r="BP79"/>
          <cell r="BQ79">
            <v>176.55130000000003</v>
          </cell>
          <cell r="BR79">
            <v>95.532300000000006</v>
          </cell>
          <cell r="BS79"/>
          <cell r="BT79"/>
        </row>
        <row r="80">
          <cell r="B80" t="str">
            <v>TOTTRANS</v>
          </cell>
          <cell r="C80"/>
          <cell r="D80"/>
          <cell r="E80">
            <v>9.1240000000000006</v>
          </cell>
          <cell r="F80">
            <v>0</v>
          </cell>
          <cell r="G80">
            <v>0.49199999999999999</v>
          </cell>
          <cell r="H80">
            <v>0</v>
          </cell>
          <cell r="I80">
            <v>0</v>
          </cell>
          <cell r="J80">
            <v>2E-3</v>
          </cell>
          <cell r="K80">
            <v>0</v>
          </cell>
          <cell r="L80">
            <v>0</v>
          </cell>
          <cell r="M80">
            <v>0</v>
          </cell>
          <cell r="N80">
            <v>0</v>
          </cell>
          <cell r="O80">
            <v>0</v>
          </cell>
          <cell r="P80">
            <v>0</v>
          </cell>
          <cell r="Q80">
            <v>0</v>
          </cell>
          <cell r="R80"/>
          <cell r="S80">
            <v>0</v>
          </cell>
          <cell r="T80">
            <v>0</v>
          </cell>
          <cell r="U80">
            <v>0</v>
          </cell>
          <cell r="V80">
            <v>0</v>
          </cell>
          <cell r="W80">
            <v>0</v>
          </cell>
          <cell r="X80">
            <v>0</v>
          </cell>
          <cell r="Y80">
            <v>0</v>
          </cell>
          <cell r="Z80">
            <v>0</v>
          </cell>
          <cell r="AA80"/>
          <cell r="AB80">
            <v>0.246</v>
          </cell>
          <cell r="AC80"/>
          <cell r="AD80">
            <v>397.36180000000002</v>
          </cell>
          <cell r="AE80">
            <v>0</v>
          </cell>
          <cell r="AF80">
            <v>0</v>
          </cell>
          <cell r="AG80">
            <v>3.1619999999999999</v>
          </cell>
          <cell r="AH80">
            <v>0</v>
          </cell>
          <cell r="AI80"/>
          <cell r="AJ80">
            <v>0</v>
          </cell>
          <cell r="AK80"/>
          <cell r="AL80"/>
          <cell r="AM80">
            <v>0</v>
          </cell>
          <cell r="AN80">
            <v>0</v>
          </cell>
          <cell r="AO80">
            <v>4.8380000000000001</v>
          </cell>
          <cell r="AP80">
            <v>3902.1729999999998</v>
          </cell>
          <cell r="AQ80">
            <v>3.4119999999999999</v>
          </cell>
          <cell r="AR80">
            <v>62.059000000000005</v>
          </cell>
          <cell r="AS80">
            <v>0</v>
          </cell>
          <cell r="AT80">
            <v>289.92299999999994</v>
          </cell>
          <cell r="AU80">
            <v>470.51600000000002</v>
          </cell>
          <cell r="AV80">
            <v>0</v>
          </cell>
          <cell r="AW80">
            <v>0.76200000000000001</v>
          </cell>
          <cell r="AX80">
            <v>0</v>
          </cell>
          <cell r="AY80">
            <v>0</v>
          </cell>
          <cell r="AZ80">
            <v>0</v>
          </cell>
          <cell r="BA80">
            <v>0</v>
          </cell>
          <cell r="BB80">
            <v>0</v>
          </cell>
          <cell r="BC80">
            <v>0</v>
          </cell>
          <cell r="BD80">
            <v>0</v>
          </cell>
          <cell r="BE80">
            <v>0</v>
          </cell>
          <cell r="BF80"/>
          <cell r="BG80">
            <v>0</v>
          </cell>
          <cell r="BH80">
            <v>0</v>
          </cell>
          <cell r="BI80">
            <v>0</v>
          </cell>
          <cell r="BJ80">
            <v>0</v>
          </cell>
          <cell r="BK80"/>
          <cell r="BL80">
            <v>0</v>
          </cell>
          <cell r="BM80">
            <v>0</v>
          </cell>
          <cell r="BN80">
            <v>0</v>
          </cell>
          <cell r="BO80">
            <v>0</v>
          </cell>
          <cell r="BP80"/>
          <cell r="BQ80">
            <v>903.11040000000003</v>
          </cell>
          <cell r="BR80">
            <v>77.325999999999993</v>
          </cell>
          <cell r="BS80"/>
          <cell r="BT80"/>
        </row>
        <row r="81">
          <cell r="B81" t="str">
            <v>ROAD</v>
          </cell>
          <cell r="C81"/>
          <cell r="D81"/>
          <cell r="E81">
            <v>0</v>
          </cell>
          <cell r="F81">
            <v>0</v>
          </cell>
          <cell r="G81">
            <v>0.01</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0.246</v>
          </cell>
          <cell r="AC81">
            <v>0</v>
          </cell>
          <cell r="AD81"/>
          <cell r="AE81"/>
          <cell r="AF81">
            <v>0</v>
          </cell>
          <cell r="AG81">
            <v>0</v>
          </cell>
          <cell r="AH81">
            <v>0</v>
          </cell>
          <cell r="AI81">
            <v>0</v>
          </cell>
          <cell r="AJ81">
            <v>0</v>
          </cell>
          <cell r="AK81">
            <v>0</v>
          </cell>
          <cell r="AL81">
            <v>0</v>
          </cell>
          <cell r="AM81">
            <v>0</v>
          </cell>
          <cell r="AN81">
            <v>0</v>
          </cell>
          <cell r="AO81">
            <v>4.8369999999999997</v>
          </cell>
          <cell r="AP81">
            <v>3897.038</v>
          </cell>
          <cell r="AQ81">
            <v>0</v>
          </cell>
          <cell r="AR81">
            <v>0</v>
          </cell>
          <cell r="AS81">
            <v>0</v>
          </cell>
          <cell r="AT81">
            <v>1E-3</v>
          </cell>
          <cell r="AU81">
            <v>280.89600000000002</v>
          </cell>
          <cell r="AV81">
            <v>0</v>
          </cell>
          <cell r="AW81">
            <v>0.53300000000000003</v>
          </cell>
          <cell r="AX81">
            <v>0</v>
          </cell>
          <cell r="AY81">
            <v>0</v>
          </cell>
          <cell r="AZ81">
            <v>0</v>
          </cell>
          <cell r="BA81">
            <v>0</v>
          </cell>
          <cell r="BB81">
            <v>0</v>
          </cell>
          <cell r="BC81">
            <v>0</v>
          </cell>
          <cell r="BD81">
            <v>0</v>
          </cell>
          <cell r="BE81">
            <v>0</v>
          </cell>
          <cell r="BF81"/>
          <cell r="BG81">
            <v>0</v>
          </cell>
          <cell r="BH81">
            <v>0</v>
          </cell>
          <cell r="BI81">
            <v>0</v>
          </cell>
          <cell r="BJ81">
            <v>0</v>
          </cell>
          <cell r="BK81"/>
          <cell r="BL81">
            <v>0</v>
          </cell>
          <cell r="BM81">
            <v>0</v>
          </cell>
          <cell r="BN81">
            <v>0</v>
          </cell>
          <cell r="BO81">
            <v>0</v>
          </cell>
          <cell r="BP81"/>
          <cell r="BQ81"/>
          <cell r="BR81"/>
          <cell r="BS81"/>
          <cell r="BT81"/>
        </row>
        <row r="82">
          <cell r="B82" t="str">
            <v>DOMESAIR</v>
          </cell>
          <cell r="C82"/>
          <cell r="D82"/>
          <cell r="E82">
            <v>7.5999999999999998E-2</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cell r="AE82"/>
          <cell r="AF82">
            <v>0</v>
          </cell>
          <cell r="AG82">
            <v>0</v>
          </cell>
          <cell r="AH82">
            <v>0</v>
          </cell>
          <cell r="AI82">
            <v>0</v>
          </cell>
          <cell r="AJ82">
            <v>0</v>
          </cell>
          <cell r="AK82">
            <v>0</v>
          </cell>
          <cell r="AL82">
            <v>0</v>
          </cell>
          <cell r="AM82">
            <v>0</v>
          </cell>
          <cell r="AN82">
            <v>0</v>
          </cell>
          <cell r="AO82">
            <v>0</v>
          </cell>
          <cell r="AP82">
            <v>1.196</v>
          </cell>
          <cell r="AQ82">
            <v>3.4119999999999999</v>
          </cell>
          <cell r="AR82">
            <v>62.059000000000005</v>
          </cell>
          <cell r="AS82">
            <v>0</v>
          </cell>
          <cell r="AT82">
            <v>289.91899999999998</v>
          </cell>
          <cell r="AU82">
            <v>0.872</v>
          </cell>
          <cell r="AV82">
            <v>0</v>
          </cell>
          <cell r="AW82">
            <v>0</v>
          </cell>
          <cell r="AX82">
            <v>0</v>
          </cell>
          <cell r="AY82">
            <v>0</v>
          </cell>
          <cell r="AZ82">
            <v>0</v>
          </cell>
          <cell r="BA82">
            <v>0</v>
          </cell>
          <cell r="BB82">
            <v>0</v>
          </cell>
          <cell r="BC82">
            <v>0</v>
          </cell>
          <cell r="BD82">
            <v>0</v>
          </cell>
          <cell r="BE82">
            <v>0</v>
          </cell>
          <cell r="BF82"/>
          <cell r="BG82">
            <v>0</v>
          </cell>
          <cell r="BH82">
            <v>0</v>
          </cell>
          <cell r="BI82">
            <v>0</v>
          </cell>
          <cell r="BJ82">
            <v>0</v>
          </cell>
          <cell r="BK82"/>
          <cell r="BL82">
            <v>0</v>
          </cell>
          <cell r="BM82">
            <v>0</v>
          </cell>
          <cell r="BN82">
            <v>0</v>
          </cell>
          <cell r="BO82">
            <v>0</v>
          </cell>
          <cell r="BP82"/>
          <cell r="BQ82"/>
          <cell r="BR82"/>
          <cell r="BS82"/>
          <cell r="BT82"/>
        </row>
        <row r="83">
          <cell r="B83" t="str">
            <v>RAIL</v>
          </cell>
          <cell r="C83"/>
          <cell r="D83"/>
          <cell r="E83">
            <v>9.048</v>
          </cell>
          <cell r="F83">
            <v>0</v>
          </cell>
          <cell r="G83">
            <v>0</v>
          </cell>
          <cell r="H83">
            <v>0</v>
          </cell>
          <cell r="I83">
            <v>0</v>
          </cell>
          <cell r="J83">
            <v>2E-3</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cell r="AE83"/>
          <cell r="AF83">
            <v>0</v>
          </cell>
          <cell r="AG83">
            <v>0</v>
          </cell>
          <cell r="AH83">
            <v>0</v>
          </cell>
          <cell r="AI83">
            <v>0</v>
          </cell>
          <cell r="AJ83">
            <v>0</v>
          </cell>
          <cell r="AK83">
            <v>0</v>
          </cell>
          <cell r="AL83">
            <v>0</v>
          </cell>
          <cell r="AM83">
            <v>0</v>
          </cell>
          <cell r="AN83">
            <v>0</v>
          </cell>
          <cell r="AO83">
            <v>1E-3</v>
          </cell>
          <cell r="AP83"/>
          <cell r="AQ83">
            <v>0</v>
          </cell>
          <cell r="AR83">
            <v>0</v>
          </cell>
          <cell r="AS83">
            <v>0</v>
          </cell>
          <cell r="AT83">
            <v>2E-3</v>
          </cell>
          <cell r="AU83">
            <v>169.08699999999999</v>
          </cell>
          <cell r="AV83">
            <v>0</v>
          </cell>
          <cell r="AW83">
            <v>0.22900000000000001</v>
          </cell>
          <cell r="AX83">
            <v>0</v>
          </cell>
          <cell r="AY83">
            <v>0</v>
          </cell>
          <cell r="AZ83">
            <v>0</v>
          </cell>
          <cell r="BA83">
            <v>0</v>
          </cell>
          <cell r="BB83">
            <v>0</v>
          </cell>
          <cell r="BC83">
            <v>0</v>
          </cell>
          <cell r="BD83">
            <v>0</v>
          </cell>
          <cell r="BE83">
            <v>0</v>
          </cell>
          <cell r="BF83"/>
          <cell r="BG83">
            <v>0</v>
          </cell>
          <cell r="BH83">
            <v>0</v>
          </cell>
          <cell r="BI83">
            <v>0</v>
          </cell>
          <cell r="BJ83">
            <v>0</v>
          </cell>
          <cell r="BK83"/>
          <cell r="BL83">
            <v>0</v>
          </cell>
          <cell r="BM83">
            <v>0</v>
          </cell>
          <cell r="BN83">
            <v>0</v>
          </cell>
          <cell r="BO83">
            <v>0</v>
          </cell>
          <cell r="BP83"/>
          <cell r="BQ83">
            <v>710.94939999999997</v>
          </cell>
          <cell r="BR83"/>
          <cell r="BS83"/>
          <cell r="BT83"/>
        </row>
        <row r="84">
          <cell r="B84" t="str">
            <v>PIPELINE</v>
          </cell>
          <cell r="C84"/>
          <cell r="D84"/>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397.23700000000002</v>
          </cell>
          <cell r="AE84">
            <v>0</v>
          </cell>
          <cell r="AF84">
            <v>0</v>
          </cell>
          <cell r="AG84">
            <v>3.1619999999999999</v>
          </cell>
          <cell r="AH84">
            <v>0</v>
          </cell>
          <cell r="AI84">
            <v>0</v>
          </cell>
          <cell r="AJ84">
            <v>0</v>
          </cell>
          <cell r="AK84">
            <v>0</v>
          </cell>
          <cell r="AL84">
            <v>0</v>
          </cell>
          <cell r="AM84">
            <v>0</v>
          </cell>
          <cell r="AN84">
            <v>0</v>
          </cell>
          <cell r="AO84">
            <v>0</v>
          </cell>
          <cell r="AP84">
            <v>3.6539999999999999</v>
          </cell>
          <cell r="AQ84">
            <v>0</v>
          </cell>
          <cell r="AR84">
            <v>0</v>
          </cell>
          <cell r="AS84">
            <v>0</v>
          </cell>
          <cell r="AT84">
            <v>1E-3</v>
          </cell>
          <cell r="AU84">
            <v>7.31</v>
          </cell>
          <cell r="AV84">
            <v>0</v>
          </cell>
          <cell r="AW84">
            <v>0</v>
          </cell>
          <cell r="AX84">
            <v>0</v>
          </cell>
          <cell r="AY84">
            <v>0</v>
          </cell>
          <cell r="AZ84">
            <v>0</v>
          </cell>
          <cell r="BA84">
            <v>0</v>
          </cell>
          <cell r="BB84">
            <v>0</v>
          </cell>
          <cell r="BC84">
            <v>0</v>
          </cell>
          <cell r="BD84">
            <v>0</v>
          </cell>
          <cell r="BE84">
            <v>0</v>
          </cell>
          <cell r="BF84"/>
          <cell r="BG84">
            <v>0</v>
          </cell>
          <cell r="BH84">
            <v>0</v>
          </cell>
          <cell r="BI84">
            <v>0</v>
          </cell>
          <cell r="BJ84">
            <v>0</v>
          </cell>
          <cell r="BK84"/>
          <cell r="BL84">
            <v>0</v>
          </cell>
          <cell r="BM84">
            <v>0</v>
          </cell>
          <cell r="BN84">
            <v>0</v>
          </cell>
          <cell r="BO84">
            <v>0</v>
          </cell>
          <cell r="BP84"/>
          <cell r="BQ84">
            <v>192.161</v>
          </cell>
          <cell r="BR84">
            <v>77.325999999999993</v>
          </cell>
          <cell r="BS84"/>
          <cell r="BT84"/>
        </row>
        <row r="85">
          <cell r="B85" t="str">
            <v>DOMESNAV</v>
          </cell>
          <cell r="C85"/>
          <cell r="D85"/>
          <cell r="E85">
            <v>0</v>
          </cell>
          <cell r="F85">
            <v>0</v>
          </cell>
          <cell r="G85">
            <v>0.48199999999999998</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0.12479999999999999</v>
          </cell>
          <cell r="AE85">
            <v>0</v>
          </cell>
          <cell r="AF85">
            <v>0</v>
          </cell>
          <cell r="AG85">
            <v>0</v>
          </cell>
          <cell r="AH85">
            <v>0</v>
          </cell>
          <cell r="AI85">
            <v>0</v>
          </cell>
          <cell r="AJ85">
            <v>0</v>
          </cell>
          <cell r="AK85">
            <v>0</v>
          </cell>
          <cell r="AL85">
            <v>0</v>
          </cell>
          <cell r="AM85">
            <v>0</v>
          </cell>
          <cell r="AN85">
            <v>0</v>
          </cell>
          <cell r="AO85">
            <v>0</v>
          </cell>
          <cell r="AP85">
            <v>0.28499999999999998</v>
          </cell>
          <cell r="AQ85">
            <v>0</v>
          </cell>
          <cell r="AR85">
            <v>0</v>
          </cell>
          <cell r="AS85">
            <v>0</v>
          </cell>
          <cell r="AT85">
            <v>0</v>
          </cell>
          <cell r="AU85">
            <v>12.351000000000001</v>
          </cell>
          <cell r="AV85">
            <v>0</v>
          </cell>
          <cell r="AW85">
            <v>0</v>
          </cell>
          <cell r="AX85">
            <v>0</v>
          </cell>
          <cell r="AY85">
            <v>0</v>
          </cell>
          <cell r="AZ85">
            <v>0</v>
          </cell>
          <cell r="BA85">
            <v>0</v>
          </cell>
          <cell r="BB85">
            <v>0</v>
          </cell>
          <cell r="BC85">
            <v>0</v>
          </cell>
          <cell r="BD85">
            <v>0</v>
          </cell>
          <cell r="BE85">
            <v>0</v>
          </cell>
          <cell r="BF85"/>
          <cell r="BG85">
            <v>0</v>
          </cell>
          <cell r="BH85">
            <v>0</v>
          </cell>
          <cell r="BI85">
            <v>0</v>
          </cell>
          <cell r="BJ85">
            <v>0</v>
          </cell>
          <cell r="BK85"/>
          <cell r="BL85">
            <v>0</v>
          </cell>
          <cell r="BM85">
            <v>0</v>
          </cell>
          <cell r="BN85">
            <v>0</v>
          </cell>
          <cell r="BO85">
            <v>0</v>
          </cell>
          <cell r="BP85"/>
          <cell r="BQ85"/>
          <cell r="BR85"/>
          <cell r="BS85"/>
          <cell r="BT85"/>
        </row>
        <row r="86">
          <cell r="B86" t="str">
            <v>TRNONSPE</v>
          </cell>
          <cell r="C86"/>
          <cell r="D86"/>
          <cell r="E86"/>
          <cell r="F86"/>
          <cell r="G86"/>
          <cell r="H86"/>
          <cell r="I86"/>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cell r="BG86"/>
          <cell r="BH86"/>
          <cell r="BI86"/>
          <cell r="BJ86"/>
          <cell r="BK86"/>
          <cell r="BL86"/>
          <cell r="BM86"/>
          <cell r="BN86"/>
          <cell r="BO86"/>
          <cell r="BP86"/>
          <cell r="BQ86"/>
          <cell r="BR86"/>
          <cell r="BS86"/>
          <cell r="BT86"/>
        </row>
        <row r="87">
          <cell r="B87" t="str">
            <v>TOTOTHER</v>
          </cell>
          <cell r="C87"/>
          <cell r="D87">
            <v>0</v>
          </cell>
          <cell r="E87">
            <v>6225.5050000000001</v>
          </cell>
          <cell r="F87">
            <v>1325</v>
          </cell>
          <cell r="G87">
            <v>621.1690000000001</v>
          </cell>
          <cell r="H87">
            <v>0</v>
          </cell>
          <cell r="I87">
            <v>0</v>
          </cell>
          <cell r="J87">
            <v>20.052000000000003</v>
          </cell>
          <cell r="K87">
            <v>0</v>
          </cell>
          <cell r="L87">
            <v>0</v>
          </cell>
          <cell r="M87">
            <v>3.9000000000000007E-2</v>
          </cell>
          <cell r="N87">
            <v>0</v>
          </cell>
          <cell r="O87">
            <v>0</v>
          </cell>
          <cell r="P87">
            <v>0</v>
          </cell>
          <cell r="Q87">
            <v>0</v>
          </cell>
          <cell r="R87"/>
          <cell r="S87">
            <v>0</v>
          </cell>
          <cell r="T87">
            <v>0</v>
          </cell>
          <cell r="U87">
            <v>0</v>
          </cell>
          <cell r="V87">
            <v>4006.9690000000001</v>
          </cell>
          <cell r="W87">
            <v>0</v>
          </cell>
          <cell r="X87">
            <v>0</v>
          </cell>
          <cell r="Y87">
            <v>0</v>
          </cell>
          <cell r="Z87">
            <v>0</v>
          </cell>
          <cell r="AA87"/>
          <cell r="AB87">
            <v>225.57599999999999</v>
          </cell>
          <cell r="AC87"/>
          <cell r="AD87">
            <v>2944.6631000000002</v>
          </cell>
          <cell r="AE87">
            <v>4.3609999999999998</v>
          </cell>
          <cell r="AF87">
            <v>224.74800000000002</v>
          </cell>
          <cell r="AG87">
            <v>0</v>
          </cell>
          <cell r="AH87">
            <v>0</v>
          </cell>
          <cell r="AI87">
            <v>25.326000000000001</v>
          </cell>
          <cell r="AJ87">
            <v>0</v>
          </cell>
          <cell r="AK87">
            <v>0</v>
          </cell>
          <cell r="AL87">
            <v>0</v>
          </cell>
          <cell r="AM87">
            <v>7.5799999999999992E-2</v>
          </cell>
          <cell r="AN87">
            <v>0</v>
          </cell>
          <cell r="AO87">
            <v>292.93799999999993</v>
          </cell>
          <cell r="AP87">
            <v>49.064999999999998</v>
          </cell>
          <cell r="AQ87">
            <v>6.4359999999999991</v>
          </cell>
          <cell r="AR87">
            <v>9.1999999999999998E-2</v>
          </cell>
          <cell r="AS87">
            <v>0</v>
          </cell>
          <cell r="AT87">
            <v>211.77199999999999</v>
          </cell>
          <cell r="AU87">
            <v>3282.2850000000008</v>
          </cell>
          <cell r="AV87">
            <v>33.724999999999994</v>
          </cell>
          <cell r="AW87">
            <v>35.564000000000007</v>
          </cell>
          <cell r="AX87">
            <v>0</v>
          </cell>
          <cell r="AY87">
            <v>0</v>
          </cell>
          <cell r="AZ87">
            <v>0</v>
          </cell>
          <cell r="BA87">
            <v>17.534000000000002</v>
          </cell>
          <cell r="BB87">
            <v>0</v>
          </cell>
          <cell r="BC87">
            <v>2.5000000000000001E-2</v>
          </cell>
          <cell r="BD87">
            <v>0</v>
          </cell>
          <cell r="BE87">
            <v>0</v>
          </cell>
          <cell r="BF87"/>
          <cell r="BG87">
            <v>0</v>
          </cell>
          <cell r="BH87">
            <v>0</v>
          </cell>
          <cell r="BI87">
            <v>0</v>
          </cell>
          <cell r="BJ87">
            <v>0</v>
          </cell>
          <cell r="BK87"/>
          <cell r="BL87">
            <v>0</v>
          </cell>
          <cell r="BM87">
            <v>0</v>
          </cell>
          <cell r="BN87">
            <v>0</v>
          </cell>
          <cell r="BO87">
            <v>0</v>
          </cell>
          <cell r="BP87"/>
          <cell r="BQ87">
            <v>24457.106100000001</v>
          </cell>
          <cell r="BR87">
            <v>45667.673499999997</v>
          </cell>
          <cell r="BS87"/>
          <cell r="BT87"/>
        </row>
        <row r="88">
          <cell r="B88" t="str">
            <v>RESIDENT</v>
          </cell>
          <cell r="C88"/>
          <cell r="D88"/>
          <cell r="E88">
            <v>3735.53</v>
          </cell>
          <cell r="F88">
            <v>980</v>
          </cell>
          <cell r="G88">
            <v>540.47800000000007</v>
          </cell>
          <cell r="H88">
            <v>0</v>
          </cell>
          <cell r="I88">
            <v>0</v>
          </cell>
          <cell r="J88">
            <v>3.3000000000000002E-2</v>
          </cell>
          <cell r="K88">
            <v>0</v>
          </cell>
          <cell r="L88">
            <v>0</v>
          </cell>
          <cell r="M88">
            <v>0</v>
          </cell>
          <cell r="N88">
            <v>0</v>
          </cell>
          <cell r="O88">
            <v>0</v>
          </cell>
          <cell r="P88">
            <v>0</v>
          </cell>
          <cell r="Q88">
            <v>0</v>
          </cell>
          <cell r="R88">
            <v>0</v>
          </cell>
          <cell r="S88">
            <v>0</v>
          </cell>
          <cell r="T88">
            <v>0</v>
          </cell>
          <cell r="U88">
            <v>0</v>
          </cell>
          <cell r="V88">
            <v>4002.15</v>
          </cell>
          <cell r="W88">
            <v>0</v>
          </cell>
          <cell r="X88">
            <v>0</v>
          </cell>
          <cell r="Y88">
            <v>0</v>
          </cell>
          <cell r="Z88">
            <v>0</v>
          </cell>
          <cell r="AA88">
            <v>0</v>
          </cell>
          <cell r="AB88">
            <v>153.57</v>
          </cell>
          <cell r="AC88">
            <v>0</v>
          </cell>
          <cell r="AD88">
            <v>2607.8000000000002</v>
          </cell>
          <cell r="AF88">
            <v>15.279</v>
          </cell>
          <cell r="AG88">
            <v>0</v>
          </cell>
          <cell r="AH88">
            <v>0</v>
          </cell>
          <cell r="AI88">
            <v>0</v>
          </cell>
          <cell r="AJ88">
            <v>0</v>
          </cell>
          <cell r="AK88">
            <v>0</v>
          </cell>
          <cell r="AL88">
            <v>0</v>
          </cell>
          <cell r="AM88">
            <v>0</v>
          </cell>
          <cell r="AN88">
            <v>0</v>
          </cell>
          <cell r="AO88">
            <v>254.44399999999999</v>
          </cell>
          <cell r="AP88"/>
          <cell r="AQ88">
            <v>0</v>
          </cell>
          <cell r="AR88">
            <v>0</v>
          </cell>
          <cell r="AS88">
            <v>0</v>
          </cell>
          <cell r="AT88">
            <v>3.0000000000000001E-3</v>
          </cell>
          <cell r="AU88">
            <v>1251.5920000000001</v>
          </cell>
          <cell r="AV88">
            <v>1.5469999999999999</v>
          </cell>
          <cell r="AW88">
            <v>3.1E-2</v>
          </cell>
          <cell r="AX88">
            <v>0</v>
          </cell>
          <cell r="AY88">
            <v>0</v>
          </cell>
          <cell r="AZ88">
            <v>0</v>
          </cell>
          <cell r="BA88">
            <v>0.17</v>
          </cell>
          <cell r="BB88">
            <v>0</v>
          </cell>
          <cell r="BC88">
            <v>0</v>
          </cell>
          <cell r="BD88">
            <v>0</v>
          </cell>
          <cell r="BE88">
            <v>0</v>
          </cell>
          <cell r="BF88"/>
          <cell r="BG88">
            <v>0</v>
          </cell>
          <cell r="BH88">
            <v>0</v>
          </cell>
          <cell r="BI88">
            <v>0</v>
          </cell>
          <cell r="BJ88">
            <v>0</v>
          </cell>
          <cell r="BK88"/>
          <cell r="BL88">
            <v>0</v>
          </cell>
          <cell r="BM88">
            <v>0</v>
          </cell>
          <cell r="BN88">
            <v>0</v>
          </cell>
          <cell r="BO88">
            <v>0</v>
          </cell>
          <cell r="BP88"/>
          <cell r="BQ88">
            <v>10757.713599999999</v>
          </cell>
          <cell r="BR88">
            <v>23623.9</v>
          </cell>
          <cell r="BS88"/>
          <cell r="BT88"/>
        </row>
        <row r="89">
          <cell r="B89" t="str">
            <v>COMMPUB</v>
          </cell>
          <cell r="C89"/>
          <cell r="D89"/>
          <cell r="E89">
            <v>2131.7370000000001</v>
          </cell>
          <cell r="F89">
            <v>345</v>
          </cell>
          <cell r="G89">
            <v>80.566999999999993</v>
          </cell>
          <cell r="H89">
            <v>0</v>
          </cell>
          <cell r="I89">
            <v>0</v>
          </cell>
          <cell r="J89">
            <v>20.019000000000002</v>
          </cell>
          <cell r="K89">
            <v>0</v>
          </cell>
          <cell r="L89">
            <v>0</v>
          </cell>
          <cell r="M89">
            <v>3.9000000000000007E-2</v>
          </cell>
          <cell r="N89">
            <v>0</v>
          </cell>
          <cell r="O89">
            <v>0</v>
          </cell>
          <cell r="P89">
            <v>0</v>
          </cell>
          <cell r="Q89">
            <v>0</v>
          </cell>
          <cell r="R89">
            <v>0</v>
          </cell>
          <cell r="S89">
            <v>0</v>
          </cell>
          <cell r="T89">
            <v>0</v>
          </cell>
          <cell r="U89">
            <v>0</v>
          </cell>
          <cell r="V89">
            <v>3.6129999999999995</v>
          </cell>
          <cell r="W89">
            <v>0</v>
          </cell>
          <cell r="X89">
            <v>0</v>
          </cell>
          <cell r="Y89">
            <v>0</v>
          </cell>
          <cell r="Z89">
            <v>0</v>
          </cell>
          <cell r="AA89">
            <v>0</v>
          </cell>
          <cell r="AB89">
            <v>65.748999999999995</v>
          </cell>
          <cell r="AC89">
            <v>0</v>
          </cell>
          <cell r="AD89">
            <v>318.70080000000002</v>
          </cell>
          <cell r="AF89">
            <v>209.46900000000002</v>
          </cell>
          <cell r="AG89"/>
          <cell r="AH89"/>
          <cell r="AI89">
            <v>25.326000000000001</v>
          </cell>
          <cell r="AJ89">
            <v>0</v>
          </cell>
          <cell r="AK89">
            <v>0</v>
          </cell>
          <cell r="AL89">
            <v>0</v>
          </cell>
          <cell r="AM89">
            <v>7.5799999999999992E-2</v>
          </cell>
          <cell r="AN89">
            <v>0</v>
          </cell>
          <cell r="AO89">
            <v>33.504999999999995</v>
          </cell>
          <cell r="AP89"/>
          <cell r="AQ89">
            <v>6.1919999999999993</v>
          </cell>
          <cell r="AR89">
            <v>5.5999999999999994E-2</v>
          </cell>
          <cell r="AS89">
            <v>0</v>
          </cell>
          <cell r="AT89">
            <v>209.215</v>
          </cell>
          <cell r="AU89">
            <v>1597.7270000000001</v>
          </cell>
          <cell r="AV89">
            <v>31.572999999999997</v>
          </cell>
          <cell r="AW89">
            <v>34.964000000000006</v>
          </cell>
          <cell r="AX89">
            <v>0</v>
          </cell>
          <cell r="AY89">
            <v>0</v>
          </cell>
          <cell r="AZ89">
            <v>0</v>
          </cell>
          <cell r="BA89">
            <v>17.052</v>
          </cell>
          <cell r="BB89">
            <v>0</v>
          </cell>
          <cell r="BC89">
            <v>2.5000000000000001E-2</v>
          </cell>
          <cell r="BD89">
            <v>0</v>
          </cell>
          <cell r="BE89">
            <v>0</v>
          </cell>
          <cell r="BF89"/>
          <cell r="BG89">
            <v>0</v>
          </cell>
          <cell r="BH89">
            <v>0</v>
          </cell>
          <cell r="BI89">
            <v>0</v>
          </cell>
          <cell r="BJ89">
            <v>0</v>
          </cell>
          <cell r="BK89"/>
          <cell r="BL89">
            <v>0</v>
          </cell>
          <cell r="BM89">
            <v>0</v>
          </cell>
          <cell r="BN89">
            <v>0</v>
          </cell>
          <cell r="BO89">
            <v>0</v>
          </cell>
          <cell r="BP89"/>
          <cell r="BQ89">
            <v>12898.666799999999</v>
          </cell>
          <cell r="BR89">
            <v>21150.514200000001</v>
          </cell>
          <cell r="BS89"/>
          <cell r="BT89"/>
        </row>
        <row r="90">
          <cell r="B90" t="str">
            <v>AGRICULT</v>
          </cell>
          <cell r="C90"/>
          <cell r="D90"/>
          <cell r="E90">
            <v>358.154</v>
          </cell>
          <cell r="F90">
            <v>0</v>
          </cell>
          <cell r="G90">
            <v>0.124</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1.206</v>
          </cell>
          <cell r="W90">
            <v>0</v>
          </cell>
          <cell r="X90">
            <v>0</v>
          </cell>
          <cell r="Y90">
            <v>0</v>
          </cell>
          <cell r="Z90">
            <v>0</v>
          </cell>
          <cell r="AA90">
            <v>0</v>
          </cell>
          <cell r="AB90">
            <v>6.2569999999999997</v>
          </cell>
          <cell r="AC90">
            <v>0</v>
          </cell>
          <cell r="AD90">
            <v>17.914099999999998</v>
          </cell>
          <cell r="AE90">
            <v>4.3609999999999998</v>
          </cell>
          <cell r="AF90">
            <v>0</v>
          </cell>
          <cell r="AG90">
            <v>0</v>
          </cell>
          <cell r="AH90">
            <v>0</v>
          </cell>
          <cell r="AI90">
            <v>0</v>
          </cell>
          <cell r="AJ90">
            <v>0</v>
          </cell>
          <cell r="AK90">
            <v>0</v>
          </cell>
          <cell r="AL90">
            <v>0</v>
          </cell>
          <cell r="AM90">
            <v>0</v>
          </cell>
          <cell r="AN90">
            <v>0</v>
          </cell>
          <cell r="AO90">
            <v>4.9889999999999999</v>
          </cell>
          <cell r="AP90">
            <v>48.186</v>
          </cell>
          <cell r="AQ90">
            <v>0.24399999999999999</v>
          </cell>
          <cell r="AR90">
            <v>3.5999999999999997E-2</v>
          </cell>
          <cell r="AS90">
            <v>0</v>
          </cell>
          <cell r="AT90">
            <v>2.5539999999999998</v>
          </cell>
          <cell r="AU90">
            <v>432.67500000000001</v>
          </cell>
          <cell r="AV90">
            <v>0.60499999999999998</v>
          </cell>
          <cell r="AW90">
            <v>0.56899999999999995</v>
          </cell>
          <cell r="AX90">
            <v>0</v>
          </cell>
          <cell r="AY90">
            <v>0</v>
          </cell>
          <cell r="AZ90">
            <v>0</v>
          </cell>
          <cell r="BA90">
            <v>0.312</v>
          </cell>
          <cell r="BB90">
            <v>0</v>
          </cell>
          <cell r="BC90">
            <v>0</v>
          </cell>
          <cell r="BD90">
            <v>0</v>
          </cell>
          <cell r="BE90">
            <v>0</v>
          </cell>
          <cell r="BF90"/>
          <cell r="BG90">
            <v>0</v>
          </cell>
          <cell r="BH90">
            <v>0</v>
          </cell>
          <cell r="BI90">
            <v>0</v>
          </cell>
          <cell r="BJ90">
            <v>0</v>
          </cell>
          <cell r="BK90"/>
          <cell r="BL90">
            <v>0</v>
          </cell>
          <cell r="BM90">
            <v>0</v>
          </cell>
          <cell r="BN90">
            <v>0</v>
          </cell>
          <cell r="BO90">
            <v>0</v>
          </cell>
          <cell r="BP90"/>
          <cell r="BQ90">
            <v>796.02110000000005</v>
          </cell>
          <cell r="BR90">
            <v>893.00659999999993</v>
          </cell>
          <cell r="BS90"/>
          <cell r="BT90"/>
        </row>
        <row r="91">
          <cell r="B91" t="str">
            <v>FISHING</v>
          </cell>
          <cell r="C91"/>
          <cell r="D91"/>
          <cell r="E91">
            <v>8.4000000000000005E-2</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0.24819999999999998</v>
          </cell>
          <cell r="AE91">
            <v>0</v>
          </cell>
          <cell r="AF91">
            <v>0</v>
          </cell>
          <cell r="AG91">
            <v>0</v>
          </cell>
          <cell r="AH91">
            <v>0</v>
          </cell>
          <cell r="AI91">
            <v>0</v>
          </cell>
          <cell r="AJ91">
            <v>0</v>
          </cell>
          <cell r="AK91">
            <v>0</v>
          </cell>
          <cell r="AL91">
            <v>0</v>
          </cell>
          <cell r="AM91">
            <v>0</v>
          </cell>
          <cell r="AN91">
            <v>0</v>
          </cell>
          <cell r="AO91">
            <v>0</v>
          </cell>
          <cell r="AP91">
            <v>0.879</v>
          </cell>
          <cell r="AQ91">
            <v>0</v>
          </cell>
          <cell r="AR91">
            <v>0</v>
          </cell>
          <cell r="AS91">
            <v>0</v>
          </cell>
          <cell r="AT91">
            <v>0</v>
          </cell>
          <cell r="AU91">
            <v>0.29099999999999998</v>
          </cell>
          <cell r="AV91">
            <v>0</v>
          </cell>
          <cell r="AW91">
            <v>0</v>
          </cell>
          <cell r="AX91">
            <v>0</v>
          </cell>
          <cell r="AY91">
            <v>0</v>
          </cell>
          <cell r="AZ91">
            <v>0</v>
          </cell>
          <cell r="BA91">
            <v>0</v>
          </cell>
          <cell r="BB91">
            <v>0</v>
          </cell>
          <cell r="BC91">
            <v>0</v>
          </cell>
          <cell r="BD91">
            <v>0</v>
          </cell>
          <cell r="BE91">
            <v>0</v>
          </cell>
          <cell r="BF91"/>
          <cell r="BG91">
            <v>0</v>
          </cell>
          <cell r="BH91">
            <v>0</v>
          </cell>
          <cell r="BI91">
            <v>0</v>
          </cell>
          <cell r="BJ91">
            <v>0</v>
          </cell>
          <cell r="BK91"/>
          <cell r="BL91">
            <v>0</v>
          </cell>
          <cell r="BM91">
            <v>0</v>
          </cell>
          <cell r="BN91">
            <v>0</v>
          </cell>
          <cell r="BO91">
            <v>0</v>
          </cell>
          <cell r="BP91"/>
          <cell r="BQ91">
            <v>4.7046000000000001</v>
          </cell>
          <cell r="BR91">
            <v>0.25269999999999998</v>
          </cell>
          <cell r="BS91"/>
          <cell r="BT91"/>
        </row>
        <row r="92">
          <cell r="B92" t="str">
            <v>ONONSPEC</v>
          </cell>
          <cell r="C92"/>
          <cell r="D92"/>
          <cell r="E92"/>
          <cell r="F92"/>
          <cell r="G92"/>
          <cell r="H92"/>
          <cell r="I92"/>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cell r="BG92"/>
          <cell r="BH92"/>
          <cell r="BI92"/>
          <cell r="BJ92"/>
          <cell r="BK92"/>
          <cell r="BL92"/>
          <cell r="BM92"/>
          <cell r="BN92"/>
          <cell r="BO92"/>
          <cell r="BP92"/>
          <cell r="BQ92"/>
          <cell r="BR92"/>
          <cell r="BS92"/>
          <cell r="BT92"/>
        </row>
        <row r="93">
          <cell r="B93" t="str">
            <v>NONENUSE</v>
          </cell>
          <cell r="C93"/>
          <cell r="D93"/>
          <cell r="E93">
            <v>208.86930000000001</v>
          </cell>
          <cell r="F93">
            <v>0</v>
          </cell>
          <cell r="G93">
            <v>3.8622999999999998</v>
          </cell>
          <cell r="H93">
            <v>0</v>
          </cell>
          <cell r="I93">
            <v>0</v>
          </cell>
          <cell r="J93">
            <v>327.96540000000005</v>
          </cell>
          <cell r="K93">
            <v>0</v>
          </cell>
          <cell r="L93">
            <v>0</v>
          </cell>
          <cell r="M93">
            <v>0</v>
          </cell>
          <cell r="N93">
            <v>0</v>
          </cell>
          <cell r="O93">
            <v>-6607.8</v>
          </cell>
          <cell r="P93">
            <v>6607.5151999999998</v>
          </cell>
          <cell r="Q93">
            <v>0</v>
          </cell>
          <cell r="R93"/>
          <cell r="S93"/>
          <cell r="T93"/>
          <cell r="U93"/>
          <cell r="V93"/>
          <cell r="W93"/>
          <cell r="X93"/>
          <cell r="Y93"/>
          <cell r="Z93"/>
          <cell r="AA93"/>
          <cell r="AB93"/>
          <cell r="AC93"/>
          <cell r="AD93">
            <v>283.78719999999998</v>
          </cell>
          <cell r="AE93">
            <v>-269.58170000000007</v>
          </cell>
          <cell r="AF93">
            <v>0</v>
          </cell>
          <cell r="AG93">
            <v>0</v>
          </cell>
          <cell r="AH93">
            <v>0</v>
          </cell>
          <cell r="AI93">
            <v>0</v>
          </cell>
          <cell r="AJ93">
            <v>0</v>
          </cell>
          <cell r="AK93">
            <v>0</v>
          </cell>
          <cell r="AL93">
            <v>0</v>
          </cell>
          <cell r="AM93">
            <v>0.128</v>
          </cell>
          <cell r="AN93">
            <v>0</v>
          </cell>
          <cell r="AO93">
            <v>0.63829999999999998</v>
          </cell>
          <cell r="AP93">
            <v>0.40110000000000001</v>
          </cell>
          <cell r="AQ93">
            <v>0</v>
          </cell>
          <cell r="AR93">
            <v>0</v>
          </cell>
          <cell r="AS93">
            <v>0</v>
          </cell>
          <cell r="AT93">
            <v>0.1653</v>
          </cell>
          <cell r="AU93">
            <v>3.6316999999999999</v>
          </cell>
          <cell r="AV93">
            <v>2.5118999999999998</v>
          </cell>
          <cell r="AW93">
            <v>1.3068</v>
          </cell>
          <cell r="AX93">
            <v>0</v>
          </cell>
          <cell r="AY93">
            <v>0</v>
          </cell>
          <cell r="AZ93">
            <v>0</v>
          </cell>
          <cell r="BA93">
            <v>224.2936</v>
          </cell>
          <cell r="BB93">
            <v>0</v>
          </cell>
          <cell r="BC93">
            <v>74.493200000000002</v>
          </cell>
          <cell r="BD93">
            <v>0</v>
          </cell>
          <cell r="BE93"/>
          <cell r="BF93"/>
          <cell r="BG93"/>
          <cell r="BH93"/>
          <cell r="BI93"/>
          <cell r="BJ93"/>
          <cell r="BK93"/>
          <cell r="BL93"/>
          <cell r="BM93"/>
          <cell r="BN93"/>
          <cell r="BO93"/>
          <cell r="BP93"/>
          <cell r="BQ93"/>
          <cell r="BR93"/>
          <cell r="BS93"/>
          <cell r="BT93"/>
        </row>
        <row r="94">
          <cell r="B94" t="str">
            <v>NEINTREN</v>
          </cell>
          <cell r="C94"/>
          <cell r="D94"/>
          <cell r="E94">
            <v>208.86930000000001</v>
          </cell>
          <cell r="F94">
            <v>0</v>
          </cell>
          <cell r="G94">
            <v>3.8622999999999998</v>
          </cell>
          <cell r="H94">
            <v>0</v>
          </cell>
          <cell r="I94">
            <v>0</v>
          </cell>
          <cell r="J94">
            <v>327.96540000000005</v>
          </cell>
          <cell r="K94">
            <v>0</v>
          </cell>
          <cell r="L94">
            <v>0</v>
          </cell>
          <cell r="M94">
            <v>0</v>
          </cell>
          <cell r="N94">
            <v>0</v>
          </cell>
          <cell r="O94">
            <v>-6607.8</v>
          </cell>
          <cell r="P94">
            <v>6607.5151999999998</v>
          </cell>
          <cell r="Q94">
            <v>0</v>
          </cell>
          <cell r="R94">
            <v>0</v>
          </cell>
          <cell r="S94">
            <v>0</v>
          </cell>
          <cell r="T94">
            <v>0</v>
          </cell>
          <cell r="U94">
            <v>0</v>
          </cell>
          <cell r="V94">
            <v>1.61E-2</v>
          </cell>
          <cell r="W94">
            <v>0</v>
          </cell>
          <cell r="X94">
            <v>0</v>
          </cell>
          <cell r="Y94">
            <v>0</v>
          </cell>
          <cell r="Z94">
            <v>0</v>
          </cell>
          <cell r="AA94">
            <v>0</v>
          </cell>
          <cell r="AB94">
            <v>-1.9E-2</v>
          </cell>
          <cell r="AC94">
            <v>0.01</v>
          </cell>
          <cell r="AD94">
            <v>283.78719999999998</v>
          </cell>
          <cell r="AE94">
            <v>-269.58170000000007</v>
          </cell>
          <cell r="AF94">
            <v>0</v>
          </cell>
          <cell r="AG94"/>
          <cell r="AH94"/>
          <cell r="AI94">
            <v>0</v>
          </cell>
          <cell r="AJ94">
            <v>0</v>
          </cell>
          <cell r="AK94">
            <v>0</v>
          </cell>
          <cell r="AL94">
            <v>0</v>
          </cell>
          <cell r="AM94">
            <v>0.128</v>
          </cell>
          <cell r="AN94">
            <v>0</v>
          </cell>
          <cell r="AO94">
            <v>0.63829999999999998</v>
          </cell>
          <cell r="AP94">
            <v>0.40110000000000001</v>
          </cell>
          <cell r="AQ94">
            <v>0</v>
          </cell>
          <cell r="AR94">
            <v>0</v>
          </cell>
          <cell r="AS94">
            <v>0</v>
          </cell>
          <cell r="AT94">
            <v>0.1653</v>
          </cell>
          <cell r="AU94">
            <v>3.6316999999999999</v>
          </cell>
          <cell r="AV94">
            <v>2.5118999999999998</v>
          </cell>
          <cell r="AW94">
            <v>1.3068</v>
          </cell>
          <cell r="AX94">
            <v>0</v>
          </cell>
          <cell r="AY94">
            <v>0</v>
          </cell>
          <cell r="AZ94">
            <v>0</v>
          </cell>
          <cell r="BA94">
            <v>224.2936</v>
          </cell>
          <cell r="BB94">
            <v>0</v>
          </cell>
          <cell r="BC94">
            <v>74.493200000000002</v>
          </cell>
          <cell r="BD94">
            <v>0</v>
          </cell>
          <cell r="BE94">
            <v>0</v>
          </cell>
          <cell r="BF94"/>
          <cell r="BG94">
            <v>0</v>
          </cell>
          <cell r="BH94">
            <v>0</v>
          </cell>
          <cell r="BI94">
            <v>0</v>
          </cell>
          <cell r="BJ94">
            <v>0</v>
          </cell>
          <cell r="BK94"/>
          <cell r="BL94">
            <v>0</v>
          </cell>
          <cell r="BM94">
            <v>0</v>
          </cell>
          <cell r="BN94">
            <v>0</v>
          </cell>
          <cell r="BO94">
            <v>0</v>
          </cell>
          <cell r="BP94"/>
          <cell r="BQ94">
            <v>1479.6796000000002</v>
          </cell>
          <cell r="BR94">
            <v>0.307259</v>
          </cell>
          <cell r="BS94"/>
          <cell r="BT94"/>
        </row>
        <row r="95">
          <cell r="B95" t="str">
            <v>NETRANS</v>
          </cell>
          <cell r="C95"/>
          <cell r="D95"/>
          <cell r="E95"/>
          <cell r="F95"/>
          <cell r="G95"/>
          <cell r="H95"/>
          <cell r="I95"/>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cell r="BG95"/>
          <cell r="BH95"/>
          <cell r="BI95"/>
          <cell r="BJ95"/>
          <cell r="BK95"/>
          <cell r="BL95"/>
          <cell r="BM95"/>
          <cell r="BN95"/>
          <cell r="BO95"/>
          <cell r="BP95"/>
          <cell r="BQ95"/>
          <cell r="BR95"/>
          <cell r="BS95"/>
          <cell r="BT95"/>
        </row>
        <row r="96">
          <cell r="B96" t="str">
            <v>NEOTHER</v>
          </cell>
          <cell r="C96"/>
          <cell r="D96"/>
          <cell r="E96"/>
          <cell r="F96"/>
          <cell r="G96"/>
          <cell r="H96"/>
          <cell r="I96"/>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cell r="BG96"/>
          <cell r="BH96"/>
          <cell r="BI96"/>
          <cell r="BJ96"/>
          <cell r="BK96"/>
          <cell r="BL96"/>
          <cell r="BM96"/>
          <cell r="BN96"/>
          <cell r="BO96"/>
          <cell r="BP96"/>
          <cell r="BQ96"/>
          <cell r="BR96"/>
          <cell r="BS96"/>
          <cell r="BT96"/>
        </row>
        <row r="97">
          <cell r="B97" t="str">
            <v>NECHEM</v>
          </cell>
          <cell r="C97"/>
          <cell r="D97"/>
          <cell r="E97"/>
          <cell r="F97"/>
          <cell r="G97"/>
          <cell r="H97"/>
          <cell r="I97"/>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cell r="BG97"/>
          <cell r="BH97"/>
          <cell r="BI97"/>
          <cell r="BJ97"/>
          <cell r="BK97"/>
          <cell r="BL97"/>
          <cell r="BM97"/>
          <cell r="BN97"/>
          <cell r="BO97"/>
          <cell r="BP97"/>
          <cell r="BQ97"/>
          <cell r="BR97"/>
          <cell r="BS97"/>
          <cell r="BT97"/>
        </row>
        <row r="98">
          <cell r="B98" t="str">
            <v>ELOUTPUT</v>
          </cell>
          <cell r="C98"/>
          <cell r="D98"/>
          <cell r="E98">
            <v>2541.5</v>
          </cell>
          <cell r="F98">
            <v>64788.9</v>
          </cell>
          <cell r="G98">
            <v>7</v>
          </cell>
          <cell r="H98">
            <v>0</v>
          </cell>
          <cell r="I98">
            <v>0</v>
          </cell>
          <cell r="J98">
            <v>0</v>
          </cell>
          <cell r="K98">
            <v>0</v>
          </cell>
          <cell r="L98">
            <v>0</v>
          </cell>
          <cell r="M98">
            <v>0</v>
          </cell>
          <cell r="N98">
            <v>0</v>
          </cell>
          <cell r="O98">
            <v>0</v>
          </cell>
          <cell r="P98">
            <v>0</v>
          </cell>
          <cell r="Q98">
            <v>0</v>
          </cell>
          <cell r="R98"/>
          <cell r="S98">
            <v>0</v>
          </cell>
          <cell r="T98">
            <v>0</v>
          </cell>
          <cell r="U98">
            <v>0</v>
          </cell>
          <cell r="V98">
            <v>0</v>
          </cell>
          <cell r="W98">
            <v>0</v>
          </cell>
          <cell r="X98"/>
          <cell r="Y98"/>
          <cell r="Z98">
            <v>0</v>
          </cell>
          <cell r="AA98"/>
          <cell r="AB98"/>
          <cell r="AC98"/>
          <cell r="AD98">
            <v>16993.099999999999</v>
          </cell>
          <cell r="AE98"/>
          <cell r="AF98">
            <v>0</v>
          </cell>
          <cell r="AG98">
            <v>0</v>
          </cell>
          <cell r="AH98">
            <v>0</v>
          </cell>
          <cell r="AI98"/>
          <cell r="AJ98">
            <v>0</v>
          </cell>
          <cell r="AK98"/>
          <cell r="AL98"/>
          <cell r="AM98">
            <v>0</v>
          </cell>
          <cell r="AN98"/>
          <cell r="AO98">
            <v>0</v>
          </cell>
          <cell r="AP98"/>
          <cell r="AQ98"/>
          <cell r="AR98"/>
          <cell r="AS98">
            <v>0</v>
          </cell>
          <cell r="AT98">
            <v>0</v>
          </cell>
          <cell r="AU98">
            <v>0</v>
          </cell>
          <cell r="AV98">
            <v>14.4</v>
          </cell>
          <cell r="AW98">
            <v>0</v>
          </cell>
          <cell r="AX98">
            <v>0</v>
          </cell>
          <cell r="AY98"/>
          <cell r="AZ98"/>
          <cell r="BA98">
            <v>0</v>
          </cell>
          <cell r="BB98"/>
          <cell r="BC98">
            <v>0</v>
          </cell>
          <cell r="BD98">
            <v>0</v>
          </cell>
          <cell r="BE98">
            <v>0</v>
          </cell>
          <cell r="BF98">
            <v>7701</v>
          </cell>
          <cell r="BG98">
            <v>0</v>
          </cell>
          <cell r="BH98">
            <v>0</v>
          </cell>
          <cell r="BI98">
            <v>0</v>
          </cell>
          <cell r="BJ98">
            <v>0</v>
          </cell>
          <cell r="BK98"/>
          <cell r="BL98"/>
          <cell r="BM98"/>
          <cell r="BN98">
            <v>0</v>
          </cell>
          <cell r="BO98">
            <v>0</v>
          </cell>
          <cell r="BP98"/>
          <cell r="BQ98">
            <v>92049</v>
          </cell>
          <cell r="BR98"/>
          <cell r="BS98"/>
          <cell r="BT98"/>
        </row>
        <row r="99">
          <cell r="B99" t="str">
            <v>ELMAINE</v>
          </cell>
          <cell r="C99"/>
          <cell r="D99"/>
          <cell r="E99"/>
          <cell r="F99">
            <v>35462</v>
          </cell>
          <cell r="G99"/>
          <cell r="H99"/>
          <cell r="I99"/>
          <cell r="J99"/>
          <cell r="K99"/>
          <cell r="L99"/>
          <cell r="M99"/>
          <cell r="N99"/>
          <cell r="O99"/>
          <cell r="P99"/>
          <cell r="Q99"/>
          <cell r="R99"/>
          <cell r="S99"/>
          <cell r="T99"/>
          <cell r="U99"/>
          <cell r="V99"/>
          <cell r="W99"/>
          <cell r="X99"/>
          <cell r="Y99"/>
          <cell r="Z99"/>
          <cell r="AA99"/>
          <cell r="AB99"/>
          <cell r="AC99"/>
          <cell r="AD99">
            <v>1907</v>
          </cell>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F99">
            <v>7701</v>
          </cell>
          <cell r="BG99"/>
          <cell r="BH99"/>
          <cell r="BI99"/>
          <cell r="BJ99"/>
          <cell r="BK99">
            <v>3.1</v>
          </cell>
          <cell r="BL99"/>
          <cell r="BM99"/>
          <cell r="BN99"/>
          <cell r="BO99"/>
          <cell r="BP99"/>
          <cell r="BQ99">
            <v>45073.1</v>
          </cell>
          <cell r="BR99"/>
          <cell r="BS99"/>
          <cell r="BT99"/>
        </row>
        <row r="100">
          <cell r="B100" t="str">
            <v>ELAUTOE</v>
          </cell>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v>8746.6</v>
          </cell>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F100"/>
          <cell r="BG100"/>
          <cell r="BH100"/>
          <cell r="BI100"/>
          <cell r="BJ100"/>
          <cell r="BK100"/>
          <cell r="BL100"/>
          <cell r="BM100"/>
          <cell r="BN100"/>
          <cell r="BO100"/>
          <cell r="BP100"/>
          <cell r="BQ100">
            <v>8746.6</v>
          </cell>
          <cell r="BR100"/>
          <cell r="BS100"/>
          <cell r="BT100"/>
        </row>
        <row r="101">
          <cell r="B101" t="str">
            <v>ELMAINC</v>
          </cell>
          <cell r="C101"/>
          <cell r="D101"/>
          <cell r="E101">
            <v>1934</v>
          </cell>
          <cell r="F101">
            <v>23498</v>
          </cell>
          <cell r="G101">
            <v>7</v>
          </cell>
          <cell r="H101"/>
          <cell r="I101"/>
          <cell r="J101"/>
          <cell r="K101"/>
          <cell r="L101"/>
          <cell r="M101"/>
          <cell r="N101"/>
          <cell r="O101"/>
          <cell r="P101"/>
          <cell r="Q101"/>
          <cell r="R101"/>
          <cell r="S101"/>
          <cell r="T101"/>
          <cell r="U101"/>
          <cell r="V101"/>
          <cell r="W101"/>
          <cell r="X101"/>
          <cell r="Y101"/>
          <cell r="Z101"/>
          <cell r="AA101"/>
          <cell r="AB101"/>
          <cell r="AC101"/>
          <cell r="AD101">
            <v>3551</v>
          </cell>
          <cell r="AE101"/>
          <cell r="AF101"/>
          <cell r="AG101"/>
          <cell r="AH101"/>
          <cell r="AI101"/>
          <cell r="AJ101"/>
          <cell r="AK101"/>
          <cell r="AL101"/>
          <cell r="AM101"/>
          <cell r="AN101"/>
          <cell r="AO101"/>
          <cell r="AP101"/>
          <cell r="AQ101"/>
          <cell r="AR101"/>
          <cell r="AS101"/>
          <cell r="AT101"/>
          <cell r="AU101"/>
          <cell r="AV101">
            <v>14.4</v>
          </cell>
          <cell r="AW101"/>
          <cell r="AX101"/>
          <cell r="AY101"/>
          <cell r="AZ101"/>
          <cell r="BA101"/>
          <cell r="BB101"/>
          <cell r="BC101"/>
          <cell r="BD101"/>
          <cell r="BE101"/>
          <cell r="BF101"/>
          <cell r="BG101"/>
          <cell r="BH101"/>
          <cell r="BI101"/>
          <cell r="BJ101"/>
          <cell r="BK101"/>
          <cell r="BL101"/>
          <cell r="BM101"/>
          <cell r="BN101"/>
          <cell r="BO101"/>
          <cell r="BP101"/>
          <cell r="BQ101">
            <v>29004.400000000001</v>
          </cell>
          <cell r="BR101"/>
          <cell r="BS101"/>
          <cell r="BT101"/>
        </row>
        <row r="102">
          <cell r="B102" t="str">
            <v>ELAUTOC</v>
          </cell>
          <cell r="C102"/>
          <cell r="D102"/>
          <cell r="E102">
            <v>607.5</v>
          </cell>
          <cell r="F102">
            <v>5828.9</v>
          </cell>
          <cell r="G102"/>
          <cell r="H102"/>
          <cell r="I102"/>
          <cell r="J102"/>
          <cell r="K102"/>
          <cell r="L102"/>
          <cell r="M102"/>
          <cell r="N102"/>
          <cell r="O102"/>
          <cell r="P102"/>
          <cell r="Q102"/>
          <cell r="R102"/>
          <cell r="S102"/>
          <cell r="T102"/>
          <cell r="U102"/>
          <cell r="V102"/>
          <cell r="W102"/>
          <cell r="X102"/>
          <cell r="Y102"/>
          <cell r="Z102"/>
          <cell r="AA102"/>
          <cell r="AB102"/>
          <cell r="AC102"/>
          <cell r="AD102">
            <v>2788.5</v>
          </cell>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F102"/>
          <cell r="BG102"/>
          <cell r="BH102"/>
          <cell r="BI102"/>
          <cell r="BJ102"/>
          <cell r="BK102"/>
          <cell r="BL102"/>
          <cell r="BM102"/>
          <cell r="BN102"/>
          <cell r="BO102"/>
          <cell r="BP102"/>
          <cell r="BQ102">
            <v>9224.9</v>
          </cell>
          <cell r="BR102"/>
          <cell r="BS102"/>
          <cell r="BT102"/>
        </row>
        <row r="103">
          <cell r="B103" t="str">
            <v>HEMAINC</v>
          </cell>
          <cell r="C103"/>
          <cell r="D103"/>
          <cell r="E103">
            <v>14657.56812</v>
          </cell>
          <cell r="F103">
            <v>118503.1872</v>
          </cell>
          <cell r="G103">
            <v>45.217440000000003</v>
          </cell>
          <cell r="H103"/>
          <cell r="I103"/>
          <cell r="J103"/>
          <cell r="K103"/>
          <cell r="L103"/>
          <cell r="M103"/>
          <cell r="N103"/>
          <cell r="O103"/>
          <cell r="P103"/>
          <cell r="Q103"/>
          <cell r="R103"/>
          <cell r="S103"/>
          <cell r="T103"/>
          <cell r="U103"/>
          <cell r="V103"/>
          <cell r="W103"/>
          <cell r="X103"/>
          <cell r="Y103"/>
          <cell r="Z103"/>
          <cell r="AA103"/>
          <cell r="AB103"/>
          <cell r="AC103"/>
          <cell r="AD103">
            <v>20238.9912</v>
          </cell>
          <cell r="AE103"/>
          <cell r="AF103"/>
          <cell r="AG103"/>
          <cell r="AH103"/>
          <cell r="AI103"/>
          <cell r="AJ103"/>
          <cell r="AK103"/>
          <cell r="AL103"/>
          <cell r="AM103"/>
          <cell r="AN103"/>
          <cell r="AO103"/>
          <cell r="AP103"/>
          <cell r="AQ103"/>
          <cell r="AR103"/>
          <cell r="AS103"/>
          <cell r="AT103"/>
          <cell r="AU103"/>
          <cell r="AV103">
            <v>159.93576000000002</v>
          </cell>
          <cell r="AW103"/>
          <cell r="AX103"/>
          <cell r="AY103"/>
          <cell r="AZ103"/>
          <cell r="BA103"/>
          <cell r="BB103"/>
          <cell r="BC103"/>
          <cell r="BD103"/>
          <cell r="BE103"/>
          <cell r="BF103"/>
          <cell r="BG103"/>
          <cell r="BH103"/>
          <cell r="BI103"/>
          <cell r="BJ103"/>
          <cell r="BK103"/>
          <cell r="BL103"/>
          <cell r="BM103"/>
          <cell r="BN103"/>
          <cell r="BO103"/>
          <cell r="BP103"/>
          <cell r="BQ103"/>
          <cell r="BR103">
            <v>153604.89971999999</v>
          </cell>
          <cell r="BS103"/>
          <cell r="BT103"/>
        </row>
        <row r="104">
          <cell r="B104" t="str">
            <v>HEAUTOC</v>
          </cell>
          <cell r="C104"/>
          <cell r="D104"/>
          <cell r="E104">
            <v>4010.9544000000001</v>
          </cell>
          <cell r="F104">
            <v>45732.416400000002</v>
          </cell>
          <cell r="G104"/>
          <cell r="H104"/>
          <cell r="I104"/>
          <cell r="J104"/>
          <cell r="K104"/>
          <cell r="L104"/>
          <cell r="M104"/>
          <cell r="N104"/>
          <cell r="O104"/>
          <cell r="P104"/>
          <cell r="Q104"/>
          <cell r="R104"/>
          <cell r="S104"/>
          <cell r="T104"/>
          <cell r="U104"/>
          <cell r="V104"/>
          <cell r="W104"/>
          <cell r="X104"/>
          <cell r="Y104"/>
          <cell r="Z104"/>
          <cell r="AA104"/>
          <cell r="AB104"/>
          <cell r="AC104"/>
          <cell r="AD104">
            <v>17200.211759999998</v>
          </cell>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cell r="BD104"/>
          <cell r="BE104"/>
          <cell r="BF104"/>
          <cell r="BG104"/>
          <cell r="BH104"/>
          <cell r="BI104"/>
          <cell r="BJ104"/>
          <cell r="BK104"/>
          <cell r="BL104"/>
          <cell r="BM104"/>
          <cell r="BN104"/>
          <cell r="BO104"/>
          <cell r="BP104"/>
          <cell r="BQ104"/>
          <cell r="BR104">
            <v>66943.58256000001</v>
          </cell>
          <cell r="BS104"/>
          <cell r="BT104"/>
        </row>
        <row r="105">
          <cell r="B105" t="str">
            <v>HEMAINH</v>
          </cell>
          <cell r="C105"/>
          <cell r="D105"/>
          <cell r="E105">
            <v>14045.87664</v>
          </cell>
          <cell r="F105">
            <v>50258.347199999997</v>
          </cell>
          <cell r="G105">
            <v>19221.5988</v>
          </cell>
          <cell r="H105"/>
          <cell r="I105"/>
          <cell r="J105"/>
          <cell r="K105"/>
          <cell r="L105"/>
          <cell r="M105"/>
          <cell r="N105"/>
          <cell r="O105"/>
          <cell r="P105"/>
          <cell r="Q105"/>
          <cell r="R105"/>
          <cell r="S105"/>
          <cell r="T105"/>
          <cell r="U105"/>
          <cell r="V105"/>
          <cell r="W105"/>
          <cell r="X105"/>
          <cell r="Y105"/>
          <cell r="Z105"/>
          <cell r="AA105"/>
          <cell r="AB105"/>
          <cell r="AC105"/>
          <cell r="AD105">
            <v>83715.065999999992</v>
          </cell>
          <cell r="AE105"/>
          <cell r="AF105"/>
          <cell r="AG105"/>
          <cell r="AH105"/>
          <cell r="AI105"/>
          <cell r="AJ105"/>
          <cell r="AK105"/>
          <cell r="AL105"/>
          <cell r="AM105"/>
          <cell r="AN105"/>
          <cell r="AO105"/>
          <cell r="AP105"/>
          <cell r="AQ105"/>
          <cell r="AR105"/>
          <cell r="AS105"/>
          <cell r="AT105"/>
          <cell r="AU105"/>
          <cell r="AV105">
            <v>10870.188840000001</v>
          </cell>
          <cell r="AW105"/>
          <cell r="AX105"/>
          <cell r="AY105"/>
          <cell r="AZ105"/>
          <cell r="BA105"/>
          <cell r="BB105"/>
          <cell r="BC105"/>
          <cell r="BD105"/>
          <cell r="BE105"/>
          <cell r="BF105"/>
          <cell r="BG105"/>
          <cell r="BH105"/>
          <cell r="BI105"/>
          <cell r="BJ105"/>
          <cell r="BK105"/>
          <cell r="BL105"/>
          <cell r="BM105"/>
          <cell r="BN105"/>
          <cell r="BO105"/>
          <cell r="BP105"/>
          <cell r="BQ105"/>
          <cell r="BR105">
            <v>178111.07747999998</v>
          </cell>
          <cell r="BS105"/>
          <cell r="BT105"/>
        </row>
        <row r="106">
          <cell r="B106" t="str">
            <v>HEAUTOH</v>
          </cell>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cell r="BD106"/>
          <cell r="BE106"/>
          <cell r="BF106"/>
          <cell r="BG106"/>
          <cell r="BH106"/>
          <cell r="BI106"/>
          <cell r="BJ106"/>
          <cell r="BK106"/>
          <cell r="BL106"/>
          <cell r="BM106"/>
          <cell r="BN106"/>
          <cell r="BO106"/>
          <cell r="BP106"/>
          <cell r="BQ106"/>
          <cell r="BR106">
            <v>0</v>
          </cell>
          <cell r="BS106"/>
          <cell r="BT106"/>
        </row>
        <row r="107">
          <cell r="B107" t="str">
            <v>HEATOUT</v>
          </cell>
          <cell r="C107"/>
          <cell r="D107"/>
          <cell r="E107">
            <v>32714.399160000001</v>
          </cell>
          <cell r="F107">
            <v>214493.95079999999</v>
          </cell>
          <cell r="G107">
            <v>19266.81624</v>
          </cell>
          <cell r="H107">
            <v>0</v>
          </cell>
          <cell r="I107">
            <v>0</v>
          </cell>
          <cell r="J107">
            <v>0</v>
          </cell>
          <cell r="K107">
            <v>0</v>
          </cell>
          <cell r="L107">
            <v>0</v>
          </cell>
          <cell r="M107">
            <v>0</v>
          </cell>
          <cell r="N107">
            <v>0</v>
          </cell>
          <cell r="O107">
            <v>0</v>
          </cell>
          <cell r="P107">
            <v>0</v>
          </cell>
          <cell r="Q107">
            <v>0</v>
          </cell>
          <cell r="R107"/>
          <cell r="S107">
            <v>0</v>
          </cell>
          <cell r="T107">
            <v>0</v>
          </cell>
          <cell r="U107">
            <v>0</v>
          </cell>
          <cell r="V107">
            <v>0</v>
          </cell>
          <cell r="W107">
            <v>0</v>
          </cell>
          <cell r="X107"/>
          <cell r="Y107"/>
          <cell r="Z107">
            <v>0</v>
          </cell>
          <cell r="AA107"/>
          <cell r="AB107"/>
          <cell r="AC107"/>
          <cell r="AD107">
            <v>121154.26895999999</v>
          </cell>
          <cell r="AE107"/>
          <cell r="AF107">
            <v>0</v>
          </cell>
          <cell r="AG107">
            <v>0</v>
          </cell>
          <cell r="AH107">
            <v>0</v>
          </cell>
          <cell r="AI107"/>
          <cell r="AJ107">
            <v>0</v>
          </cell>
          <cell r="AK107"/>
          <cell r="AL107"/>
          <cell r="AM107">
            <v>0</v>
          </cell>
          <cell r="AN107"/>
          <cell r="AO107">
            <v>0</v>
          </cell>
          <cell r="AP107"/>
          <cell r="AQ107"/>
          <cell r="AR107"/>
          <cell r="AS107">
            <v>0</v>
          </cell>
          <cell r="AT107">
            <v>0</v>
          </cell>
          <cell r="AU107">
            <v>0</v>
          </cell>
          <cell r="AV107">
            <v>11030.124600000001</v>
          </cell>
          <cell r="AW107">
            <v>0</v>
          </cell>
          <cell r="AX107">
            <v>0</v>
          </cell>
          <cell r="AY107"/>
          <cell r="AZ107"/>
          <cell r="BA107">
            <v>0</v>
          </cell>
          <cell r="BB107"/>
          <cell r="BC107">
            <v>0</v>
          </cell>
          <cell r="BD107">
            <v>0</v>
          </cell>
          <cell r="BE107">
            <v>0</v>
          </cell>
          <cell r="BF107"/>
          <cell r="BG107">
            <v>0</v>
          </cell>
          <cell r="BH107"/>
          <cell r="BI107">
            <v>0</v>
          </cell>
          <cell r="BJ107"/>
          <cell r="BK107"/>
          <cell r="BL107">
            <v>0</v>
          </cell>
          <cell r="BM107">
            <v>0</v>
          </cell>
          <cell r="BN107">
            <v>0</v>
          </cell>
          <cell r="BO107">
            <v>0</v>
          </cell>
          <cell r="BP107"/>
          <cell r="BQ107"/>
          <cell r="BR107">
            <v>398659.55975999997</v>
          </cell>
          <cell r="BS107"/>
          <cell r="BT107"/>
        </row>
        <row r="108">
          <cell r="B108" t="str">
            <v>MHYDPUMP</v>
          </cell>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F108"/>
          <cell r="BG108"/>
          <cell r="BH108"/>
          <cell r="BI108"/>
          <cell r="BJ108"/>
          <cell r="BK108"/>
          <cell r="BL108"/>
          <cell r="BM108"/>
          <cell r="BN108"/>
          <cell r="BO108"/>
          <cell r="BP108"/>
          <cell r="BQ108"/>
          <cell r="BR108"/>
          <cell r="BS108"/>
          <cell r="BT108"/>
        </row>
        <row r="109">
          <cell r="B109" t="str">
            <v>AHYDPUMP</v>
          </cell>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F109"/>
          <cell r="BG109"/>
          <cell r="BH109"/>
          <cell r="BI109"/>
          <cell r="BJ109"/>
          <cell r="BK109"/>
          <cell r="BL109"/>
          <cell r="BM109"/>
          <cell r="BN109"/>
          <cell r="BO109"/>
          <cell r="BP109"/>
          <cell r="BQ109"/>
          <cell r="BR109"/>
          <cell r="BS109"/>
          <cell r="BT109"/>
        </row>
        <row r="110">
          <cell r="B110" t="str">
            <v>VENTED</v>
          </cell>
          <cell r="C110"/>
          <cell r="D110"/>
          <cell r="E110"/>
          <cell r="F110"/>
          <cell r="G110"/>
          <cell r="H110"/>
          <cell r="I110"/>
          <cell r="J110"/>
          <cell r="K110"/>
          <cell r="L110"/>
          <cell r="M110"/>
          <cell r="N110"/>
          <cell r="O110"/>
          <cell r="P110"/>
          <cell r="Q110"/>
          <cell r="R110"/>
          <cell r="S110"/>
          <cell r="T110"/>
          <cell r="U110"/>
          <cell r="V110"/>
          <cell r="W110"/>
          <cell r="X110"/>
          <cell r="Y110"/>
          <cell r="Z110"/>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cell r="AZ110"/>
          <cell r="BA110"/>
          <cell r="BB110"/>
          <cell r="BC110"/>
          <cell r="BD110"/>
          <cell r="BE110"/>
          <cell r="BF110"/>
          <cell r="BG110"/>
          <cell r="BH110"/>
          <cell r="BI110"/>
          <cell r="BJ110"/>
          <cell r="BK110"/>
          <cell r="BL110"/>
          <cell r="BM110"/>
          <cell r="BN110"/>
          <cell r="BO110"/>
          <cell r="BP110"/>
          <cell r="BQ110"/>
          <cell r="BR110"/>
          <cell r="BS110"/>
          <cell r="BT110"/>
        </row>
        <row r="111">
          <cell r="B111" t="str">
            <v>FLARED</v>
          </cell>
          <cell r="C111"/>
          <cell r="D111"/>
          <cell r="E111"/>
          <cell r="F111"/>
          <cell r="G111"/>
          <cell r="H111"/>
          <cell r="I111"/>
          <cell r="J111"/>
          <cell r="K111"/>
          <cell r="L111"/>
          <cell r="M111"/>
          <cell r="N111"/>
          <cell r="O111"/>
          <cell r="P111"/>
          <cell r="Q111"/>
          <cell r="R111"/>
          <cell r="S111"/>
          <cell r="T111"/>
          <cell r="U111"/>
          <cell r="V111"/>
          <cell r="W111"/>
          <cell r="X111"/>
          <cell r="Y111"/>
          <cell r="Z111"/>
          <cell r="AA111"/>
          <cell r="AB111"/>
          <cell r="AC111"/>
          <cell r="AD111"/>
          <cell r="AE111">
            <v>922</v>
          </cell>
          <cell r="AF111"/>
          <cell r="AG111"/>
          <cell r="AH111"/>
          <cell r="AI111"/>
          <cell r="AJ111"/>
          <cell r="AK111"/>
          <cell r="AL111"/>
          <cell r="AM111"/>
          <cell r="AN111"/>
          <cell r="AO111"/>
          <cell r="AP111"/>
          <cell r="AQ111"/>
          <cell r="AR111"/>
          <cell r="AS111"/>
          <cell r="AT111"/>
          <cell r="AU111"/>
          <cell r="AV111"/>
          <cell r="AW111"/>
          <cell r="AX111"/>
          <cell r="AY111"/>
          <cell r="AZ111"/>
          <cell r="BA111"/>
          <cell r="BB111"/>
          <cell r="BC111"/>
          <cell r="BD111"/>
          <cell r="BE111"/>
          <cell r="BF111"/>
          <cell r="BG111"/>
          <cell r="BH111"/>
          <cell r="BI111"/>
          <cell r="BJ111"/>
          <cell r="BK111"/>
          <cell r="BL111"/>
          <cell r="BM111"/>
          <cell r="BN111"/>
          <cell r="BO111"/>
          <cell r="BP111"/>
          <cell r="BQ111"/>
          <cell r="BR111"/>
          <cell r="BS111"/>
          <cell r="BT111"/>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130"/>
  <sheetViews>
    <sheetView zoomScale="55" zoomScaleNormal="55" workbookViewId="0">
      <selection sqref="A1:XFD1048576"/>
    </sheetView>
  </sheetViews>
  <sheetFormatPr defaultRowHeight="17.25" customHeight="1" x14ac:dyDescent="0.25"/>
  <cols>
    <col min="1" max="1" width="5.88671875" style="32" customWidth="1"/>
    <col min="2" max="2" width="25.109375" style="32" bestFit="1" customWidth="1"/>
    <col min="3" max="3" width="33.6640625" style="32" customWidth="1"/>
    <col min="4" max="4" width="28.44140625" style="32" customWidth="1"/>
    <col min="5" max="5" width="22.6640625" style="32" customWidth="1"/>
    <col min="6" max="6" width="28" style="32" customWidth="1"/>
    <col min="7" max="7" width="32.33203125" style="32" bestFit="1" customWidth="1"/>
    <col min="8" max="9" width="27.44140625" style="32" bestFit="1" customWidth="1"/>
    <col min="10" max="10" width="27.6640625" style="32" bestFit="1" customWidth="1"/>
    <col min="11" max="11" width="23" style="32" bestFit="1" customWidth="1"/>
    <col min="12" max="12" width="30" style="32" bestFit="1" customWidth="1"/>
    <col min="13" max="13" width="7.44140625" style="36" customWidth="1"/>
    <col min="14" max="14" width="12.109375" style="32" customWidth="1"/>
    <col min="15" max="15" width="17.88671875" style="32" customWidth="1"/>
    <col min="16" max="16" width="14.33203125" style="32" bestFit="1" customWidth="1"/>
    <col min="17" max="17" width="24.33203125" style="32" bestFit="1" customWidth="1"/>
    <col min="18" max="18" width="34.33203125" style="32" customWidth="1"/>
    <col min="19" max="19" width="15.44140625" style="32" bestFit="1" customWidth="1"/>
    <col min="20" max="20" width="14.88671875" style="32" customWidth="1"/>
    <col min="21" max="21" width="9.109375" style="32"/>
    <col min="22" max="22" width="25.6640625" style="32" customWidth="1"/>
    <col min="23" max="249" width="9.109375" style="32"/>
    <col min="250" max="250" width="5.88671875" style="32" customWidth="1"/>
    <col min="251" max="251" width="18.5546875" style="32" customWidth="1"/>
    <col min="252" max="252" width="39.44140625" style="32" customWidth="1"/>
    <col min="253" max="253" width="88.109375" style="32" bestFit="1" customWidth="1"/>
    <col min="254" max="254" width="28.44140625" style="32" customWidth="1"/>
    <col min="255" max="255" width="22.6640625" style="32" customWidth="1"/>
    <col min="256" max="256" width="28" style="32" customWidth="1"/>
    <col min="257" max="257" width="32.33203125" style="32" bestFit="1" customWidth="1"/>
    <col min="258" max="258" width="27.44140625" style="32" bestFit="1" customWidth="1"/>
    <col min="259" max="259" width="23" style="32" bestFit="1" customWidth="1"/>
    <col min="260" max="260" width="27.6640625" style="32" bestFit="1" customWidth="1"/>
    <col min="261" max="261" width="23" style="32" bestFit="1" customWidth="1"/>
    <col min="262" max="262" width="26" style="32" customWidth="1"/>
    <col min="263" max="263" width="22.44140625" style="32" bestFit="1" customWidth="1"/>
    <col min="264" max="264" width="22" style="32" bestFit="1" customWidth="1"/>
    <col min="265" max="266" width="12.109375" style="32" customWidth="1"/>
    <col min="267" max="267" width="28.6640625" style="32" customWidth="1"/>
    <col min="268" max="268" width="13" style="32" bestFit="1" customWidth="1"/>
    <col min="269" max="269" width="36.88671875" style="32" customWidth="1"/>
    <col min="270" max="270" width="76.88671875" style="32" bestFit="1" customWidth="1"/>
    <col min="271" max="271" width="6.88671875" style="32" bestFit="1" customWidth="1"/>
    <col min="272" max="272" width="24.33203125" style="32" bestFit="1" customWidth="1"/>
    <col min="273" max="273" width="14.44140625" style="32" bestFit="1" customWidth="1"/>
    <col min="274" max="274" width="15.44140625" style="32" bestFit="1" customWidth="1"/>
    <col min="275" max="275" width="18.88671875" style="32" bestFit="1" customWidth="1"/>
    <col min="276" max="276" width="9.109375" style="32"/>
    <col min="277" max="277" width="38.5546875" style="32" bestFit="1" customWidth="1"/>
    <col min="278" max="505" width="9.109375" style="32"/>
    <col min="506" max="506" width="5.88671875" style="32" customWidth="1"/>
    <col min="507" max="507" width="18.5546875" style="32" customWidth="1"/>
    <col min="508" max="508" width="39.44140625" style="32" customWidth="1"/>
    <col min="509" max="509" width="88.109375" style="32" bestFit="1" customWidth="1"/>
    <col min="510" max="510" width="28.44140625" style="32" customWidth="1"/>
    <col min="511" max="511" width="22.6640625" style="32" customWidth="1"/>
    <col min="512" max="512" width="28" style="32" customWidth="1"/>
    <col min="513" max="513" width="32.33203125" style="32" bestFit="1" customWidth="1"/>
    <col min="514" max="514" width="27.44140625" style="32" bestFit="1" customWidth="1"/>
    <col min="515" max="515" width="23" style="32" bestFit="1" customWidth="1"/>
    <col min="516" max="516" width="27.6640625" style="32" bestFit="1" customWidth="1"/>
    <col min="517" max="517" width="23" style="32" bestFit="1" customWidth="1"/>
    <col min="518" max="518" width="26" style="32" customWidth="1"/>
    <col min="519" max="519" width="22.44140625" style="32" bestFit="1" customWidth="1"/>
    <col min="520" max="520" width="22" style="32" bestFit="1" customWidth="1"/>
    <col min="521" max="522" width="12.109375" style="32" customWidth="1"/>
    <col min="523" max="523" width="28.6640625" style="32" customWidth="1"/>
    <col min="524" max="524" width="13" style="32" bestFit="1" customWidth="1"/>
    <col min="525" max="525" width="36.88671875" style="32" customWidth="1"/>
    <col min="526" max="526" width="76.88671875" style="32" bestFit="1" customWidth="1"/>
    <col min="527" max="527" width="6.88671875" style="32" bestFit="1" customWidth="1"/>
    <col min="528" max="528" width="24.33203125" style="32" bestFit="1" customWidth="1"/>
    <col min="529" max="529" width="14.44140625" style="32" bestFit="1" customWidth="1"/>
    <col min="530" max="530" width="15.44140625" style="32" bestFit="1" customWidth="1"/>
    <col min="531" max="531" width="18.88671875" style="32" bestFit="1" customWidth="1"/>
    <col min="532" max="532" width="9.109375" style="32"/>
    <col min="533" max="533" width="38.5546875" style="32" bestFit="1" customWidth="1"/>
    <col min="534" max="761" width="9.109375" style="32"/>
    <col min="762" max="762" width="5.88671875" style="32" customWidth="1"/>
    <col min="763" max="763" width="18.5546875" style="32" customWidth="1"/>
    <col min="764" max="764" width="39.44140625" style="32" customWidth="1"/>
    <col min="765" max="765" width="88.109375" style="32" bestFit="1" customWidth="1"/>
    <col min="766" max="766" width="28.44140625" style="32" customWidth="1"/>
    <col min="767" max="767" width="22.6640625" style="32" customWidth="1"/>
    <col min="768" max="768" width="28" style="32" customWidth="1"/>
    <col min="769" max="769" width="32.33203125" style="32" bestFit="1" customWidth="1"/>
    <col min="770" max="770" width="27.44140625" style="32" bestFit="1" customWidth="1"/>
    <col min="771" max="771" width="23" style="32" bestFit="1" customWidth="1"/>
    <col min="772" max="772" width="27.6640625" style="32" bestFit="1" customWidth="1"/>
    <col min="773" max="773" width="23" style="32" bestFit="1" customWidth="1"/>
    <col min="774" max="774" width="26" style="32" customWidth="1"/>
    <col min="775" max="775" width="22.44140625" style="32" bestFit="1" customWidth="1"/>
    <col min="776" max="776" width="22" style="32" bestFit="1" customWidth="1"/>
    <col min="777" max="778" width="12.109375" style="32" customWidth="1"/>
    <col min="779" max="779" width="28.6640625" style="32" customWidth="1"/>
    <col min="780" max="780" width="13" style="32" bestFit="1" customWidth="1"/>
    <col min="781" max="781" width="36.88671875" style="32" customWidth="1"/>
    <col min="782" max="782" width="76.88671875" style="32" bestFit="1" customWidth="1"/>
    <col min="783" max="783" width="6.88671875" style="32" bestFit="1" customWidth="1"/>
    <col min="784" max="784" width="24.33203125" style="32" bestFit="1" customWidth="1"/>
    <col min="785" max="785" width="14.44140625" style="32" bestFit="1" customWidth="1"/>
    <col min="786" max="786" width="15.44140625" style="32" bestFit="1" customWidth="1"/>
    <col min="787" max="787" width="18.88671875" style="32" bestFit="1" customWidth="1"/>
    <col min="788" max="788" width="9.109375" style="32"/>
    <col min="789" max="789" width="38.5546875" style="32" bestFit="1" customWidth="1"/>
    <col min="790" max="1017" width="9.109375" style="32"/>
    <col min="1018" max="1018" width="5.88671875" style="32" customWidth="1"/>
    <col min="1019" max="1019" width="18.5546875" style="32" customWidth="1"/>
    <col min="1020" max="1020" width="39.44140625" style="32" customWidth="1"/>
    <col min="1021" max="1021" width="88.109375" style="32" bestFit="1" customWidth="1"/>
    <col min="1022" max="1022" width="28.44140625" style="32" customWidth="1"/>
    <col min="1023" max="1023" width="22.6640625" style="32" customWidth="1"/>
    <col min="1024" max="1024" width="28" style="32" customWidth="1"/>
    <col min="1025" max="1025" width="32.33203125" style="32" bestFit="1" customWidth="1"/>
    <col min="1026" max="1026" width="27.44140625" style="32" bestFit="1" customWidth="1"/>
    <col min="1027" max="1027" width="23" style="32" bestFit="1" customWidth="1"/>
    <col min="1028" max="1028" width="27.6640625" style="32" bestFit="1" customWidth="1"/>
    <col min="1029" max="1029" width="23" style="32" bestFit="1" customWidth="1"/>
    <col min="1030" max="1030" width="26" style="32" customWidth="1"/>
    <col min="1031" max="1031" width="22.44140625" style="32" bestFit="1" customWidth="1"/>
    <col min="1032" max="1032" width="22" style="32" bestFit="1" customWidth="1"/>
    <col min="1033" max="1034" width="12.109375" style="32" customWidth="1"/>
    <col min="1035" max="1035" width="28.6640625" style="32" customWidth="1"/>
    <col min="1036" max="1036" width="13" style="32" bestFit="1" customWidth="1"/>
    <col min="1037" max="1037" width="36.88671875" style="32" customWidth="1"/>
    <col min="1038" max="1038" width="76.88671875" style="32" bestFit="1" customWidth="1"/>
    <col min="1039" max="1039" width="6.88671875" style="32" bestFit="1" customWidth="1"/>
    <col min="1040" max="1040" width="24.33203125" style="32" bestFit="1" customWidth="1"/>
    <col min="1041" max="1041" width="14.44140625" style="32" bestFit="1" customWidth="1"/>
    <col min="1042" max="1042" width="15.44140625" style="32" bestFit="1" customWidth="1"/>
    <col min="1043" max="1043" width="18.88671875" style="32" bestFit="1" customWidth="1"/>
    <col min="1044" max="1044" width="9.109375" style="32"/>
    <col min="1045" max="1045" width="38.5546875" style="32" bestFit="1" customWidth="1"/>
    <col min="1046" max="1273" width="9.109375" style="32"/>
    <col min="1274" max="1274" width="5.88671875" style="32" customWidth="1"/>
    <col min="1275" max="1275" width="18.5546875" style="32" customWidth="1"/>
    <col min="1276" max="1276" width="39.44140625" style="32" customWidth="1"/>
    <col min="1277" max="1277" width="88.109375" style="32" bestFit="1" customWidth="1"/>
    <col min="1278" max="1278" width="28.44140625" style="32" customWidth="1"/>
    <col min="1279" max="1279" width="22.6640625" style="32" customWidth="1"/>
    <col min="1280" max="1280" width="28" style="32" customWidth="1"/>
    <col min="1281" max="1281" width="32.33203125" style="32" bestFit="1" customWidth="1"/>
    <col min="1282" max="1282" width="27.44140625" style="32" bestFit="1" customWidth="1"/>
    <col min="1283" max="1283" width="23" style="32" bestFit="1" customWidth="1"/>
    <col min="1284" max="1284" width="27.6640625" style="32" bestFit="1" customWidth="1"/>
    <col min="1285" max="1285" width="23" style="32" bestFit="1" customWidth="1"/>
    <col min="1286" max="1286" width="26" style="32" customWidth="1"/>
    <col min="1287" max="1287" width="22.44140625" style="32" bestFit="1" customWidth="1"/>
    <col min="1288" max="1288" width="22" style="32" bestFit="1" customWidth="1"/>
    <col min="1289" max="1290" width="12.109375" style="32" customWidth="1"/>
    <col min="1291" max="1291" width="28.6640625" style="32" customWidth="1"/>
    <col min="1292" max="1292" width="13" style="32" bestFit="1" customWidth="1"/>
    <col min="1293" max="1293" width="36.88671875" style="32" customWidth="1"/>
    <col min="1294" max="1294" width="76.88671875" style="32" bestFit="1" customWidth="1"/>
    <col min="1295" max="1295" width="6.88671875" style="32" bestFit="1" customWidth="1"/>
    <col min="1296" max="1296" width="24.33203125" style="32" bestFit="1" customWidth="1"/>
    <col min="1297" max="1297" width="14.44140625" style="32" bestFit="1" customWidth="1"/>
    <col min="1298" max="1298" width="15.44140625" style="32" bestFit="1" customWidth="1"/>
    <col min="1299" max="1299" width="18.88671875" style="32" bestFit="1" customWidth="1"/>
    <col min="1300" max="1300" width="9.109375" style="32"/>
    <col min="1301" max="1301" width="38.5546875" style="32" bestFit="1" customWidth="1"/>
    <col min="1302" max="1529" width="9.109375" style="32"/>
    <col min="1530" max="1530" width="5.88671875" style="32" customWidth="1"/>
    <col min="1531" max="1531" width="18.5546875" style="32" customWidth="1"/>
    <col min="1532" max="1532" width="39.44140625" style="32" customWidth="1"/>
    <col min="1533" max="1533" width="88.109375" style="32" bestFit="1" customWidth="1"/>
    <col min="1534" max="1534" width="28.44140625" style="32" customWidth="1"/>
    <col min="1535" max="1535" width="22.6640625" style="32" customWidth="1"/>
    <col min="1536" max="1536" width="28" style="32" customWidth="1"/>
    <col min="1537" max="1537" width="32.33203125" style="32" bestFit="1" customWidth="1"/>
    <col min="1538" max="1538" width="27.44140625" style="32" bestFit="1" customWidth="1"/>
    <col min="1539" max="1539" width="23" style="32" bestFit="1" customWidth="1"/>
    <col min="1540" max="1540" width="27.6640625" style="32" bestFit="1" customWidth="1"/>
    <col min="1541" max="1541" width="23" style="32" bestFit="1" customWidth="1"/>
    <col min="1542" max="1542" width="26" style="32" customWidth="1"/>
    <col min="1543" max="1543" width="22.44140625" style="32" bestFit="1" customWidth="1"/>
    <col min="1544" max="1544" width="22" style="32" bestFit="1" customWidth="1"/>
    <col min="1545" max="1546" width="12.109375" style="32" customWidth="1"/>
    <col min="1547" max="1547" width="28.6640625" style="32" customWidth="1"/>
    <col min="1548" max="1548" width="13" style="32" bestFit="1" customWidth="1"/>
    <col min="1549" max="1549" width="36.88671875" style="32" customWidth="1"/>
    <col min="1550" max="1550" width="76.88671875" style="32" bestFit="1" customWidth="1"/>
    <col min="1551" max="1551" width="6.88671875" style="32" bestFit="1" customWidth="1"/>
    <col min="1552" max="1552" width="24.33203125" style="32" bestFit="1" customWidth="1"/>
    <col min="1553" max="1553" width="14.44140625" style="32" bestFit="1" customWidth="1"/>
    <col min="1554" max="1554" width="15.44140625" style="32" bestFit="1" customWidth="1"/>
    <col min="1555" max="1555" width="18.88671875" style="32" bestFit="1" customWidth="1"/>
    <col min="1556" max="1556" width="9.109375" style="32"/>
    <col min="1557" max="1557" width="38.5546875" style="32" bestFit="1" customWidth="1"/>
    <col min="1558" max="1785" width="9.109375" style="32"/>
    <col min="1786" max="1786" width="5.88671875" style="32" customWidth="1"/>
    <col min="1787" max="1787" width="18.5546875" style="32" customWidth="1"/>
    <col min="1788" max="1788" width="39.44140625" style="32" customWidth="1"/>
    <col min="1789" max="1789" width="88.109375" style="32" bestFit="1" customWidth="1"/>
    <col min="1790" max="1790" width="28.44140625" style="32" customWidth="1"/>
    <col min="1791" max="1791" width="22.6640625" style="32" customWidth="1"/>
    <col min="1792" max="1792" width="28" style="32" customWidth="1"/>
    <col min="1793" max="1793" width="32.33203125" style="32" bestFit="1" customWidth="1"/>
    <col min="1794" max="1794" width="27.44140625" style="32" bestFit="1" customWidth="1"/>
    <col min="1795" max="1795" width="23" style="32" bestFit="1" customWidth="1"/>
    <col min="1796" max="1796" width="27.6640625" style="32" bestFit="1" customWidth="1"/>
    <col min="1797" max="1797" width="23" style="32" bestFit="1" customWidth="1"/>
    <col min="1798" max="1798" width="26" style="32" customWidth="1"/>
    <col min="1799" max="1799" width="22.44140625" style="32" bestFit="1" customWidth="1"/>
    <col min="1800" max="1800" width="22" style="32" bestFit="1" customWidth="1"/>
    <col min="1801" max="1802" width="12.109375" style="32" customWidth="1"/>
    <col min="1803" max="1803" width="28.6640625" style="32" customWidth="1"/>
    <col min="1804" max="1804" width="13" style="32" bestFit="1" customWidth="1"/>
    <col min="1805" max="1805" width="36.88671875" style="32" customWidth="1"/>
    <col min="1806" max="1806" width="76.88671875" style="32" bestFit="1" customWidth="1"/>
    <col min="1807" max="1807" width="6.88671875" style="32" bestFit="1" customWidth="1"/>
    <col min="1808" max="1808" width="24.33203125" style="32" bestFit="1" customWidth="1"/>
    <col min="1809" max="1809" width="14.44140625" style="32" bestFit="1" customWidth="1"/>
    <col min="1810" max="1810" width="15.44140625" style="32" bestFit="1" customWidth="1"/>
    <col min="1811" max="1811" width="18.88671875" style="32" bestFit="1" customWidth="1"/>
    <col min="1812" max="1812" width="9.109375" style="32"/>
    <col min="1813" max="1813" width="38.5546875" style="32" bestFit="1" customWidth="1"/>
    <col min="1814" max="2041" width="9.109375" style="32"/>
    <col min="2042" max="2042" width="5.88671875" style="32" customWidth="1"/>
    <col min="2043" max="2043" width="18.5546875" style="32" customWidth="1"/>
    <col min="2044" max="2044" width="39.44140625" style="32" customWidth="1"/>
    <col min="2045" max="2045" width="88.109375" style="32" bestFit="1" customWidth="1"/>
    <col min="2046" max="2046" width="28.44140625" style="32" customWidth="1"/>
    <col min="2047" max="2047" width="22.6640625" style="32" customWidth="1"/>
    <col min="2048" max="2048" width="28" style="32" customWidth="1"/>
    <col min="2049" max="2049" width="32.33203125" style="32" bestFit="1" customWidth="1"/>
    <col min="2050" max="2050" width="27.44140625" style="32" bestFit="1" customWidth="1"/>
    <col min="2051" max="2051" width="23" style="32" bestFit="1" customWidth="1"/>
    <col min="2052" max="2052" width="27.6640625" style="32" bestFit="1" customWidth="1"/>
    <col min="2053" max="2053" width="23" style="32" bestFit="1" customWidth="1"/>
    <col min="2054" max="2054" width="26" style="32" customWidth="1"/>
    <col min="2055" max="2055" width="22.44140625" style="32" bestFit="1" customWidth="1"/>
    <col min="2056" max="2056" width="22" style="32" bestFit="1" customWidth="1"/>
    <col min="2057" max="2058" width="12.109375" style="32" customWidth="1"/>
    <col min="2059" max="2059" width="28.6640625" style="32" customWidth="1"/>
    <col min="2060" max="2060" width="13" style="32" bestFit="1" customWidth="1"/>
    <col min="2061" max="2061" width="36.88671875" style="32" customWidth="1"/>
    <col min="2062" max="2062" width="76.88671875" style="32" bestFit="1" customWidth="1"/>
    <col min="2063" max="2063" width="6.88671875" style="32" bestFit="1" customWidth="1"/>
    <col min="2064" max="2064" width="24.33203125" style="32" bestFit="1" customWidth="1"/>
    <col min="2065" max="2065" width="14.44140625" style="32" bestFit="1" customWidth="1"/>
    <col min="2066" max="2066" width="15.44140625" style="32" bestFit="1" customWidth="1"/>
    <col min="2067" max="2067" width="18.88671875" style="32" bestFit="1" customWidth="1"/>
    <col min="2068" max="2068" width="9.109375" style="32"/>
    <col min="2069" max="2069" width="38.5546875" style="32" bestFit="1" customWidth="1"/>
    <col min="2070" max="2297" width="9.109375" style="32"/>
    <col min="2298" max="2298" width="5.88671875" style="32" customWidth="1"/>
    <col min="2299" max="2299" width="18.5546875" style="32" customWidth="1"/>
    <col min="2300" max="2300" width="39.44140625" style="32" customWidth="1"/>
    <col min="2301" max="2301" width="88.109375" style="32" bestFit="1" customWidth="1"/>
    <col min="2302" max="2302" width="28.44140625" style="32" customWidth="1"/>
    <col min="2303" max="2303" width="22.6640625" style="32" customWidth="1"/>
    <col min="2304" max="2304" width="28" style="32" customWidth="1"/>
    <col min="2305" max="2305" width="32.33203125" style="32" bestFit="1" customWidth="1"/>
    <col min="2306" max="2306" width="27.44140625" style="32" bestFit="1" customWidth="1"/>
    <col min="2307" max="2307" width="23" style="32" bestFit="1" customWidth="1"/>
    <col min="2308" max="2308" width="27.6640625" style="32" bestFit="1" customWidth="1"/>
    <col min="2309" max="2309" width="23" style="32" bestFit="1" customWidth="1"/>
    <col min="2310" max="2310" width="26" style="32" customWidth="1"/>
    <col min="2311" max="2311" width="22.44140625" style="32" bestFit="1" customWidth="1"/>
    <col min="2312" max="2312" width="22" style="32" bestFit="1" customWidth="1"/>
    <col min="2313" max="2314" width="12.109375" style="32" customWidth="1"/>
    <col min="2315" max="2315" width="28.6640625" style="32" customWidth="1"/>
    <col min="2316" max="2316" width="13" style="32" bestFit="1" customWidth="1"/>
    <col min="2317" max="2317" width="36.88671875" style="32" customWidth="1"/>
    <col min="2318" max="2318" width="76.88671875" style="32" bestFit="1" customWidth="1"/>
    <col min="2319" max="2319" width="6.88671875" style="32" bestFit="1" customWidth="1"/>
    <col min="2320" max="2320" width="24.33203125" style="32" bestFit="1" customWidth="1"/>
    <col min="2321" max="2321" width="14.44140625" style="32" bestFit="1" customWidth="1"/>
    <col min="2322" max="2322" width="15.44140625" style="32" bestFit="1" customWidth="1"/>
    <col min="2323" max="2323" width="18.88671875" style="32" bestFit="1" customWidth="1"/>
    <col min="2324" max="2324" width="9.109375" style="32"/>
    <col min="2325" max="2325" width="38.5546875" style="32" bestFit="1" customWidth="1"/>
    <col min="2326" max="2553" width="9.109375" style="32"/>
    <col min="2554" max="2554" width="5.88671875" style="32" customWidth="1"/>
    <col min="2555" max="2555" width="18.5546875" style="32" customWidth="1"/>
    <col min="2556" max="2556" width="39.44140625" style="32" customWidth="1"/>
    <col min="2557" max="2557" width="88.109375" style="32" bestFit="1" customWidth="1"/>
    <col min="2558" max="2558" width="28.44140625" style="32" customWidth="1"/>
    <col min="2559" max="2559" width="22.6640625" style="32" customWidth="1"/>
    <col min="2560" max="2560" width="28" style="32" customWidth="1"/>
    <col min="2561" max="2561" width="32.33203125" style="32" bestFit="1" customWidth="1"/>
    <col min="2562" max="2562" width="27.44140625" style="32" bestFit="1" customWidth="1"/>
    <col min="2563" max="2563" width="23" style="32" bestFit="1" customWidth="1"/>
    <col min="2564" max="2564" width="27.6640625" style="32" bestFit="1" customWidth="1"/>
    <col min="2565" max="2565" width="23" style="32" bestFit="1" customWidth="1"/>
    <col min="2566" max="2566" width="26" style="32" customWidth="1"/>
    <col min="2567" max="2567" width="22.44140625" style="32" bestFit="1" customWidth="1"/>
    <col min="2568" max="2568" width="22" style="32" bestFit="1" customWidth="1"/>
    <col min="2569" max="2570" width="12.109375" style="32" customWidth="1"/>
    <col min="2571" max="2571" width="28.6640625" style="32" customWidth="1"/>
    <col min="2572" max="2572" width="13" style="32" bestFit="1" customWidth="1"/>
    <col min="2573" max="2573" width="36.88671875" style="32" customWidth="1"/>
    <col min="2574" max="2574" width="76.88671875" style="32" bestFit="1" customWidth="1"/>
    <col min="2575" max="2575" width="6.88671875" style="32" bestFit="1" customWidth="1"/>
    <col min="2576" max="2576" width="24.33203125" style="32" bestFit="1" customWidth="1"/>
    <col min="2577" max="2577" width="14.44140625" style="32" bestFit="1" customWidth="1"/>
    <col min="2578" max="2578" width="15.44140625" style="32" bestFit="1" customWidth="1"/>
    <col min="2579" max="2579" width="18.88671875" style="32" bestFit="1" customWidth="1"/>
    <col min="2580" max="2580" width="9.109375" style="32"/>
    <col min="2581" max="2581" width="38.5546875" style="32" bestFit="1" customWidth="1"/>
    <col min="2582" max="2809" width="9.109375" style="32"/>
    <col min="2810" max="2810" width="5.88671875" style="32" customWidth="1"/>
    <col min="2811" max="2811" width="18.5546875" style="32" customWidth="1"/>
    <col min="2812" max="2812" width="39.44140625" style="32" customWidth="1"/>
    <col min="2813" max="2813" width="88.109375" style="32" bestFit="1" customWidth="1"/>
    <col min="2814" max="2814" width="28.44140625" style="32" customWidth="1"/>
    <col min="2815" max="2815" width="22.6640625" style="32" customWidth="1"/>
    <col min="2816" max="2816" width="28" style="32" customWidth="1"/>
    <col min="2817" max="2817" width="32.33203125" style="32" bestFit="1" customWidth="1"/>
    <col min="2818" max="2818" width="27.44140625" style="32" bestFit="1" customWidth="1"/>
    <col min="2819" max="2819" width="23" style="32" bestFit="1" customWidth="1"/>
    <col min="2820" max="2820" width="27.6640625" style="32" bestFit="1" customWidth="1"/>
    <col min="2821" max="2821" width="23" style="32" bestFit="1" customWidth="1"/>
    <col min="2822" max="2822" width="26" style="32" customWidth="1"/>
    <col min="2823" max="2823" width="22.44140625" style="32" bestFit="1" customWidth="1"/>
    <col min="2824" max="2824" width="22" style="32" bestFit="1" customWidth="1"/>
    <col min="2825" max="2826" width="12.109375" style="32" customWidth="1"/>
    <col min="2827" max="2827" width="28.6640625" style="32" customWidth="1"/>
    <col min="2828" max="2828" width="13" style="32" bestFit="1" customWidth="1"/>
    <col min="2829" max="2829" width="36.88671875" style="32" customWidth="1"/>
    <col min="2830" max="2830" width="76.88671875" style="32" bestFit="1" customWidth="1"/>
    <col min="2831" max="2831" width="6.88671875" style="32" bestFit="1" customWidth="1"/>
    <col min="2832" max="2832" width="24.33203125" style="32" bestFit="1" customWidth="1"/>
    <col min="2833" max="2833" width="14.44140625" style="32" bestFit="1" customWidth="1"/>
    <col min="2834" max="2834" width="15.44140625" style="32" bestFit="1" customWidth="1"/>
    <col min="2835" max="2835" width="18.88671875" style="32" bestFit="1" customWidth="1"/>
    <col min="2836" max="2836" width="9.109375" style="32"/>
    <col min="2837" max="2837" width="38.5546875" style="32" bestFit="1" customWidth="1"/>
    <col min="2838" max="3065" width="9.109375" style="32"/>
    <col min="3066" max="3066" width="5.88671875" style="32" customWidth="1"/>
    <col min="3067" max="3067" width="18.5546875" style="32" customWidth="1"/>
    <col min="3068" max="3068" width="39.44140625" style="32" customWidth="1"/>
    <col min="3069" max="3069" width="88.109375" style="32" bestFit="1" customWidth="1"/>
    <col min="3070" max="3070" width="28.44140625" style="32" customWidth="1"/>
    <col min="3071" max="3071" width="22.6640625" style="32" customWidth="1"/>
    <col min="3072" max="3072" width="28" style="32" customWidth="1"/>
    <col min="3073" max="3073" width="32.33203125" style="32" bestFit="1" customWidth="1"/>
    <col min="3074" max="3074" width="27.44140625" style="32" bestFit="1" customWidth="1"/>
    <col min="3075" max="3075" width="23" style="32" bestFit="1" customWidth="1"/>
    <col min="3076" max="3076" width="27.6640625" style="32" bestFit="1" customWidth="1"/>
    <col min="3077" max="3077" width="23" style="32" bestFit="1" customWidth="1"/>
    <col min="3078" max="3078" width="26" style="32" customWidth="1"/>
    <col min="3079" max="3079" width="22.44140625" style="32" bestFit="1" customWidth="1"/>
    <col min="3080" max="3080" width="22" style="32" bestFit="1" customWidth="1"/>
    <col min="3081" max="3082" width="12.109375" style="32" customWidth="1"/>
    <col min="3083" max="3083" width="28.6640625" style="32" customWidth="1"/>
    <col min="3084" max="3084" width="13" style="32" bestFit="1" customWidth="1"/>
    <col min="3085" max="3085" width="36.88671875" style="32" customWidth="1"/>
    <col min="3086" max="3086" width="76.88671875" style="32" bestFit="1" customWidth="1"/>
    <col min="3087" max="3087" width="6.88671875" style="32" bestFit="1" customWidth="1"/>
    <col min="3088" max="3088" width="24.33203125" style="32" bestFit="1" customWidth="1"/>
    <col min="3089" max="3089" width="14.44140625" style="32" bestFit="1" customWidth="1"/>
    <col min="3090" max="3090" width="15.44140625" style="32" bestFit="1" customWidth="1"/>
    <col min="3091" max="3091" width="18.88671875" style="32" bestFit="1" customWidth="1"/>
    <col min="3092" max="3092" width="9.109375" style="32"/>
    <col min="3093" max="3093" width="38.5546875" style="32" bestFit="1" customWidth="1"/>
    <col min="3094" max="3321" width="9.109375" style="32"/>
    <col min="3322" max="3322" width="5.88671875" style="32" customWidth="1"/>
    <col min="3323" max="3323" width="18.5546875" style="32" customWidth="1"/>
    <col min="3324" max="3324" width="39.44140625" style="32" customWidth="1"/>
    <col min="3325" max="3325" width="88.109375" style="32" bestFit="1" customWidth="1"/>
    <col min="3326" max="3326" width="28.44140625" style="32" customWidth="1"/>
    <col min="3327" max="3327" width="22.6640625" style="32" customWidth="1"/>
    <col min="3328" max="3328" width="28" style="32" customWidth="1"/>
    <col min="3329" max="3329" width="32.33203125" style="32" bestFit="1" customWidth="1"/>
    <col min="3330" max="3330" width="27.44140625" style="32" bestFit="1" customWidth="1"/>
    <col min="3331" max="3331" width="23" style="32" bestFit="1" customWidth="1"/>
    <col min="3332" max="3332" width="27.6640625" style="32" bestFit="1" customWidth="1"/>
    <col min="3333" max="3333" width="23" style="32" bestFit="1" customWidth="1"/>
    <col min="3334" max="3334" width="26" style="32" customWidth="1"/>
    <col min="3335" max="3335" width="22.44140625" style="32" bestFit="1" customWidth="1"/>
    <col min="3336" max="3336" width="22" style="32" bestFit="1" customWidth="1"/>
    <col min="3337" max="3338" width="12.109375" style="32" customWidth="1"/>
    <col min="3339" max="3339" width="28.6640625" style="32" customWidth="1"/>
    <col min="3340" max="3340" width="13" style="32" bestFit="1" customWidth="1"/>
    <col min="3341" max="3341" width="36.88671875" style="32" customWidth="1"/>
    <col min="3342" max="3342" width="76.88671875" style="32" bestFit="1" customWidth="1"/>
    <col min="3343" max="3343" width="6.88671875" style="32" bestFit="1" customWidth="1"/>
    <col min="3344" max="3344" width="24.33203125" style="32" bestFit="1" customWidth="1"/>
    <col min="3345" max="3345" width="14.44140625" style="32" bestFit="1" customWidth="1"/>
    <col min="3346" max="3346" width="15.44140625" style="32" bestFit="1" customWidth="1"/>
    <col min="3347" max="3347" width="18.88671875" style="32" bestFit="1" customWidth="1"/>
    <col min="3348" max="3348" width="9.109375" style="32"/>
    <col min="3349" max="3349" width="38.5546875" style="32" bestFit="1" customWidth="1"/>
    <col min="3350" max="3577" width="9.109375" style="32"/>
    <col min="3578" max="3578" width="5.88671875" style="32" customWidth="1"/>
    <col min="3579" max="3579" width="18.5546875" style="32" customWidth="1"/>
    <col min="3580" max="3580" width="39.44140625" style="32" customWidth="1"/>
    <col min="3581" max="3581" width="88.109375" style="32" bestFit="1" customWidth="1"/>
    <col min="3582" max="3582" width="28.44140625" style="32" customWidth="1"/>
    <col min="3583" max="3583" width="22.6640625" style="32" customWidth="1"/>
    <col min="3584" max="3584" width="28" style="32" customWidth="1"/>
    <col min="3585" max="3585" width="32.33203125" style="32" bestFit="1" customWidth="1"/>
    <col min="3586" max="3586" width="27.44140625" style="32" bestFit="1" customWidth="1"/>
    <col min="3587" max="3587" width="23" style="32" bestFit="1" customWidth="1"/>
    <col min="3588" max="3588" width="27.6640625" style="32" bestFit="1" customWidth="1"/>
    <col min="3589" max="3589" width="23" style="32" bestFit="1" customWidth="1"/>
    <col min="3590" max="3590" width="26" style="32" customWidth="1"/>
    <col min="3591" max="3591" width="22.44140625" style="32" bestFit="1" customWidth="1"/>
    <col min="3592" max="3592" width="22" style="32" bestFit="1" customWidth="1"/>
    <col min="3593" max="3594" width="12.109375" style="32" customWidth="1"/>
    <col min="3595" max="3595" width="28.6640625" style="32" customWidth="1"/>
    <col min="3596" max="3596" width="13" style="32" bestFit="1" customWidth="1"/>
    <col min="3597" max="3597" width="36.88671875" style="32" customWidth="1"/>
    <col min="3598" max="3598" width="76.88671875" style="32" bestFit="1" customWidth="1"/>
    <col min="3599" max="3599" width="6.88671875" style="32" bestFit="1" customWidth="1"/>
    <col min="3600" max="3600" width="24.33203125" style="32" bestFit="1" customWidth="1"/>
    <col min="3601" max="3601" width="14.44140625" style="32" bestFit="1" customWidth="1"/>
    <col min="3602" max="3602" width="15.44140625" style="32" bestFit="1" customWidth="1"/>
    <col min="3603" max="3603" width="18.88671875" style="32" bestFit="1" customWidth="1"/>
    <col min="3604" max="3604" width="9.109375" style="32"/>
    <col min="3605" max="3605" width="38.5546875" style="32" bestFit="1" customWidth="1"/>
    <col min="3606" max="3833" width="9.109375" style="32"/>
    <col min="3834" max="3834" width="5.88671875" style="32" customWidth="1"/>
    <col min="3835" max="3835" width="18.5546875" style="32" customWidth="1"/>
    <col min="3836" max="3836" width="39.44140625" style="32" customWidth="1"/>
    <col min="3837" max="3837" width="88.109375" style="32" bestFit="1" customWidth="1"/>
    <col min="3838" max="3838" width="28.44140625" style="32" customWidth="1"/>
    <col min="3839" max="3839" width="22.6640625" style="32" customWidth="1"/>
    <col min="3840" max="3840" width="28" style="32" customWidth="1"/>
    <col min="3841" max="3841" width="32.33203125" style="32" bestFit="1" customWidth="1"/>
    <col min="3842" max="3842" width="27.44140625" style="32" bestFit="1" customWidth="1"/>
    <col min="3843" max="3843" width="23" style="32" bestFit="1" customWidth="1"/>
    <col min="3844" max="3844" width="27.6640625" style="32" bestFit="1" customWidth="1"/>
    <col min="3845" max="3845" width="23" style="32" bestFit="1" customWidth="1"/>
    <col min="3846" max="3846" width="26" style="32" customWidth="1"/>
    <col min="3847" max="3847" width="22.44140625" style="32" bestFit="1" customWidth="1"/>
    <col min="3848" max="3848" width="22" style="32" bestFit="1" customWidth="1"/>
    <col min="3849" max="3850" width="12.109375" style="32" customWidth="1"/>
    <col min="3851" max="3851" width="28.6640625" style="32" customWidth="1"/>
    <col min="3852" max="3852" width="13" style="32" bestFit="1" customWidth="1"/>
    <col min="3853" max="3853" width="36.88671875" style="32" customWidth="1"/>
    <col min="3854" max="3854" width="76.88671875" style="32" bestFit="1" customWidth="1"/>
    <col min="3855" max="3855" width="6.88671875" style="32" bestFit="1" customWidth="1"/>
    <col min="3856" max="3856" width="24.33203125" style="32" bestFit="1" customWidth="1"/>
    <col min="3857" max="3857" width="14.44140625" style="32" bestFit="1" customWidth="1"/>
    <col min="3858" max="3858" width="15.44140625" style="32" bestFit="1" customWidth="1"/>
    <col min="3859" max="3859" width="18.88671875" style="32" bestFit="1" customWidth="1"/>
    <col min="3860" max="3860" width="9.109375" style="32"/>
    <col min="3861" max="3861" width="38.5546875" style="32" bestFit="1" customWidth="1"/>
    <col min="3862" max="4089" width="9.109375" style="32"/>
    <col min="4090" max="4090" width="5.88671875" style="32" customWidth="1"/>
    <col min="4091" max="4091" width="18.5546875" style="32" customWidth="1"/>
    <col min="4092" max="4092" width="39.44140625" style="32" customWidth="1"/>
    <col min="4093" max="4093" width="88.109375" style="32" bestFit="1" customWidth="1"/>
    <col min="4094" max="4094" width="28.44140625" style="32" customWidth="1"/>
    <col min="4095" max="4095" width="22.6640625" style="32" customWidth="1"/>
    <col min="4096" max="4096" width="28" style="32" customWidth="1"/>
    <col min="4097" max="4097" width="32.33203125" style="32" bestFit="1" customWidth="1"/>
    <col min="4098" max="4098" width="27.44140625" style="32" bestFit="1" customWidth="1"/>
    <col min="4099" max="4099" width="23" style="32" bestFit="1" customWidth="1"/>
    <col min="4100" max="4100" width="27.6640625" style="32" bestFit="1" customWidth="1"/>
    <col min="4101" max="4101" width="23" style="32" bestFit="1" customWidth="1"/>
    <col min="4102" max="4102" width="26" style="32" customWidth="1"/>
    <col min="4103" max="4103" width="22.44140625" style="32" bestFit="1" customWidth="1"/>
    <col min="4104" max="4104" width="22" style="32" bestFit="1" customWidth="1"/>
    <col min="4105" max="4106" width="12.109375" style="32" customWidth="1"/>
    <col min="4107" max="4107" width="28.6640625" style="32" customWidth="1"/>
    <col min="4108" max="4108" width="13" style="32" bestFit="1" customWidth="1"/>
    <col min="4109" max="4109" width="36.88671875" style="32" customWidth="1"/>
    <col min="4110" max="4110" width="76.88671875" style="32" bestFit="1" customWidth="1"/>
    <col min="4111" max="4111" width="6.88671875" style="32" bestFit="1" customWidth="1"/>
    <col min="4112" max="4112" width="24.33203125" style="32" bestFit="1" customWidth="1"/>
    <col min="4113" max="4113" width="14.44140625" style="32" bestFit="1" customWidth="1"/>
    <col min="4114" max="4114" width="15.44140625" style="32" bestFit="1" customWidth="1"/>
    <col min="4115" max="4115" width="18.88671875" style="32" bestFit="1" customWidth="1"/>
    <col min="4116" max="4116" width="9.109375" style="32"/>
    <col min="4117" max="4117" width="38.5546875" style="32" bestFit="1" customWidth="1"/>
    <col min="4118" max="4345" width="9.109375" style="32"/>
    <col min="4346" max="4346" width="5.88671875" style="32" customWidth="1"/>
    <col min="4347" max="4347" width="18.5546875" style="32" customWidth="1"/>
    <col min="4348" max="4348" width="39.44140625" style="32" customWidth="1"/>
    <col min="4349" max="4349" width="88.109375" style="32" bestFit="1" customWidth="1"/>
    <col min="4350" max="4350" width="28.44140625" style="32" customWidth="1"/>
    <col min="4351" max="4351" width="22.6640625" style="32" customWidth="1"/>
    <col min="4352" max="4352" width="28" style="32" customWidth="1"/>
    <col min="4353" max="4353" width="32.33203125" style="32" bestFit="1" customWidth="1"/>
    <col min="4354" max="4354" width="27.44140625" style="32" bestFit="1" customWidth="1"/>
    <col min="4355" max="4355" width="23" style="32" bestFit="1" customWidth="1"/>
    <col min="4356" max="4356" width="27.6640625" style="32" bestFit="1" customWidth="1"/>
    <col min="4357" max="4357" width="23" style="32" bestFit="1" customWidth="1"/>
    <col min="4358" max="4358" width="26" style="32" customWidth="1"/>
    <col min="4359" max="4359" width="22.44140625" style="32" bestFit="1" customWidth="1"/>
    <col min="4360" max="4360" width="22" style="32" bestFit="1" customWidth="1"/>
    <col min="4361" max="4362" width="12.109375" style="32" customWidth="1"/>
    <col min="4363" max="4363" width="28.6640625" style="32" customWidth="1"/>
    <col min="4364" max="4364" width="13" style="32" bestFit="1" customWidth="1"/>
    <col min="4365" max="4365" width="36.88671875" style="32" customWidth="1"/>
    <col min="4366" max="4366" width="76.88671875" style="32" bestFit="1" customWidth="1"/>
    <col min="4367" max="4367" width="6.88671875" style="32" bestFit="1" customWidth="1"/>
    <col min="4368" max="4368" width="24.33203125" style="32" bestFit="1" customWidth="1"/>
    <col min="4369" max="4369" width="14.44140625" style="32" bestFit="1" customWidth="1"/>
    <col min="4370" max="4370" width="15.44140625" style="32" bestFit="1" customWidth="1"/>
    <col min="4371" max="4371" width="18.88671875" style="32" bestFit="1" customWidth="1"/>
    <col min="4372" max="4372" width="9.109375" style="32"/>
    <col min="4373" max="4373" width="38.5546875" style="32" bestFit="1" customWidth="1"/>
    <col min="4374" max="4601" width="9.109375" style="32"/>
    <col min="4602" max="4602" width="5.88671875" style="32" customWidth="1"/>
    <col min="4603" max="4603" width="18.5546875" style="32" customWidth="1"/>
    <col min="4604" max="4604" width="39.44140625" style="32" customWidth="1"/>
    <col min="4605" max="4605" width="88.109375" style="32" bestFit="1" customWidth="1"/>
    <col min="4606" max="4606" width="28.44140625" style="32" customWidth="1"/>
    <col min="4607" max="4607" width="22.6640625" style="32" customWidth="1"/>
    <col min="4608" max="4608" width="28" style="32" customWidth="1"/>
    <col min="4609" max="4609" width="32.33203125" style="32" bestFit="1" customWidth="1"/>
    <col min="4610" max="4610" width="27.44140625" style="32" bestFit="1" customWidth="1"/>
    <col min="4611" max="4611" width="23" style="32" bestFit="1" customWidth="1"/>
    <col min="4612" max="4612" width="27.6640625" style="32" bestFit="1" customWidth="1"/>
    <col min="4613" max="4613" width="23" style="32" bestFit="1" customWidth="1"/>
    <col min="4614" max="4614" width="26" style="32" customWidth="1"/>
    <col min="4615" max="4615" width="22.44140625" style="32" bestFit="1" customWidth="1"/>
    <col min="4616" max="4616" width="22" style="32" bestFit="1" customWidth="1"/>
    <col min="4617" max="4618" width="12.109375" style="32" customWidth="1"/>
    <col min="4619" max="4619" width="28.6640625" style="32" customWidth="1"/>
    <col min="4620" max="4620" width="13" style="32" bestFit="1" customWidth="1"/>
    <col min="4621" max="4621" width="36.88671875" style="32" customWidth="1"/>
    <col min="4622" max="4622" width="76.88671875" style="32" bestFit="1" customWidth="1"/>
    <col min="4623" max="4623" width="6.88671875" style="32" bestFit="1" customWidth="1"/>
    <col min="4624" max="4624" width="24.33203125" style="32" bestFit="1" customWidth="1"/>
    <col min="4625" max="4625" width="14.44140625" style="32" bestFit="1" customWidth="1"/>
    <col min="4626" max="4626" width="15.44140625" style="32" bestFit="1" customWidth="1"/>
    <col min="4627" max="4627" width="18.88671875" style="32" bestFit="1" customWidth="1"/>
    <col min="4628" max="4628" width="9.109375" style="32"/>
    <col min="4629" max="4629" width="38.5546875" style="32" bestFit="1" customWidth="1"/>
    <col min="4630" max="4857" width="9.109375" style="32"/>
    <col min="4858" max="4858" width="5.88671875" style="32" customWidth="1"/>
    <col min="4859" max="4859" width="18.5546875" style="32" customWidth="1"/>
    <col min="4860" max="4860" width="39.44140625" style="32" customWidth="1"/>
    <col min="4861" max="4861" width="88.109375" style="32" bestFit="1" customWidth="1"/>
    <col min="4862" max="4862" width="28.44140625" style="32" customWidth="1"/>
    <col min="4863" max="4863" width="22.6640625" style="32" customWidth="1"/>
    <col min="4864" max="4864" width="28" style="32" customWidth="1"/>
    <col min="4865" max="4865" width="32.33203125" style="32" bestFit="1" customWidth="1"/>
    <col min="4866" max="4866" width="27.44140625" style="32" bestFit="1" customWidth="1"/>
    <col min="4867" max="4867" width="23" style="32" bestFit="1" customWidth="1"/>
    <col min="4868" max="4868" width="27.6640625" style="32" bestFit="1" customWidth="1"/>
    <col min="4869" max="4869" width="23" style="32" bestFit="1" customWidth="1"/>
    <col min="4870" max="4870" width="26" style="32" customWidth="1"/>
    <col min="4871" max="4871" width="22.44140625" style="32" bestFit="1" customWidth="1"/>
    <col min="4872" max="4872" width="22" style="32" bestFit="1" customWidth="1"/>
    <col min="4873" max="4874" width="12.109375" style="32" customWidth="1"/>
    <col min="4875" max="4875" width="28.6640625" style="32" customWidth="1"/>
    <col min="4876" max="4876" width="13" style="32" bestFit="1" customWidth="1"/>
    <col min="4877" max="4877" width="36.88671875" style="32" customWidth="1"/>
    <col min="4878" max="4878" width="76.88671875" style="32" bestFit="1" customWidth="1"/>
    <col min="4879" max="4879" width="6.88671875" style="32" bestFit="1" customWidth="1"/>
    <col min="4880" max="4880" width="24.33203125" style="32" bestFit="1" customWidth="1"/>
    <col min="4881" max="4881" width="14.44140625" style="32" bestFit="1" customWidth="1"/>
    <col min="4882" max="4882" width="15.44140625" style="32" bestFit="1" customWidth="1"/>
    <col min="4883" max="4883" width="18.88671875" style="32" bestFit="1" customWidth="1"/>
    <col min="4884" max="4884" width="9.109375" style="32"/>
    <col min="4885" max="4885" width="38.5546875" style="32" bestFit="1" customWidth="1"/>
    <col min="4886" max="5113" width="9.109375" style="32"/>
    <col min="5114" max="5114" width="5.88671875" style="32" customWidth="1"/>
    <col min="5115" max="5115" width="18.5546875" style="32" customWidth="1"/>
    <col min="5116" max="5116" width="39.44140625" style="32" customWidth="1"/>
    <col min="5117" max="5117" width="88.109375" style="32" bestFit="1" customWidth="1"/>
    <col min="5118" max="5118" width="28.44140625" style="32" customWidth="1"/>
    <col min="5119" max="5119" width="22.6640625" style="32" customWidth="1"/>
    <col min="5120" max="5120" width="28" style="32" customWidth="1"/>
    <col min="5121" max="5121" width="32.33203125" style="32" bestFit="1" customWidth="1"/>
    <col min="5122" max="5122" width="27.44140625" style="32" bestFit="1" customWidth="1"/>
    <col min="5123" max="5123" width="23" style="32" bestFit="1" customWidth="1"/>
    <col min="5124" max="5124" width="27.6640625" style="32" bestFit="1" customWidth="1"/>
    <col min="5125" max="5125" width="23" style="32" bestFit="1" customWidth="1"/>
    <col min="5126" max="5126" width="26" style="32" customWidth="1"/>
    <col min="5127" max="5127" width="22.44140625" style="32" bestFit="1" customWidth="1"/>
    <col min="5128" max="5128" width="22" style="32" bestFit="1" customWidth="1"/>
    <col min="5129" max="5130" width="12.109375" style="32" customWidth="1"/>
    <col min="5131" max="5131" width="28.6640625" style="32" customWidth="1"/>
    <col min="5132" max="5132" width="13" style="32" bestFit="1" customWidth="1"/>
    <col min="5133" max="5133" width="36.88671875" style="32" customWidth="1"/>
    <col min="5134" max="5134" width="76.88671875" style="32" bestFit="1" customWidth="1"/>
    <col min="5135" max="5135" width="6.88671875" style="32" bestFit="1" customWidth="1"/>
    <col min="5136" max="5136" width="24.33203125" style="32" bestFit="1" customWidth="1"/>
    <col min="5137" max="5137" width="14.44140625" style="32" bestFit="1" customWidth="1"/>
    <col min="5138" max="5138" width="15.44140625" style="32" bestFit="1" customWidth="1"/>
    <col min="5139" max="5139" width="18.88671875" style="32" bestFit="1" customWidth="1"/>
    <col min="5140" max="5140" width="9.109375" style="32"/>
    <col min="5141" max="5141" width="38.5546875" style="32" bestFit="1" customWidth="1"/>
    <col min="5142" max="5369" width="9.109375" style="32"/>
    <col min="5370" max="5370" width="5.88671875" style="32" customWidth="1"/>
    <col min="5371" max="5371" width="18.5546875" style="32" customWidth="1"/>
    <col min="5372" max="5372" width="39.44140625" style="32" customWidth="1"/>
    <col min="5373" max="5373" width="88.109375" style="32" bestFit="1" customWidth="1"/>
    <col min="5374" max="5374" width="28.44140625" style="32" customWidth="1"/>
    <col min="5375" max="5375" width="22.6640625" style="32" customWidth="1"/>
    <col min="5376" max="5376" width="28" style="32" customWidth="1"/>
    <col min="5377" max="5377" width="32.33203125" style="32" bestFit="1" customWidth="1"/>
    <col min="5378" max="5378" width="27.44140625" style="32" bestFit="1" customWidth="1"/>
    <col min="5379" max="5379" width="23" style="32" bestFit="1" customWidth="1"/>
    <col min="5380" max="5380" width="27.6640625" style="32" bestFit="1" customWidth="1"/>
    <col min="5381" max="5381" width="23" style="32" bestFit="1" customWidth="1"/>
    <col min="5382" max="5382" width="26" style="32" customWidth="1"/>
    <col min="5383" max="5383" width="22.44140625" style="32" bestFit="1" customWidth="1"/>
    <col min="5384" max="5384" width="22" style="32" bestFit="1" customWidth="1"/>
    <col min="5385" max="5386" width="12.109375" style="32" customWidth="1"/>
    <col min="5387" max="5387" width="28.6640625" style="32" customWidth="1"/>
    <col min="5388" max="5388" width="13" style="32" bestFit="1" customWidth="1"/>
    <col min="5389" max="5389" width="36.88671875" style="32" customWidth="1"/>
    <col min="5390" max="5390" width="76.88671875" style="32" bestFit="1" customWidth="1"/>
    <col min="5391" max="5391" width="6.88671875" style="32" bestFit="1" customWidth="1"/>
    <col min="5392" max="5392" width="24.33203125" style="32" bestFit="1" customWidth="1"/>
    <col min="5393" max="5393" width="14.44140625" style="32" bestFit="1" customWidth="1"/>
    <col min="5394" max="5394" width="15.44140625" style="32" bestFit="1" customWidth="1"/>
    <col min="5395" max="5395" width="18.88671875" style="32" bestFit="1" customWidth="1"/>
    <col min="5396" max="5396" width="9.109375" style="32"/>
    <col min="5397" max="5397" width="38.5546875" style="32" bestFit="1" customWidth="1"/>
    <col min="5398" max="5625" width="9.109375" style="32"/>
    <col min="5626" max="5626" width="5.88671875" style="32" customWidth="1"/>
    <col min="5627" max="5627" width="18.5546875" style="32" customWidth="1"/>
    <col min="5628" max="5628" width="39.44140625" style="32" customWidth="1"/>
    <col min="5629" max="5629" width="88.109375" style="32" bestFit="1" customWidth="1"/>
    <col min="5630" max="5630" width="28.44140625" style="32" customWidth="1"/>
    <col min="5631" max="5631" width="22.6640625" style="32" customWidth="1"/>
    <col min="5632" max="5632" width="28" style="32" customWidth="1"/>
    <col min="5633" max="5633" width="32.33203125" style="32" bestFit="1" customWidth="1"/>
    <col min="5634" max="5634" width="27.44140625" style="32" bestFit="1" customWidth="1"/>
    <col min="5635" max="5635" width="23" style="32" bestFit="1" customWidth="1"/>
    <col min="5636" max="5636" width="27.6640625" style="32" bestFit="1" customWidth="1"/>
    <col min="5637" max="5637" width="23" style="32" bestFit="1" customWidth="1"/>
    <col min="5638" max="5638" width="26" style="32" customWidth="1"/>
    <col min="5639" max="5639" width="22.44140625" style="32" bestFit="1" customWidth="1"/>
    <col min="5640" max="5640" width="22" style="32" bestFit="1" customWidth="1"/>
    <col min="5641" max="5642" width="12.109375" style="32" customWidth="1"/>
    <col min="5643" max="5643" width="28.6640625" style="32" customWidth="1"/>
    <col min="5644" max="5644" width="13" style="32" bestFit="1" customWidth="1"/>
    <col min="5645" max="5645" width="36.88671875" style="32" customWidth="1"/>
    <col min="5646" max="5646" width="76.88671875" style="32" bestFit="1" customWidth="1"/>
    <col min="5647" max="5647" width="6.88671875" style="32" bestFit="1" customWidth="1"/>
    <col min="5648" max="5648" width="24.33203125" style="32" bestFit="1" customWidth="1"/>
    <col min="5649" max="5649" width="14.44140625" style="32" bestFit="1" customWidth="1"/>
    <col min="5650" max="5650" width="15.44140625" style="32" bestFit="1" customWidth="1"/>
    <col min="5651" max="5651" width="18.88671875" style="32" bestFit="1" customWidth="1"/>
    <col min="5652" max="5652" width="9.109375" style="32"/>
    <col min="5653" max="5653" width="38.5546875" style="32" bestFit="1" customWidth="1"/>
    <col min="5654" max="5881" width="9.109375" style="32"/>
    <col min="5882" max="5882" width="5.88671875" style="32" customWidth="1"/>
    <col min="5883" max="5883" width="18.5546875" style="32" customWidth="1"/>
    <col min="5884" max="5884" width="39.44140625" style="32" customWidth="1"/>
    <col min="5885" max="5885" width="88.109375" style="32" bestFit="1" customWidth="1"/>
    <col min="5886" max="5886" width="28.44140625" style="32" customWidth="1"/>
    <col min="5887" max="5887" width="22.6640625" style="32" customWidth="1"/>
    <col min="5888" max="5888" width="28" style="32" customWidth="1"/>
    <col min="5889" max="5889" width="32.33203125" style="32" bestFit="1" customWidth="1"/>
    <col min="5890" max="5890" width="27.44140625" style="32" bestFit="1" customWidth="1"/>
    <col min="5891" max="5891" width="23" style="32" bestFit="1" customWidth="1"/>
    <col min="5892" max="5892" width="27.6640625" style="32" bestFit="1" customWidth="1"/>
    <col min="5893" max="5893" width="23" style="32" bestFit="1" customWidth="1"/>
    <col min="5894" max="5894" width="26" style="32" customWidth="1"/>
    <col min="5895" max="5895" width="22.44140625" style="32" bestFit="1" customWidth="1"/>
    <col min="5896" max="5896" width="22" style="32" bestFit="1" customWidth="1"/>
    <col min="5897" max="5898" width="12.109375" style="32" customWidth="1"/>
    <col min="5899" max="5899" width="28.6640625" style="32" customWidth="1"/>
    <col min="5900" max="5900" width="13" style="32" bestFit="1" customWidth="1"/>
    <col min="5901" max="5901" width="36.88671875" style="32" customWidth="1"/>
    <col min="5902" max="5902" width="76.88671875" style="32" bestFit="1" customWidth="1"/>
    <col min="5903" max="5903" width="6.88671875" style="32" bestFit="1" customWidth="1"/>
    <col min="5904" max="5904" width="24.33203125" style="32" bestFit="1" customWidth="1"/>
    <col min="5905" max="5905" width="14.44140625" style="32" bestFit="1" customWidth="1"/>
    <col min="5906" max="5906" width="15.44140625" style="32" bestFit="1" customWidth="1"/>
    <col min="5907" max="5907" width="18.88671875" style="32" bestFit="1" customWidth="1"/>
    <col min="5908" max="5908" width="9.109375" style="32"/>
    <col min="5909" max="5909" width="38.5546875" style="32" bestFit="1" customWidth="1"/>
    <col min="5910" max="6137" width="9.109375" style="32"/>
    <col min="6138" max="6138" width="5.88671875" style="32" customWidth="1"/>
    <col min="6139" max="6139" width="18.5546875" style="32" customWidth="1"/>
    <col min="6140" max="6140" width="39.44140625" style="32" customWidth="1"/>
    <col min="6141" max="6141" width="88.109375" style="32" bestFit="1" customWidth="1"/>
    <col min="6142" max="6142" width="28.44140625" style="32" customWidth="1"/>
    <col min="6143" max="6143" width="22.6640625" style="32" customWidth="1"/>
    <col min="6144" max="6144" width="28" style="32" customWidth="1"/>
    <col min="6145" max="6145" width="32.33203125" style="32" bestFit="1" customWidth="1"/>
    <col min="6146" max="6146" width="27.44140625" style="32" bestFit="1" customWidth="1"/>
    <col min="6147" max="6147" width="23" style="32" bestFit="1" customWidth="1"/>
    <col min="6148" max="6148" width="27.6640625" style="32" bestFit="1" customWidth="1"/>
    <col min="6149" max="6149" width="23" style="32" bestFit="1" customWidth="1"/>
    <col min="6150" max="6150" width="26" style="32" customWidth="1"/>
    <col min="6151" max="6151" width="22.44140625" style="32" bestFit="1" customWidth="1"/>
    <col min="6152" max="6152" width="22" style="32" bestFit="1" customWidth="1"/>
    <col min="6153" max="6154" width="12.109375" style="32" customWidth="1"/>
    <col min="6155" max="6155" width="28.6640625" style="32" customWidth="1"/>
    <col min="6156" max="6156" width="13" style="32" bestFit="1" customWidth="1"/>
    <col min="6157" max="6157" width="36.88671875" style="32" customWidth="1"/>
    <col min="6158" max="6158" width="76.88671875" style="32" bestFit="1" customWidth="1"/>
    <col min="6159" max="6159" width="6.88671875" style="32" bestFit="1" customWidth="1"/>
    <col min="6160" max="6160" width="24.33203125" style="32" bestFit="1" customWidth="1"/>
    <col min="6161" max="6161" width="14.44140625" style="32" bestFit="1" customWidth="1"/>
    <col min="6162" max="6162" width="15.44140625" style="32" bestFit="1" customWidth="1"/>
    <col min="6163" max="6163" width="18.88671875" style="32" bestFit="1" customWidth="1"/>
    <col min="6164" max="6164" width="9.109375" style="32"/>
    <col min="6165" max="6165" width="38.5546875" style="32" bestFit="1" customWidth="1"/>
    <col min="6166" max="6393" width="9.109375" style="32"/>
    <col min="6394" max="6394" width="5.88671875" style="32" customWidth="1"/>
    <col min="6395" max="6395" width="18.5546875" style="32" customWidth="1"/>
    <col min="6396" max="6396" width="39.44140625" style="32" customWidth="1"/>
    <col min="6397" max="6397" width="88.109375" style="32" bestFit="1" customWidth="1"/>
    <col min="6398" max="6398" width="28.44140625" style="32" customWidth="1"/>
    <col min="6399" max="6399" width="22.6640625" style="32" customWidth="1"/>
    <col min="6400" max="6400" width="28" style="32" customWidth="1"/>
    <col min="6401" max="6401" width="32.33203125" style="32" bestFit="1" customWidth="1"/>
    <col min="6402" max="6402" width="27.44140625" style="32" bestFit="1" customWidth="1"/>
    <col min="6403" max="6403" width="23" style="32" bestFit="1" customWidth="1"/>
    <col min="6404" max="6404" width="27.6640625" style="32" bestFit="1" customWidth="1"/>
    <col min="6405" max="6405" width="23" style="32" bestFit="1" customWidth="1"/>
    <col min="6406" max="6406" width="26" style="32" customWidth="1"/>
    <col min="6407" max="6407" width="22.44140625" style="32" bestFit="1" customWidth="1"/>
    <col min="6408" max="6408" width="22" style="32" bestFit="1" customWidth="1"/>
    <col min="6409" max="6410" width="12.109375" style="32" customWidth="1"/>
    <col min="6411" max="6411" width="28.6640625" style="32" customWidth="1"/>
    <col min="6412" max="6412" width="13" style="32" bestFit="1" customWidth="1"/>
    <col min="6413" max="6413" width="36.88671875" style="32" customWidth="1"/>
    <col min="6414" max="6414" width="76.88671875" style="32" bestFit="1" customWidth="1"/>
    <col min="6415" max="6415" width="6.88671875" style="32" bestFit="1" customWidth="1"/>
    <col min="6416" max="6416" width="24.33203125" style="32" bestFit="1" customWidth="1"/>
    <col min="6417" max="6417" width="14.44140625" style="32" bestFit="1" customWidth="1"/>
    <col min="6418" max="6418" width="15.44140625" style="32" bestFit="1" customWidth="1"/>
    <col min="6419" max="6419" width="18.88671875" style="32" bestFit="1" customWidth="1"/>
    <col min="6420" max="6420" width="9.109375" style="32"/>
    <col min="6421" max="6421" width="38.5546875" style="32" bestFit="1" customWidth="1"/>
    <col min="6422" max="6649" width="9.109375" style="32"/>
    <col min="6650" max="6650" width="5.88671875" style="32" customWidth="1"/>
    <col min="6651" max="6651" width="18.5546875" style="32" customWidth="1"/>
    <col min="6652" max="6652" width="39.44140625" style="32" customWidth="1"/>
    <col min="6653" max="6653" width="88.109375" style="32" bestFit="1" customWidth="1"/>
    <col min="6654" max="6654" width="28.44140625" style="32" customWidth="1"/>
    <col min="6655" max="6655" width="22.6640625" style="32" customWidth="1"/>
    <col min="6656" max="6656" width="28" style="32" customWidth="1"/>
    <col min="6657" max="6657" width="32.33203125" style="32" bestFit="1" customWidth="1"/>
    <col min="6658" max="6658" width="27.44140625" style="32" bestFit="1" customWidth="1"/>
    <col min="6659" max="6659" width="23" style="32" bestFit="1" customWidth="1"/>
    <col min="6660" max="6660" width="27.6640625" style="32" bestFit="1" customWidth="1"/>
    <col min="6661" max="6661" width="23" style="32" bestFit="1" customWidth="1"/>
    <col min="6662" max="6662" width="26" style="32" customWidth="1"/>
    <col min="6663" max="6663" width="22.44140625" style="32" bestFit="1" customWidth="1"/>
    <col min="6664" max="6664" width="22" style="32" bestFit="1" customWidth="1"/>
    <col min="6665" max="6666" width="12.109375" style="32" customWidth="1"/>
    <col min="6667" max="6667" width="28.6640625" style="32" customWidth="1"/>
    <col min="6668" max="6668" width="13" style="32" bestFit="1" customWidth="1"/>
    <col min="6669" max="6669" width="36.88671875" style="32" customWidth="1"/>
    <col min="6670" max="6670" width="76.88671875" style="32" bestFit="1" customWidth="1"/>
    <col min="6671" max="6671" width="6.88671875" style="32" bestFit="1" customWidth="1"/>
    <col min="6672" max="6672" width="24.33203125" style="32" bestFit="1" customWidth="1"/>
    <col min="6673" max="6673" width="14.44140625" style="32" bestFit="1" customWidth="1"/>
    <col min="6674" max="6674" width="15.44140625" style="32" bestFit="1" customWidth="1"/>
    <col min="6675" max="6675" width="18.88671875" style="32" bestFit="1" customWidth="1"/>
    <col min="6676" max="6676" width="9.109375" style="32"/>
    <col min="6677" max="6677" width="38.5546875" style="32" bestFit="1" customWidth="1"/>
    <col min="6678" max="6905" width="9.109375" style="32"/>
    <col min="6906" max="6906" width="5.88671875" style="32" customWidth="1"/>
    <col min="6907" max="6907" width="18.5546875" style="32" customWidth="1"/>
    <col min="6908" max="6908" width="39.44140625" style="32" customWidth="1"/>
    <col min="6909" max="6909" width="88.109375" style="32" bestFit="1" customWidth="1"/>
    <col min="6910" max="6910" width="28.44140625" style="32" customWidth="1"/>
    <col min="6911" max="6911" width="22.6640625" style="32" customWidth="1"/>
    <col min="6912" max="6912" width="28" style="32" customWidth="1"/>
    <col min="6913" max="6913" width="32.33203125" style="32" bestFit="1" customWidth="1"/>
    <col min="6914" max="6914" width="27.44140625" style="32" bestFit="1" customWidth="1"/>
    <col min="6915" max="6915" width="23" style="32" bestFit="1" customWidth="1"/>
    <col min="6916" max="6916" width="27.6640625" style="32" bestFit="1" customWidth="1"/>
    <col min="6917" max="6917" width="23" style="32" bestFit="1" customWidth="1"/>
    <col min="6918" max="6918" width="26" style="32" customWidth="1"/>
    <col min="6919" max="6919" width="22.44140625" style="32" bestFit="1" customWidth="1"/>
    <col min="6920" max="6920" width="22" style="32" bestFit="1" customWidth="1"/>
    <col min="6921" max="6922" width="12.109375" style="32" customWidth="1"/>
    <col min="6923" max="6923" width="28.6640625" style="32" customWidth="1"/>
    <col min="6924" max="6924" width="13" style="32" bestFit="1" customWidth="1"/>
    <col min="6925" max="6925" width="36.88671875" style="32" customWidth="1"/>
    <col min="6926" max="6926" width="76.88671875" style="32" bestFit="1" customWidth="1"/>
    <col min="6927" max="6927" width="6.88671875" style="32" bestFit="1" customWidth="1"/>
    <col min="6928" max="6928" width="24.33203125" style="32" bestFit="1" customWidth="1"/>
    <col min="6929" max="6929" width="14.44140625" style="32" bestFit="1" customWidth="1"/>
    <col min="6930" max="6930" width="15.44140625" style="32" bestFit="1" customWidth="1"/>
    <col min="6931" max="6931" width="18.88671875" style="32" bestFit="1" customWidth="1"/>
    <col min="6932" max="6932" width="9.109375" style="32"/>
    <col min="6933" max="6933" width="38.5546875" style="32" bestFit="1" customWidth="1"/>
    <col min="6934" max="7161" width="9.109375" style="32"/>
    <col min="7162" max="7162" width="5.88671875" style="32" customWidth="1"/>
    <col min="7163" max="7163" width="18.5546875" style="32" customWidth="1"/>
    <col min="7164" max="7164" width="39.44140625" style="32" customWidth="1"/>
    <col min="7165" max="7165" width="88.109375" style="32" bestFit="1" customWidth="1"/>
    <col min="7166" max="7166" width="28.44140625" style="32" customWidth="1"/>
    <col min="7167" max="7167" width="22.6640625" style="32" customWidth="1"/>
    <col min="7168" max="7168" width="28" style="32" customWidth="1"/>
    <col min="7169" max="7169" width="32.33203125" style="32" bestFit="1" customWidth="1"/>
    <col min="7170" max="7170" width="27.44140625" style="32" bestFit="1" customWidth="1"/>
    <col min="7171" max="7171" width="23" style="32" bestFit="1" customWidth="1"/>
    <col min="7172" max="7172" width="27.6640625" style="32" bestFit="1" customWidth="1"/>
    <col min="7173" max="7173" width="23" style="32" bestFit="1" customWidth="1"/>
    <col min="7174" max="7174" width="26" style="32" customWidth="1"/>
    <col min="7175" max="7175" width="22.44140625" style="32" bestFit="1" customWidth="1"/>
    <col min="7176" max="7176" width="22" style="32" bestFit="1" customWidth="1"/>
    <col min="7177" max="7178" width="12.109375" style="32" customWidth="1"/>
    <col min="7179" max="7179" width="28.6640625" style="32" customWidth="1"/>
    <col min="7180" max="7180" width="13" style="32" bestFit="1" customWidth="1"/>
    <col min="7181" max="7181" width="36.88671875" style="32" customWidth="1"/>
    <col min="7182" max="7182" width="76.88671875" style="32" bestFit="1" customWidth="1"/>
    <col min="7183" max="7183" width="6.88671875" style="32" bestFit="1" customWidth="1"/>
    <col min="7184" max="7184" width="24.33203125" style="32" bestFit="1" customWidth="1"/>
    <col min="7185" max="7185" width="14.44140625" style="32" bestFit="1" customWidth="1"/>
    <col min="7186" max="7186" width="15.44140625" style="32" bestFit="1" customWidth="1"/>
    <col min="7187" max="7187" width="18.88671875" style="32" bestFit="1" customWidth="1"/>
    <col min="7188" max="7188" width="9.109375" style="32"/>
    <col min="7189" max="7189" width="38.5546875" style="32" bestFit="1" customWidth="1"/>
    <col min="7190" max="7417" width="9.109375" style="32"/>
    <col min="7418" max="7418" width="5.88671875" style="32" customWidth="1"/>
    <col min="7419" max="7419" width="18.5546875" style="32" customWidth="1"/>
    <col min="7420" max="7420" width="39.44140625" style="32" customWidth="1"/>
    <col min="7421" max="7421" width="88.109375" style="32" bestFit="1" customWidth="1"/>
    <col min="7422" max="7422" width="28.44140625" style="32" customWidth="1"/>
    <col min="7423" max="7423" width="22.6640625" style="32" customWidth="1"/>
    <col min="7424" max="7424" width="28" style="32" customWidth="1"/>
    <col min="7425" max="7425" width="32.33203125" style="32" bestFit="1" customWidth="1"/>
    <col min="7426" max="7426" width="27.44140625" style="32" bestFit="1" customWidth="1"/>
    <col min="7427" max="7427" width="23" style="32" bestFit="1" customWidth="1"/>
    <col min="7428" max="7428" width="27.6640625" style="32" bestFit="1" customWidth="1"/>
    <col min="7429" max="7429" width="23" style="32" bestFit="1" customWidth="1"/>
    <col min="7430" max="7430" width="26" style="32" customWidth="1"/>
    <col min="7431" max="7431" width="22.44140625" style="32" bestFit="1" customWidth="1"/>
    <col min="7432" max="7432" width="22" style="32" bestFit="1" customWidth="1"/>
    <col min="7433" max="7434" width="12.109375" style="32" customWidth="1"/>
    <col min="7435" max="7435" width="28.6640625" style="32" customWidth="1"/>
    <col min="7436" max="7436" width="13" style="32" bestFit="1" customWidth="1"/>
    <col min="7437" max="7437" width="36.88671875" style="32" customWidth="1"/>
    <col min="7438" max="7438" width="76.88671875" style="32" bestFit="1" customWidth="1"/>
    <col min="7439" max="7439" width="6.88671875" style="32" bestFit="1" customWidth="1"/>
    <col min="7440" max="7440" width="24.33203125" style="32" bestFit="1" customWidth="1"/>
    <col min="7441" max="7441" width="14.44140625" style="32" bestFit="1" customWidth="1"/>
    <col min="7442" max="7442" width="15.44140625" style="32" bestFit="1" customWidth="1"/>
    <col min="7443" max="7443" width="18.88671875" style="32" bestFit="1" customWidth="1"/>
    <col min="7444" max="7444" width="9.109375" style="32"/>
    <col min="7445" max="7445" width="38.5546875" style="32" bestFit="1" customWidth="1"/>
    <col min="7446" max="7673" width="9.109375" style="32"/>
    <col min="7674" max="7674" width="5.88671875" style="32" customWidth="1"/>
    <col min="7675" max="7675" width="18.5546875" style="32" customWidth="1"/>
    <col min="7676" max="7676" width="39.44140625" style="32" customWidth="1"/>
    <col min="7677" max="7677" width="88.109375" style="32" bestFit="1" customWidth="1"/>
    <col min="7678" max="7678" width="28.44140625" style="32" customWidth="1"/>
    <col min="7679" max="7679" width="22.6640625" style="32" customWidth="1"/>
    <col min="7680" max="7680" width="28" style="32" customWidth="1"/>
    <col min="7681" max="7681" width="32.33203125" style="32" bestFit="1" customWidth="1"/>
    <col min="7682" max="7682" width="27.44140625" style="32" bestFit="1" customWidth="1"/>
    <col min="7683" max="7683" width="23" style="32" bestFit="1" customWidth="1"/>
    <col min="7684" max="7684" width="27.6640625" style="32" bestFit="1" customWidth="1"/>
    <col min="7685" max="7685" width="23" style="32" bestFit="1" customWidth="1"/>
    <col min="7686" max="7686" width="26" style="32" customWidth="1"/>
    <col min="7687" max="7687" width="22.44140625" style="32" bestFit="1" customWidth="1"/>
    <col min="7688" max="7688" width="22" style="32" bestFit="1" customWidth="1"/>
    <col min="7689" max="7690" width="12.109375" style="32" customWidth="1"/>
    <col min="7691" max="7691" width="28.6640625" style="32" customWidth="1"/>
    <col min="7692" max="7692" width="13" style="32" bestFit="1" customWidth="1"/>
    <col min="7693" max="7693" width="36.88671875" style="32" customWidth="1"/>
    <col min="7694" max="7694" width="76.88671875" style="32" bestFit="1" customWidth="1"/>
    <col min="7695" max="7695" width="6.88671875" style="32" bestFit="1" customWidth="1"/>
    <col min="7696" max="7696" width="24.33203125" style="32" bestFit="1" customWidth="1"/>
    <col min="7697" max="7697" width="14.44140625" style="32" bestFit="1" customWidth="1"/>
    <col min="7698" max="7698" width="15.44140625" style="32" bestFit="1" customWidth="1"/>
    <col min="7699" max="7699" width="18.88671875" style="32" bestFit="1" customWidth="1"/>
    <col min="7700" max="7700" width="9.109375" style="32"/>
    <col min="7701" max="7701" width="38.5546875" style="32" bestFit="1" customWidth="1"/>
    <col min="7702" max="7929" width="9.109375" style="32"/>
    <col min="7930" max="7930" width="5.88671875" style="32" customWidth="1"/>
    <col min="7931" max="7931" width="18.5546875" style="32" customWidth="1"/>
    <col min="7932" max="7932" width="39.44140625" style="32" customWidth="1"/>
    <col min="7933" max="7933" width="88.109375" style="32" bestFit="1" customWidth="1"/>
    <col min="7934" max="7934" width="28.44140625" style="32" customWidth="1"/>
    <col min="7935" max="7935" width="22.6640625" style="32" customWidth="1"/>
    <col min="7936" max="7936" width="28" style="32" customWidth="1"/>
    <col min="7937" max="7937" width="32.33203125" style="32" bestFit="1" customWidth="1"/>
    <col min="7938" max="7938" width="27.44140625" style="32" bestFit="1" customWidth="1"/>
    <col min="7939" max="7939" width="23" style="32" bestFit="1" customWidth="1"/>
    <col min="7940" max="7940" width="27.6640625" style="32" bestFit="1" customWidth="1"/>
    <col min="7941" max="7941" width="23" style="32" bestFit="1" customWidth="1"/>
    <col min="7942" max="7942" width="26" style="32" customWidth="1"/>
    <col min="7943" max="7943" width="22.44140625" style="32" bestFit="1" customWidth="1"/>
    <col min="7944" max="7944" width="22" style="32" bestFit="1" customWidth="1"/>
    <col min="7945" max="7946" width="12.109375" style="32" customWidth="1"/>
    <col min="7947" max="7947" width="28.6640625" style="32" customWidth="1"/>
    <col min="7948" max="7948" width="13" style="32" bestFit="1" customWidth="1"/>
    <col min="7949" max="7949" width="36.88671875" style="32" customWidth="1"/>
    <col min="7950" max="7950" width="76.88671875" style="32" bestFit="1" customWidth="1"/>
    <col min="7951" max="7951" width="6.88671875" style="32" bestFit="1" customWidth="1"/>
    <col min="7952" max="7952" width="24.33203125" style="32" bestFit="1" customWidth="1"/>
    <col min="7953" max="7953" width="14.44140625" style="32" bestFit="1" customWidth="1"/>
    <col min="7954" max="7954" width="15.44140625" style="32" bestFit="1" customWidth="1"/>
    <col min="7955" max="7955" width="18.88671875" style="32" bestFit="1" customWidth="1"/>
    <col min="7956" max="7956" width="9.109375" style="32"/>
    <col min="7957" max="7957" width="38.5546875" style="32" bestFit="1" customWidth="1"/>
    <col min="7958" max="8185" width="9.109375" style="32"/>
    <col min="8186" max="8186" width="5.88671875" style="32" customWidth="1"/>
    <col min="8187" max="8187" width="18.5546875" style="32" customWidth="1"/>
    <col min="8188" max="8188" width="39.44140625" style="32" customWidth="1"/>
    <col min="8189" max="8189" width="88.109375" style="32" bestFit="1" customWidth="1"/>
    <col min="8190" max="8190" width="28.44140625" style="32" customWidth="1"/>
    <col min="8191" max="8191" width="22.6640625" style="32" customWidth="1"/>
    <col min="8192" max="8192" width="28" style="32" customWidth="1"/>
    <col min="8193" max="8193" width="32.33203125" style="32" bestFit="1" customWidth="1"/>
    <col min="8194" max="8194" width="27.44140625" style="32" bestFit="1" customWidth="1"/>
    <col min="8195" max="8195" width="23" style="32" bestFit="1" customWidth="1"/>
    <col min="8196" max="8196" width="27.6640625" style="32" bestFit="1" customWidth="1"/>
    <col min="8197" max="8197" width="23" style="32" bestFit="1" customWidth="1"/>
    <col min="8198" max="8198" width="26" style="32" customWidth="1"/>
    <col min="8199" max="8199" width="22.44140625" style="32" bestFit="1" customWidth="1"/>
    <col min="8200" max="8200" width="22" style="32" bestFit="1" customWidth="1"/>
    <col min="8201" max="8202" width="12.109375" style="32" customWidth="1"/>
    <col min="8203" max="8203" width="28.6640625" style="32" customWidth="1"/>
    <col min="8204" max="8204" width="13" style="32" bestFit="1" customWidth="1"/>
    <col min="8205" max="8205" width="36.88671875" style="32" customWidth="1"/>
    <col min="8206" max="8206" width="76.88671875" style="32" bestFit="1" customWidth="1"/>
    <col min="8207" max="8207" width="6.88671875" style="32" bestFit="1" customWidth="1"/>
    <col min="8208" max="8208" width="24.33203125" style="32" bestFit="1" customWidth="1"/>
    <col min="8209" max="8209" width="14.44140625" style="32" bestFit="1" customWidth="1"/>
    <col min="8210" max="8210" width="15.44140625" style="32" bestFit="1" customWidth="1"/>
    <col min="8211" max="8211" width="18.88671875" style="32" bestFit="1" customWidth="1"/>
    <col min="8212" max="8212" width="9.109375" style="32"/>
    <col min="8213" max="8213" width="38.5546875" style="32" bestFit="1" customWidth="1"/>
    <col min="8214" max="8441" width="9.109375" style="32"/>
    <col min="8442" max="8442" width="5.88671875" style="32" customWidth="1"/>
    <col min="8443" max="8443" width="18.5546875" style="32" customWidth="1"/>
    <col min="8444" max="8444" width="39.44140625" style="32" customWidth="1"/>
    <col min="8445" max="8445" width="88.109375" style="32" bestFit="1" customWidth="1"/>
    <col min="8446" max="8446" width="28.44140625" style="32" customWidth="1"/>
    <col min="8447" max="8447" width="22.6640625" style="32" customWidth="1"/>
    <col min="8448" max="8448" width="28" style="32" customWidth="1"/>
    <col min="8449" max="8449" width="32.33203125" style="32" bestFit="1" customWidth="1"/>
    <col min="8450" max="8450" width="27.44140625" style="32" bestFit="1" customWidth="1"/>
    <col min="8451" max="8451" width="23" style="32" bestFit="1" customWidth="1"/>
    <col min="8452" max="8452" width="27.6640625" style="32" bestFit="1" customWidth="1"/>
    <col min="8453" max="8453" width="23" style="32" bestFit="1" customWidth="1"/>
    <col min="8454" max="8454" width="26" style="32" customWidth="1"/>
    <col min="8455" max="8455" width="22.44140625" style="32" bestFit="1" customWidth="1"/>
    <col min="8456" max="8456" width="22" style="32" bestFit="1" customWidth="1"/>
    <col min="8457" max="8458" width="12.109375" style="32" customWidth="1"/>
    <col min="8459" max="8459" width="28.6640625" style="32" customWidth="1"/>
    <col min="8460" max="8460" width="13" style="32" bestFit="1" customWidth="1"/>
    <col min="8461" max="8461" width="36.88671875" style="32" customWidth="1"/>
    <col min="8462" max="8462" width="76.88671875" style="32" bestFit="1" customWidth="1"/>
    <col min="8463" max="8463" width="6.88671875" style="32" bestFit="1" customWidth="1"/>
    <col min="8464" max="8464" width="24.33203125" style="32" bestFit="1" customWidth="1"/>
    <col min="8465" max="8465" width="14.44140625" style="32" bestFit="1" customWidth="1"/>
    <col min="8466" max="8466" width="15.44140625" style="32" bestFit="1" customWidth="1"/>
    <col min="8467" max="8467" width="18.88671875" style="32" bestFit="1" customWidth="1"/>
    <col min="8468" max="8468" width="9.109375" style="32"/>
    <col min="8469" max="8469" width="38.5546875" style="32" bestFit="1" customWidth="1"/>
    <col min="8470" max="8697" width="9.109375" style="32"/>
    <col min="8698" max="8698" width="5.88671875" style="32" customWidth="1"/>
    <col min="8699" max="8699" width="18.5546875" style="32" customWidth="1"/>
    <col min="8700" max="8700" width="39.44140625" style="32" customWidth="1"/>
    <col min="8701" max="8701" width="88.109375" style="32" bestFit="1" customWidth="1"/>
    <col min="8702" max="8702" width="28.44140625" style="32" customWidth="1"/>
    <col min="8703" max="8703" width="22.6640625" style="32" customWidth="1"/>
    <col min="8704" max="8704" width="28" style="32" customWidth="1"/>
    <col min="8705" max="8705" width="32.33203125" style="32" bestFit="1" customWidth="1"/>
    <col min="8706" max="8706" width="27.44140625" style="32" bestFit="1" customWidth="1"/>
    <col min="8707" max="8707" width="23" style="32" bestFit="1" customWidth="1"/>
    <col min="8708" max="8708" width="27.6640625" style="32" bestFit="1" customWidth="1"/>
    <col min="8709" max="8709" width="23" style="32" bestFit="1" customWidth="1"/>
    <col min="8710" max="8710" width="26" style="32" customWidth="1"/>
    <col min="8711" max="8711" width="22.44140625" style="32" bestFit="1" customWidth="1"/>
    <col min="8712" max="8712" width="22" style="32" bestFit="1" customWidth="1"/>
    <col min="8713" max="8714" width="12.109375" style="32" customWidth="1"/>
    <col min="8715" max="8715" width="28.6640625" style="32" customWidth="1"/>
    <col min="8716" max="8716" width="13" style="32" bestFit="1" customWidth="1"/>
    <col min="8717" max="8717" width="36.88671875" style="32" customWidth="1"/>
    <col min="8718" max="8718" width="76.88671875" style="32" bestFit="1" customWidth="1"/>
    <col min="8719" max="8719" width="6.88671875" style="32" bestFit="1" customWidth="1"/>
    <col min="8720" max="8720" width="24.33203125" style="32" bestFit="1" customWidth="1"/>
    <col min="8721" max="8721" width="14.44140625" style="32" bestFit="1" customWidth="1"/>
    <col min="8722" max="8722" width="15.44140625" style="32" bestFit="1" customWidth="1"/>
    <col min="8723" max="8723" width="18.88671875" style="32" bestFit="1" customWidth="1"/>
    <col min="8724" max="8724" width="9.109375" style="32"/>
    <col min="8725" max="8725" width="38.5546875" style="32" bestFit="1" customWidth="1"/>
    <col min="8726" max="8953" width="9.109375" style="32"/>
    <col min="8954" max="8954" width="5.88671875" style="32" customWidth="1"/>
    <col min="8955" max="8955" width="18.5546875" style="32" customWidth="1"/>
    <col min="8956" max="8956" width="39.44140625" style="32" customWidth="1"/>
    <col min="8957" max="8957" width="88.109375" style="32" bestFit="1" customWidth="1"/>
    <col min="8958" max="8958" width="28.44140625" style="32" customWidth="1"/>
    <col min="8959" max="8959" width="22.6640625" style="32" customWidth="1"/>
    <col min="8960" max="8960" width="28" style="32" customWidth="1"/>
    <col min="8961" max="8961" width="32.33203125" style="32" bestFit="1" customWidth="1"/>
    <col min="8962" max="8962" width="27.44140625" style="32" bestFit="1" customWidth="1"/>
    <col min="8963" max="8963" width="23" style="32" bestFit="1" customWidth="1"/>
    <col min="8964" max="8964" width="27.6640625" style="32" bestFit="1" customWidth="1"/>
    <col min="8965" max="8965" width="23" style="32" bestFit="1" customWidth="1"/>
    <col min="8966" max="8966" width="26" style="32" customWidth="1"/>
    <col min="8967" max="8967" width="22.44140625" style="32" bestFit="1" customWidth="1"/>
    <col min="8968" max="8968" width="22" style="32" bestFit="1" customWidth="1"/>
    <col min="8969" max="8970" width="12.109375" style="32" customWidth="1"/>
    <col min="8971" max="8971" width="28.6640625" style="32" customWidth="1"/>
    <col min="8972" max="8972" width="13" style="32" bestFit="1" customWidth="1"/>
    <col min="8973" max="8973" width="36.88671875" style="32" customWidth="1"/>
    <col min="8974" max="8974" width="76.88671875" style="32" bestFit="1" customWidth="1"/>
    <col min="8975" max="8975" width="6.88671875" style="32" bestFit="1" customWidth="1"/>
    <col min="8976" max="8976" width="24.33203125" style="32" bestFit="1" customWidth="1"/>
    <col min="8977" max="8977" width="14.44140625" style="32" bestFit="1" customWidth="1"/>
    <col min="8978" max="8978" width="15.44140625" style="32" bestFit="1" customWidth="1"/>
    <col min="8979" max="8979" width="18.88671875" style="32" bestFit="1" customWidth="1"/>
    <col min="8980" max="8980" width="9.109375" style="32"/>
    <col min="8981" max="8981" width="38.5546875" style="32" bestFit="1" customWidth="1"/>
    <col min="8982" max="9209" width="9.109375" style="32"/>
    <col min="9210" max="9210" width="5.88671875" style="32" customWidth="1"/>
    <col min="9211" max="9211" width="18.5546875" style="32" customWidth="1"/>
    <col min="9212" max="9212" width="39.44140625" style="32" customWidth="1"/>
    <col min="9213" max="9213" width="88.109375" style="32" bestFit="1" customWidth="1"/>
    <col min="9214" max="9214" width="28.44140625" style="32" customWidth="1"/>
    <col min="9215" max="9215" width="22.6640625" style="32" customWidth="1"/>
    <col min="9216" max="9216" width="28" style="32" customWidth="1"/>
    <col min="9217" max="9217" width="32.33203125" style="32" bestFit="1" customWidth="1"/>
    <col min="9218" max="9218" width="27.44140625" style="32" bestFit="1" customWidth="1"/>
    <col min="9219" max="9219" width="23" style="32" bestFit="1" customWidth="1"/>
    <col min="9220" max="9220" width="27.6640625" style="32" bestFit="1" customWidth="1"/>
    <col min="9221" max="9221" width="23" style="32" bestFit="1" customWidth="1"/>
    <col min="9222" max="9222" width="26" style="32" customWidth="1"/>
    <col min="9223" max="9223" width="22.44140625" style="32" bestFit="1" customWidth="1"/>
    <col min="9224" max="9224" width="22" style="32" bestFit="1" customWidth="1"/>
    <col min="9225" max="9226" width="12.109375" style="32" customWidth="1"/>
    <col min="9227" max="9227" width="28.6640625" style="32" customWidth="1"/>
    <col min="9228" max="9228" width="13" style="32" bestFit="1" customWidth="1"/>
    <col min="9229" max="9229" width="36.88671875" style="32" customWidth="1"/>
    <col min="9230" max="9230" width="76.88671875" style="32" bestFit="1" customWidth="1"/>
    <col min="9231" max="9231" width="6.88671875" style="32" bestFit="1" customWidth="1"/>
    <col min="9232" max="9232" width="24.33203125" style="32" bestFit="1" customWidth="1"/>
    <col min="9233" max="9233" width="14.44140625" style="32" bestFit="1" customWidth="1"/>
    <col min="9234" max="9234" width="15.44140625" style="32" bestFit="1" customWidth="1"/>
    <col min="9235" max="9235" width="18.88671875" style="32" bestFit="1" customWidth="1"/>
    <col min="9236" max="9236" width="9.109375" style="32"/>
    <col min="9237" max="9237" width="38.5546875" style="32" bestFit="1" customWidth="1"/>
    <col min="9238" max="9465" width="9.109375" style="32"/>
    <col min="9466" max="9466" width="5.88671875" style="32" customWidth="1"/>
    <col min="9467" max="9467" width="18.5546875" style="32" customWidth="1"/>
    <col min="9468" max="9468" width="39.44140625" style="32" customWidth="1"/>
    <col min="9469" max="9469" width="88.109375" style="32" bestFit="1" customWidth="1"/>
    <col min="9470" max="9470" width="28.44140625" style="32" customWidth="1"/>
    <col min="9471" max="9471" width="22.6640625" style="32" customWidth="1"/>
    <col min="9472" max="9472" width="28" style="32" customWidth="1"/>
    <col min="9473" max="9473" width="32.33203125" style="32" bestFit="1" customWidth="1"/>
    <col min="9474" max="9474" width="27.44140625" style="32" bestFit="1" customWidth="1"/>
    <col min="9475" max="9475" width="23" style="32" bestFit="1" customWidth="1"/>
    <col min="9476" max="9476" width="27.6640625" style="32" bestFit="1" customWidth="1"/>
    <col min="9477" max="9477" width="23" style="32" bestFit="1" customWidth="1"/>
    <col min="9478" max="9478" width="26" style="32" customWidth="1"/>
    <col min="9479" max="9479" width="22.44140625" style="32" bestFit="1" customWidth="1"/>
    <col min="9480" max="9480" width="22" style="32" bestFit="1" customWidth="1"/>
    <col min="9481" max="9482" width="12.109375" style="32" customWidth="1"/>
    <col min="9483" max="9483" width="28.6640625" style="32" customWidth="1"/>
    <col min="9484" max="9484" width="13" style="32" bestFit="1" customWidth="1"/>
    <col min="9485" max="9485" width="36.88671875" style="32" customWidth="1"/>
    <col min="9486" max="9486" width="76.88671875" style="32" bestFit="1" customWidth="1"/>
    <col min="9487" max="9487" width="6.88671875" style="32" bestFit="1" customWidth="1"/>
    <col min="9488" max="9488" width="24.33203125" style="32" bestFit="1" customWidth="1"/>
    <col min="9489" max="9489" width="14.44140625" style="32" bestFit="1" customWidth="1"/>
    <col min="9490" max="9490" width="15.44140625" style="32" bestFit="1" customWidth="1"/>
    <col min="9491" max="9491" width="18.88671875" style="32" bestFit="1" customWidth="1"/>
    <col min="9492" max="9492" width="9.109375" style="32"/>
    <col min="9493" max="9493" width="38.5546875" style="32" bestFit="1" customWidth="1"/>
    <col min="9494" max="9721" width="9.109375" style="32"/>
    <col min="9722" max="9722" width="5.88671875" style="32" customWidth="1"/>
    <col min="9723" max="9723" width="18.5546875" style="32" customWidth="1"/>
    <col min="9724" max="9724" width="39.44140625" style="32" customWidth="1"/>
    <col min="9725" max="9725" width="88.109375" style="32" bestFit="1" customWidth="1"/>
    <col min="9726" max="9726" width="28.44140625" style="32" customWidth="1"/>
    <col min="9727" max="9727" width="22.6640625" style="32" customWidth="1"/>
    <col min="9728" max="9728" width="28" style="32" customWidth="1"/>
    <col min="9729" max="9729" width="32.33203125" style="32" bestFit="1" customWidth="1"/>
    <col min="9730" max="9730" width="27.44140625" style="32" bestFit="1" customWidth="1"/>
    <col min="9731" max="9731" width="23" style="32" bestFit="1" customWidth="1"/>
    <col min="9732" max="9732" width="27.6640625" style="32" bestFit="1" customWidth="1"/>
    <col min="9733" max="9733" width="23" style="32" bestFit="1" customWidth="1"/>
    <col min="9734" max="9734" width="26" style="32" customWidth="1"/>
    <col min="9735" max="9735" width="22.44140625" style="32" bestFit="1" customWidth="1"/>
    <col min="9736" max="9736" width="22" style="32" bestFit="1" customWidth="1"/>
    <col min="9737" max="9738" width="12.109375" style="32" customWidth="1"/>
    <col min="9739" max="9739" width="28.6640625" style="32" customWidth="1"/>
    <col min="9740" max="9740" width="13" style="32" bestFit="1" customWidth="1"/>
    <col min="9741" max="9741" width="36.88671875" style="32" customWidth="1"/>
    <col min="9742" max="9742" width="76.88671875" style="32" bestFit="1" customWidth="1"/>
    <col min="9743" max="9743" width="6.88671875" style="32" bestFit="1" customWidth="1"/>
    <col min="9744" max="9744" width="24.33203125" style="32" bestFit="1" customWidth="1"/>
    <col min="9745" max="9745" width="14.44140625" style="32" bestFit="1" customWidth="1"/>
    <col min="9746" max="9746" width="15.44140625" style="32" bestFit="1" customWidth="1"/>
    <col min="9747" max="9747" width="18.88671875" style="32" bestFit="1" customWidth="1"/>
    <col min="9748" max="9748" width="9.109375" style="32"/>
    <col min="9749" max="9749" width="38.5546875" style="32" bestFit="1" customWidth="1"/>
    <col min="9750" max="9977" width="9.109375" style="32"/>
    <col min="9978" max="9978" width="5.88671875" style="32" customWidth="1"/>
    <col min="9979" max="9979" width="18.5546875" style="32" customWidth="1"/>
    <col min="9980" max="9980" width="39.44140625" style="32" customWidth="1"/>
    <col min="9981" max="9981" width="88.109375" style="32" bestFit="1" customWidth="1"/>
    <col min="9982" max="9982" width="28.44140625" style="32" customWidth="1"/>
    <col min="9983" max="9983" width="22.6640625" style="32" customWidth="1"/>
    <col min="9984" max="9984" width="28" style="32" customWidth="1"/>
    <col min="9985" max="9985" width="32.33203125" style="32" bestFit="1" customWidth="1"/>
    <col min="9986" max="9986" width="27.44140625" style="32" bestFit="1" customWidth="1"/>
    <col min="9987" max="9987" width="23" style="32" bestFit="1" customWidth="1"/>
    <col min="9988" max="9988" width="27.6640625" style="32" bestFit="1" customWidth="1"/>
    <col min="9989" max="9989" width="23" style="32" bestFit="1" customWidth="1"/>
    <col min="9990" max="9990" width="26" style="32" customWidth="1"/>
    <col min="9991" max="9991" width="22.44140625" style="32" bestFit="1" customWidth="1"/>
    <col min="9992" max="9992" width="22" style="32" bestFit="1" customWidth="1"/>
    <col min="9993" max="9994" width="12.109375" style="32" customWidth="1"/>
    <col min="9995" max="9995" width="28.6640625" style="32" customWidth="1"/>
    <col min="9996" max="9996" width="13" style="32" bestFit="1" customWidth="1"/>
    <col min="9997" max="9997" width="36.88671875" style="32" customWidth="1"/>
    <col min="9998" max="9998" width="76.88671875" style="32" bestFit="1" customWidth="1"/>
    <col min="9999" max="9999" width="6.88671875" style="32" bestFit="1" customWidth="1"/>
    <col min="10000" max="10000" width="24.33203125" style="32" bestFit="1" customWidth="1"/>
    <col min="10001" max="10001" width="14.44140625" style="32" bestFit="1" customWidth="1"/>
    <col min="10002" max="10002" width="15.44140625" style="32" bestFit="1" customWidth="1"/>
    <col min="10003" max="10003" width="18.88671875" style="32" bestFit="1" customWidth="1"/>
    <col min="10004" max="10004" width="9.109375" style="32"/>
    <col min="10005" max="10005" width="38.5546875" style="32" bestFit="1" customWidth="1"/>
    <col min="10006" max="10233" width="9.109375" style="32"/>
    <col min="10234" max="10234" width="5.88671875" style="32" customWidth="1"/>
    <col min="10235" max="10235" width="18.5546875" style="32" customWidth="1"/>
    <col min="10236" max="10236" width="39.44140625" style="32" customWidth="1"/>
    <col min="10237" max="10237" width="88.109375" style="32" bestFit="1" customWidth="1"/>
    <col min="10238" max="10238" width="28.44140625" style="32" customWidth="1"/>
    <col min="10239" max="10239" width="22.6640625" style="32" customWidth="1"/>
    <col min="10240" max="10240" width="28" style="32" customWidth="1"/>
    <col min="10241" max="10241" width="32.33203125" style="32" bestFit="1" customWidth="1"/>
    <col min="10242" max="10242" width="27.44140625" style="32" bestFit="1" customWidth="1"/>
    <col min="10243" max="10243" width="23" style="32" bestFit="1" customWidth="1"/>
    <col min="10244" max="10244" width="27.6640625" style="32" bestFit="1" customWidth="1"/>
    <col min="10245" max="10245" width="23" style="32" bestFit="1" customWidth="1"/>
    <col min="10246" max="10246" width="26" style="32" customWidth="1"/>
    <col min="10247" max="10247" width="22.44140625" style="32" bestFit="1" customWidth="1"/>
    <col min="10248" max="10248" width="22" style="32" bestFit="1" customWidth="1"/>
    <col min="10249" max="10250" width="12.109375" style="32" customWidth="1"/>
    <col min="10251" max="10251" width="28.6640625" style="32" customWidth="1"/>
    <col min="10252" max="10252" width="13" style="32" bestFit="1" customWidth="1"/>
    <col min="10253" max="10253" width="36.88671875" style="32" customWidth="1"/>
    <col min="10254" max="10254" width="76.88671875" style="32" bestFit="1" customWidth="1"/>
    <col min="10255" max="10255" width="6.88671875" style="32" bestFit="1" customWidth="1"/>
    <col min="10256" max="10256" width="24.33203125" style="32" bestFit="1" customWidth="1"/>
    <col min="10257" max="10257" width="14.44140625" style="32" bestFit="1" customWidth="1"/>
    <col min="10258" max="10258" width="15.44140625" style="32" bestFit="1" customWidth="1"/>
    <col min="10259" max="10259" width="18.88671875" style="32" bestFit="1" customWidth="1"/>
    <col min="10260" max="10260" width="9.109375" style="32"/>
    <col min="10261" max="10261" width="38.5546875" style="32" bestFit="1" customWidth="1"/>
    <col min="10262" max="10489" width="9.109375" style="32"/>
    <col min="10490" max="10490" width="5.88671875" style="32" customWidth="1"/>
    <col min="10491" max="10491" width="18.5546875" style="32" customWidth="1"/>
    <col min="10492" max="10492" width="39.44140625" style="32" customWidth="1"/>
    <col min="10493" max="10493" width="88.109375" style="32" bestFit="1" customWidth="1"/>
    <col min="10494" max="10494" width="28.44140625" style="32" customWidth="1"/>
    <col min="10495" max="10495" width="22.6640625" style="32" customWidth="1"/>
    <col min="10496" max="10496" width="28" style="32" customWidth="1"/>
    <col min="10497" max="10497" width="32.33203125" style="32" bestFit="1" customWidth="1"/>
    <col min="10498" max="10498" width="27.44140625" style="32" bestFit="1" customWidth="1"/>
    <col min="10499" max="10499" width="23" style="32" bestFit="1" customWidth="1"/>
    <col min="10500" max="10500" width="27.6640625" style="32" bestFit="1" customWidth="1"/>
    <col min="10501" max="10501" width="23" style="32" bestFit="1" customWidth="1"/>
    <col min="10502" max="10502" width="26" style="32" customWidth="1"/>
    <col min="10503" max="10503" width="22.44140625" style="32" bestFit="1" customWidth="1"/>
    <col min="10504" max="10504" width="22" style="32" bestFit="1" customWidth="1"/>
    <col min="10505" max="10506" width="12.109375" style="32" customWidth="1"/>
    <col min="10507" max="10507" width="28.6640625" style="32" customWidth="1"/>
    <col min="10508" max="10508" width="13" style="32" bestFit="1" customWidth="1"/>
    <col min="10509" max="10509" width="36.88671875" style="32" customWidth="1"/>
    <col min="10510" max="10510" width="76.88671875" style="32" bestFit="1" customWidth="1"/>
    <col min="10511" max="10511" width="6.88671875" style="32" bestFit="1" customWidth="1"/>
    <col min="10512" max="10512" width="24.33203125" style="32" bestFit="1" customWidth="1"/>
    <col min="10513" max="10513" width="14.44140625" style="32" bestFit="1" customWidth="1"/>
    <col min="10514" max="10514" width="15.44140625" style="32" bestFit="1" customWidth="1"/>
    <col min="10515" max="10515" width="18.88671875" style="32" bestFit="1" customWidth="1"/>
    <col min="10516" max="10516" width="9.109375" style="32"/>
    <col min="10517" max="10517" width="38.5546875" style="32" bestFit="1" customWidth="1"/>
    <col min="10518" max="10745" width="9.109375" style="32"/>
    <col min="10746" max="10746" width="5.88671875" style="32" customWidth="1"/>
    <col min="10747" max="10747" width="18.5546875" style="32" customWidth="1"/>
    <col min="10748" max="10748" width="39.44140625" style="32" customWidth="1"/>
    <col min="10749" max="10749" width="88.109375" style="32" bestFit="1" customWidth="1"/>
    <col min="10750" max="10750" width="28.44140625" style="32" customWidth="1"/>
    <col min="10751" max="10751" width="22.6640625" style="32" customWidth="1"/>
    <col min="10752" max="10752" width="28" style="32" customWidth="1"/>
    <col min="10753" max="10753" width="32.33203125" style="32" bestFit="1" customWidth="1"/>
    <col min="10754" max="10754" width="27.44140625" style="32" bestFit="1" customWidth="1"/>
    <col min="10755" max="10755" width="23" style="32" bestFit="1" customWidth="1"/>
    <col min="10756" max="10756" width="27.6640625" style="32" bestFit="1" customWidth="1"/>
    <col min="10757" max="10757" width="23" style="32" bestFit="1" customWidth="1"/>
    <col min="10758" max="10758" width="26" style="32" customWidth="1"/>
    <col min="10759" max="10759" width="22.44140625" style="32" bestFit="1" customWidth="1"/>
    <col min="10760" max="10760" width="22" style="32" bestFit="1" customWidth="1"/>
    <col min="10761" max="10762" width="12.109375" style="32" customWidth="1"/>
    <col min="10763" max="10763" width="28.6640625" style="32" customWidth="1"/>
    <col min="10764" max="10764" width="13" style="32" bestFit="1" customWidth="1"/>
    <col min="10765" max="10765" width="36.88671875" style="32" customWidth="1"/>
    <col min="10766" max="10766" width="76.88671875" style="32" bestFit="1" customWidth="1"/>
    <col min="10767" max="10767" width="6.88671875" style="32" bestFit="1" customWidth="1"/>
    <col min="10768" max="10768" width="24.33203125" style="32" bestFit="1" customWidth="1"/>
    <col min="10769" max="10769" width="14.44140625" style="32" bestFit="1" customWidth="1"/>
    <col min="10770" max="10770" width="15.44140625" style="32" bestFit="1" customWidth="1"/>
    <col min="10771" max="10771" width="18.88671875" style="32" bestFit="1" customWidth="1"/>
    <col min="10772" max="10772" width="9.109375" style="32"/>
    <col min="10773" max="10773" width="38.5546875" style="32" bestFit="1" customWidth="1"/>
    <col min="10774" max="11001" width="9.109375" style="32"/>
    <col min="11002" max="11002" width="5.88671875" style="32" customWidth="1"/>
    <col min="11003" max="11003" width="18.5546875" style="32" customWidth="1"/>
    <col min="11004" max="11004" width="39.44140625" style="32" customWidth="1"/>
    <col min="11005" max="11005" width="88.109375" style="32" bestFit="1" customWidth="1"/>
    <col min="11006" max="11006" width="28.44140625" style="32" customWidth="1"/>
    <col min="11007" max="11007" width="22.6640625" style="32" customWidth="1"/>
    <col min="11008" max="11008" width="28" style="32" customWidth="1"/>
    <col min="11009" max="11009" width="32.33203125" style="32" bestFit="1" customWidth="1"/>
    <col min="11010" max="11010" width="27.44140625" style="32" bestFit="1" customWidth="1"/>
    <col min="11011" max="11011" width="23" style="32" bestFit="1" customWidth="1"/>
    <col min="11012" max="11012" width="27.6640625" style="32" bestFit="1" customWidth="1"/>
    <col min="11013" max="11013" width="23" style="32" bestFit="1" customWidth="1"/>
    <col min="11014" max="11014" width="26" style="32" customWidth="1"/>
    <col min="11015" max="11015" width="22.44140625" style="32" bestFit="1" customWidth="1"/>
    <col min="11016" max="11016" width="22" style="32" bestFit="1" customWidth="1"/>
    <col min="11017" max="11018" width="12.109375" style="32" customWidth="1"/>
    <col min="11019" max="11019" width="28.6640625" style="32" customWidth="1"/>
    <col min="11020" max="11020" width="13" style="32" bestFit="1" customWidth="1"/>
    <col min="11021" max="11021" width="36.88671875" style="32" customWidth="1"/>
    <col min="11022" max="11022" width="76.88671875" style="32" bestFit="1" customWidth="1"/>
    <col min="11023" max="11023" width="6.88671875" style="32" bestFit="1" customWidth="1"/>
    <col min="11024" max="11024" width="24.33203125" style="32" bestFit="1" customWidth="1"/>
    <col min="11025" max="11025" width="14.44140625" style="32" bestFit="1" customWidth="1"/>
    <col min="11026" max="11026" width="15.44140625" style="32" bestFit="1" customWidth="1"/>
    <col min="11027" max="11027" width="18.88671875" style="32" bestFit="1" customWidth="1"/>
    <col min="11028" max="11028" width="9.109375" style="32"/>
    <col min="11029" max="11029" width="38.5546875" style="32" bestFit="1" customWidth="1"/>
    <col min="11030" max="11257" width="9.109375" style="32"/>
    <col min="11258" max="11258" width="5.88671875" style="32" customWidth="1"/>
    <col min="11259" max="11259" width="18.5546875" style="32" customWidth="1"/>
    <col min="11260" max="11260" width="39.44140625" style="32" customWidth="1"/>
    <col min="11261" max="11261" width="88.109375" style="32" bestFit="1" customWidth="1"/>
    <col min="11262" max="11262" width="28.44140625" style="32" customWidth="1"/>
    <col min="11263" max="11263" width="22.6640625" style="32" customWidth="1"/>
    <col min="11264" max="11264" width="28" style="32" customWidth="1"/>
    <col min="11265" max="11265" width="32.33203125" style="32" bestFit="1" customWidth="1"/>
    <col min="11266" max="11266" width="27.44140625" style="32" bestFit="1" customWidth="1"/>
    <col min="11267" max="11267" width="23" style="32" bestFit="1" customWidth="1"/>
    <col min="11268" max="11268" width="27.6640625" style="32" bestFit="1" customWidth="1"/>
    <col min="11269" max="11269" width="23" style="32" bestFit="1" customWidth="1"/>
    <col min="11270" max="11270" width="26" style="32" customWidth="1"/>
    <col min="11271" max="11271" width="22.44140625" style="32" bestFit="1" customWidth="1"/>
    <col min="11272" max="11272" width="22" style="32" bestFit="1" customWidth="1"/>
    <col min="11273" max="11274" width="12.109375" style="32" customWidth="1"/>
    <col min="11275" max="11275" width="28.6640625" style="32" customWidth="1"/>
    <col min="11276" max="11276" width="13" style="32" bestFit="1" customWidth="1"/>
    <col min="11277" max="11277" width="36.88671875" style="32" customWidth="1"/>
    <col min="11278" max="11278" width="76.88671875" style="32" bestFit="1" customWidth="1"/>
    <col min="11279" max="11279" width="6.88671875" style="32" bestFit="1" customWidth="1"/>
    <col min="11280" max="11280" width="24.33203125" style="32" bestFit="1" customWidth="1"/>
    <col min="11281" max="11281" width="14.44140625" style="32" bestFit="1" customWidth="1"/>
    <col min="11282" max="11282" width="15.44140625" style="32" bestFit="1" customWidth="1"/>
    <col min="11283" max="11283" width="18.88671875" style="32" bestFit="1" customWidth="1"/>
    <col min="11284" max="11284" width="9.109375" style="32"/>
    <col min="11285" max="11285" width="38.5546875" style="32" bestFit="1" customWidth="1"/>
    <col min="11286" max="11513" width="9.109375" style="32"/>
    <col min="11514" max="11514" width="5.88671875" style="32" customWidth="1"/>
    <col min="11515" max="11515" width="18.5546875" style="32" customWidth="1"/>
    <col min="11516" max="11516" width="39.44140625" style="32" customWidth="1"/>
    <col min="11517" max="11517" width="88.109375" style="32" bestFit="1" customWidth="1"/>
    <col min="11518" max="11518" width="28.44140625" style="32" customWidth="1"/>
    <col min="11519" max="11519" width="22.6640625" style="32" customWidth="1"/>
    <col min="11520" max="11520" width="28" style="32" customWidth="1"/>
    <col min="11521" max="11521" width="32.33203125" style="32" bestFit="1" customWidth="1"/>
    <col min="11522" max="11522" width="27.44140625" style="32" bestFit="1" customWidth="1"/>
    <col min="11523" max="11523" width="23" style="32" bestFit="1" customWidth="1"/>
    <col min="11524" max="11524" width="27.6640625" style="32" bestFit="1" customWidth="1"/>
    <col min="11525" max="11525" width="23" style="32" bestFit="1" customWidth="1"/>
    <col min="11526" max="11526" width="26" style="32" customWidth="1"/>
    <col min="11527" max="11527" width="22.44140625" style="32" bestFit="1" customWidth="1"/>
    <col min="11528" max="11528" width="22" style="32" bestFit="1" customWidth="1"/>
    <col min="11529" max="11530" width="12.109375" style="32" customWidth="1"/>
    <col min="11531" max="11531" width="28.6640625" style="32" customWidth="1"/>
    <col min="11532" max="11532" width="13" style="32" bestFit="1" customWidth="1"/>
    <col min="11533" max="11533" width="36.88671875" style="32" customWidth="1"/>
    <col min="11534" max="11534" width="76.88671875" style="32" bestFit="1" customWidth="1"/>
    <col min="11535" max="11535" width="6.88671875" style="32" bestFit="1" customWidth="1"/>
    <col min="11536" max="11536" width="24.33203125" style="32" bestFit="1" customWidth="1"/>
    <col min="11537" max="11537" width="14.44140625" style="32" bestFit="1" customWidth="1"/>
    <col min="11538" max="11538" width="15.44140625" style="32" bestFit="1" customWidth="1"/>
    <col min="11539" max="11539" width="18.88671875" style="32" bestFit="1" customWidth="1"/>
    <col min="11540" max="11540" width="9.109375" style="32"/>
    <col min="11541" max="11541" width="38.5546875" style="32" bestFit="1" customWidth="1"/>
    <col min="11542" max="11769" width="9.109375" style="32"/>
    <col min="11770" max="11770" width="5.88671875" style="32" customWidth="1"/>
    <col min="11771" max="11771" width="18.5546875" style="32" customWidth="1"/>
    <col min="11772" max="11772" width="39.44140625" style="32" customWidth="1"/>
    <col min="11773" max="11773" width="88.109375" style="32" bestFit="1" customWidth="1"/>
    <col min="11774" max="11774" width="28.44140625" style="32" customWidth="1"/>
    <col min="11775" max="11775" width="22.6640625" style="32" customWidth="1"/>
    <col min="11776" max="11776" width="28" style="32" customWidth="1"/>
    <col min="11777" max="11777" width="32.33203125" style="32" bestFit="1" customWidth="1"/>
    <col min="11778" max="11778" width="27.44140625" style="32" bestFit="1" customWidth="1"/>
    <col min="11779" max="11779" width="23" style="32" bestFit="1" customWidth="1"/>
    <col min="11780" max="11780" width="27.6640625" style="32" bestFit="1" customWidth="1"/>
    <col min="11781" max="11781" width="23" style="32" bestFit="1" customWidth="1"/>
    <col min="11782" max="11782" width="26" style="32" customWidth="1"/>
    <col min="11783" max="11783" width="22.44140625" style="32" bestFit="1" customWidth="1"/>
    <col min="11784" max="11784" width="22" style="32" bestFit="1" customWidth="1"/>
    <col min="11785" max="11786" width="12.109375" style="32" customWidth="1"/>
    <col min="11787" max="11787" width="28.6640625" style="32" customWidth="1"/>
    <col min="11788" max="11788" width="13" style="32" bestFit="1" customWidth="1"/>
    <col min="11789" max="11789" width="36.88671875" style="32" customWidth="1"/>
    <col min="11790" max="11790" width="76.88671875" style="32" bestFit="1" customWidth="1"/>
    <col min="11791" max="11791" width="6.88671875" style="32" bestFit="1" customWidth="1"/>
    <col min="11792" max="11792" width="24.33203125" style="32" bestFit="1" customWidth="1"/>
    <col min="11793" max="11793" width="14.44140625" style="32" bestFit="1" customWidth="1"/>
    <col min="11794" max="11794" width="15.44140625" style="32" bestFit="1" customWidth="1"/>
    <col min="11795" max="11795" width="18.88671875" style="32" bestFit="1" customWidth="1"/>
    <col min="11796" max="11796" width="9.109375" style="32"/>
    <col min="11797" max="11797" width="38.5546875" style="32" bestFit="1" customWidth="1"/>
    <col min="11798" max="12025" width="9.109375" style="32"/>
    <col min="12026" max="12026" width="5.88671875" style="32" customWidth="1"/>
    <col min="12027" max="12027" width="18.5546875" style="32" customWidth="1"/>
    <col min="12028" max="12028" width="39.44140625" style="32" customWidth="1"/>
    <col min="12029" max="12029" width="88.109375" style="32" bestFit="1" customWidth="1"/>
    <col min="12030" max="12030" width="28.44140625" style="32" customWidth="1"/>
    <col min="12031" max="12031" width="22.6640625" style="32" customWidth="1"/>
    <col min="12032" max="12032" width="28" style="32" customWidth="1"/>
    <col min="12033" max="12033" width="32.33203125" style="32" bestFit="1" customWidth="1"/>
    <col min="12034" max="12034" width="27.44140625" style="32" bestFit="1" customWidth="1"/>
    <col min="12035" max="12035" width="23" style="32" bestFit="1" customWidth="1"/>
    <col min="12036" max="12036" width="27.6640625" style="32" bestFit="1" customWidth="1"/>
    <col min="12037" max="12037" width="23" style="32" bestFit="1" customWidth="1"/>
    <col min="12038" max="12038" width="26" style="32" customWidth="1"/>
    <col min="12039" max="12039" width="22.44140625" style="32" bestFit="1" customWidth="1"/>
    <col min="12040" max="12040" width="22" style="32" bestFit="1" customWidth="1"/>
    <col min="12041" max="12042" width="12.109375" style="32" customWidth="1"/>
    <col min="12043" max="12043" width="28.6640625" style="32" customWidth="1"/>
    <col min="12044" max="12044" width="13" style="32" bestFit="1" customWidth="1"/>
    <col min="12045" max="12045" width="36.88671875" style="32" customWidth="1"/>
    <col min="12046" max="12046" width="76.88671875" style="32" bestFit="1" customWidth="1"/>
    <col min="12047" max="12047" width="6.88671875" style="32" bestFit="1" customWidth="1"/>
    <col min="12048" max="12048" width="24.33203125" style="32" bestFit="1" customWidth="1"/>
    <col min="12049" max="12049" width="14.44140625" style="32" bestFit="1" customWidth="1"/>
    <col min="12050" max="12050" width="15.44140625" style="32" bestFit="1" customWidth="1"/>
    <col min="12051" max="12051" width="18.88671875" style="32" bestFit="1" customWidth="1"/>
    <col min="12052" max="12052" width="9.109375" style="32"/>
    <col min="12053" max="12053" width="38.5546875" style="32" bestFit="1" customWidth="1"/>
    <col min="12054" max="12281" width="9.109375" style="32"/>
    <col min="12282" max="12282" width="5.88671875" style="32" customWidth="1"/>
    <col min="12283" max="12283" width="18.5546875" style="32" customWidth="1"/>
    <col min="12284" max="12284" width="39.44140625" style="32" customWidth="1"/>
    <col min="12285" max="12285" width="88.109375" style="32" bestFit="1" customWidth="1"/>
    <col min="12286" max="12286" width="28.44140625" style="32" customWidth="1"/>
    <col min="12287" max="12287" width="22.6640625" style="32" customWidth="1"/>
    <col min="12288" max="12288" width="28" style="32" customWidth="1"/>
    <col min="12289" max="12289" width="32.33203125" style="32" bestFit="1" customWidth="1"/>
    <col min="12290" max="12290" width="27.44140625" style="32" bestFit="1" customWidth="1"/>
    <col min="12291" max="12291" width="23" style="32" bestFit="1" customWidth="1"/>
    <col min="12292" max="12292" width="27.6640625" style="32" bestFit="1" customWidth="1"/>
    <col min="12293" max="12293" width="23" style="32" bestFit="1" customWidth="1"/>
    <col min="12294" max="12294" width="26" style="32" customWidth="1"/>
    <col min="12295" max="12295" width="22.44140625" style="32" bestFit="1" customWidth="1"/>
    <col min="12296" max="12296" width="22" style="32" bestFit="1" customWidth="1"/>
    <col min="12297" max="12298" width="12.109375" style="32" customWidth="1"/>
    <col min="12299" max="12299" width="28.6640625" style="32" customWidth="1"/>
    <col min="12300" max="12300" width="13" style="32" bestFit="1" customWidth="1"/>
    <col min="12301" max="12301" width="36.88671875" style="32" customWidth="1"/>
    <col min="12302" max="12302" width="76.88671875" style="32" bestFit="1" customWidth="1"/>
    <col min="12303" max="12303" width="6.88671875" style="32" bestFit="1" customWidth="1"/>
    <col min="12304" max="12304" width="24.33203125" style="32" bestFit="1" customWidth="1"/>
    <col min="12305" max="12305" width="14.44140625" style="32" bestFit="1" customWidth="1"/>
    <col min="12306" max="12306" width="15.44140625" style="32" bestFit="1" customWidth="1"/>
    <col min="12307" max="12307" width="18.88671875" style="32" bestFit="1" customWidth="1"/>
    <col min="12308" max="12308" width="9.109375" style="32"/>
    <col min="12309" max="12309" width="38.5546875" style="32" bestFit="1" customWidth="1"/>
    <col min="12310" max="12537" width="9.109375" style="32"/>
    <col min="12538" max="12538" width="5.88671875" style="32" customWidth="1"/>
    <col min="12539" max="12539" width="18.5546875" style="32" customWidth="1"/>
    <col min="12540" max="12540" width="39.44140625" style="32" customWidth="1"/>
    <col min="12541" max="12541" width="88.109375" style="32" bestFit="1" customWidth="1"/>
    <col min="12542" max="12542" width="28.44140625" style="32" customWidth="1"/>
    <col min="12543" max="12543" width="22.6640625" style="32" customWidth="1"/>
    <col min="12544" max="12544" width="28" style="32" customWidth="1"/>
    <col min="12545" max="12545" width="32.33203125" style="32" bestFit="1" customWidth="1"/>
    <col min="12546" max="12546" width="27.44140625" style="32" bestFit="1" customWidth="1"/>
    <col min="12547" max="12547" width="23" style="32" bestFit="1" customWidth="1"/>
    <col min="12548" max="12548" width="27.6640625" style="32" bestFit="1" customWidth="1"/>
    <col min="12549" max="12549" width="23" style="32" bestFit="1" customWidth="1"/>
    <col min="12550" max="12550" width="26" style="32" customWidth="1"/>
    <col min="12551" max="12551" width="22.44140625" style="32" bestFit="1" customWidth="1"/>
    <col min="12552" max="12552" width="22" style="32" bestFit="1" customWidth="1"/>
    <col min="12553" max="12554" width="12.109375" style="32" customWidth="1"/>
    <col min="12555" max="12555" width="28.6640625" style="32" customWidth="1"/>
    <col min="12556" max="12556" width="13" style="32" bestFit="1" customWidth="1"/>
    <col min="12557" max="12557" width="36.88671875" style="32" customWidth="1"/>
    <col min="12558" max="12558" width="76.88671875" style="32" bestFit="1" customWidth="1"/>
    <col min="12559" max="12559" width="6.88671875" style="32" bestFit="1" customWidth="1"/>
    <col min="12560" max="12560" width="24.33203125" style="32" bestFit="1" customWidth="1"/>
    <col min="12561" max="12561" width="14.44140625" style="32" bestFit="1" customWidth="1"/>
    <col min="12562" max="12562" width="15.44140625" style="32" bestFit="1" customWidth="1"/>
    <col min="12563" max="12563" width="18.88671875" style="32" bestFit="1" customWidth="1"/>
    <col min="12564" max="12564" width="9.109375" style="32"/>
    <col min="12565" max="12565" width="38.5546875" style="32" bestFit="1" customWidth="1"/>
    <col min="12566" max="12793" width="9.109375" style="32"/>
    <col min="12794" max="12794" width="5.88671875" style="32" customWidth="1"/>
    <col min="12795" max="12795" width="18.5546875" style="32" customWidth="1"/>
    <col min="12796" max="12796" width="39.44140625" style="32" customWidth="1"/>
    <col min="12797" max="12797" width="88.109375" style="32" bestFit="1" customWidth="1"/>
    <col min="12798" max="12798" width="28.44140625" style="32" customWidth="1"/>
    <col min="12799" max="12799" width="22.6640625" style="32" customWidth="1"/>
    <col min="12800" max="12800" width="28" style="32" customWidth="1"/>
    <col min="12801" max="12801" width="32.33203125" style="32" bestFit="1" customWidth="1"/>
    <col min="12802" max="12802" width="27.44140625" style="32" bestFit="1" customWidth="1"/>
    <col min="12803" max="12803" width="23" style="32" bestFit="1" customWidth="1"/>
    <col min="12804" max="12804" width="27.6640625" style="32" bestFit="1" customWidth="1"/>
    <col min="12805" max="12805" width="23" style="32" bestFit="1" customWidth="1"/>
    <col min="12806" max="12806" width="26" style="32" customWidth="1"/>
    <col min="12807" max="12807" width="22.44140625" style="32" bestFit="1" customWidth="1"/>
    <col min="12808" max="12808" width="22" style="32" bestFit="1" customWidth="1"/>
    <col min="12809" max="12810" width="12.109375" style="32" customWidth="1"/>
    <col min="12811" max="12811" width="28.6640625" style="32" customWidth="1"/>
    <col min="12812" max="12812" width="13" style="32" bestFit="1" customWidth="1"/>
    <col min="12813" max="12813" width="36.88671875" style="32" customWidth="1"/>
    <col min="12814" max="12814" width="76.88671875" style="32" bestFit="1" customWidth="1"/>
    <col min="12815" max="12815" width="6.88671875" style="32" bestFit="1" customWidth="1"/>
    <col min="12816" max="12816" width="24.33203125" style="32" bestFit="1" customWidth="1"/>
    <col min="12817" max="12817" width="14.44140625" style="32" bestFit="1" customWidth="1"/>
    <col min="12818" max="12818" width="15.44140625" style="32" bestFit="1" customWidth="1"/>
    <col min="12819" max="12819" width="18.88671875" style="32" bestFit="1" customWidth="1"/>
    <col min="12820" max="12820" width="9.109375" style="32"/>
    <col min="12821" max="12821" width="38.5546875" style="32" bestFit="1" customWidth="1"/>
    <col min="12822" max="13049" width="9.109375" style="32"/>
    <col min="13050" max="13050" width="5.88671875" style="32" customWidth="1"/>
    <col min="13051" max="13051" width="18.5546875" style="32" customWidth="1"/>
    <col min="13052" max="13052" width="39.44140625" style="32" customWidth="1"/>
    <col min="13053" max="13053" width="88.109375" style="32" bestFit="1" customWidth="1"/>
    <col min="13054" max="13054" width="28.44140625" style="32" customWidth="1"/>
    <col min="13055" max="13055" width="22.6640625" style="32" customWidth="1"/>
    <col min="13056" max="13056" width="28" style="32" customWidth="1"/>
    <col min="13057" max="13057" width="32.33203125" style="32" bestFit="1" customWidth="1"/>
    <col min="13058" max="13058" width="27.44140625" style="32" bestFit="1" customWidth="1"/>
    <col min="13059" max="13059" width="23" style="32" bestFit="1" customWidth="1"/>
    <col min="13060" max="13060" width="27.6640625" style="32" bestFit="1" customWidth="1"/>
    <col min="13061" max="13061" width="23" style="32" bestFit="1" customWidth="1"/>
    <col min="13062" max="13062" width="26" style="32" customWidth="1"/>
    <col min="13063" max="13063" width="22.44140625" style="32" bestFit="1" customWidth="1"/>
    <col min="13064" max="13064" width="22" style="32" bestFit="1" customWidth="1"/>
    <col min="13065" max="13066" width="12.109375" style="32" customWidth="1"/>
    <col min="13067" max="13067" width="28.6640625" style="32" customWidth="1"/>
    <col min="13068" max="13068" width="13" style="32" bestFit="1" customWidth="1"/>
    <col min="13069" max="13069" width="36.88671875" style="32" customWidth="1"/>
    <col min="13070" max="13070" width="76.88671875" style="32" bestFit="1" customWidth="1"/>
    <col min="13071" max="13071" width="6.88671875" style="32" bestFit="1" customWidth="1"/>
    <col min="13072" max="13072" width="24.33203125" style="32" bestFit="1" customWidth="1"/>
    <col min="13073" max="13073" width="14.44140625" style="32" bestFit="1" customWidth="1"/>
    <col min="13074" max="13074" width="15.44140625" style="32" bestFit="1" customWidth="1"/>
    <col min="13075" max="13075" width="18.88671875" style="32" bestFit="1" customWidth="1"/>
    <col min="13076" max="13076" width="9.109375" style="32"/>
    <col min="13077" max="13077" width="38.5546875" style="32" bestFit="1" customWidth="1"/>
    <col min="13078" max="13305" width="9.109375" style="32"/>
    <col min="13306" max="13306" width="5.88671875" style="32" customWidth="1"/>
    <col min="13307" max="13307" width="18.5546875" style="32" customWidth="1"/>
    <col min="13308" max="13308" width="39.44140625" style="32" customWidth="1"/>
    <col min="13309" max="13309" width="88.109375" style="32" bestFit="1" customWidth="1"/>
    <col min="13310" max="13310" width="28.44140625" style="32" customWidth="1"/>
    <col min="13311" max="13311" width="22.6640625" style="32" customWidth="1"/>
    <col min="13312" max="13312" width="28" style="32" customWidth="1"/>
    <col min="13313" max="13313" width="32.33203125" style="32" bestFit="1" customWidth="1"/>
    <col min="13314" max="13314" width="27.44140625" style="32" bestFit="1" customWidth="1"/>
    <col min="13315" max="13315" width="23" style="32" bestFit="1" customWidth="1"/>
    <col min="13316" max="13316" width="27.6640625" style="32" bestFit="1" customWidth="1"/>
    <col min="13317" max="13317" width="23" style="32" bestFit="1" customWidth="1"/>
    <col min="13318" max="13318" width="26" style="32" customWidth="1"/>
    <col min="13319" max="13319" width="22.44140625" style="32" bestFit="1" customWidth="1"/>
    <col min="13320" max="13320" width="22" style="32" bestFit="1" customWidth="1"/>
    <col min="13321" max="13322" width="12.109375" style="32" customWidth="1"/>
    <col min="13323" max="13323" width="28.6640625" style="32" customWidth="1"/>
    <col min="13324" max="13324" width="13" style="32" bestFit="1" customWidth="1"/>
    <col min="13325" max="13325" width="36.88671875" style="32" customWidth="1"/>
    <col min="13326" max="13326" width="76.88671875" style="32" bestFit="1" customWidth="1"/>
    <col min="13327" max="13327" width="6.88671875" style="32" bestFit="1" customWidth="1"/>
    <col min="13328" max="13328" width="24.33203125" style="32" bestFit="1" customWidth="1"/>
    <col min="13329" max="13329" width="14.44140625" style="32" bestFit="1" customWidth="1"/>
    <col min="13330" max="13330" width="15.44140625" style="32" bestFit="1" customWidth="1"/>
    <col min="13331" max="13331" width="18.88671875" style="32" bestFit="1" customWidth="1"/>
    <col min="13332" max="13332" width="9.109375" style="32"/>
    <col min="13333" max="13333" width="38.5546875" style="32" bestFit="1" customWidth="1"/>
    <col min="13334" max="13561" width="9.109375" style="32"/>
    <col min="13562" max="13562" width="5.88671875" style="32" customWidth="1"/>
    <col min="13563" max="13563" width="18.5546875" style="32" customWidth="1"/>
    <col min="13564" max="13564" width="39.44140625" style="32" customWidth="1"/>
    <col min="13565" max="13565" width="88.109375" style="32" bestFit="1" customWidth="1"/>
    <col min="13566" max="13566" width="28.44140625" style="32" customWidth="1"/>
    <col min="13567" max="13567" width="22.6640625" style="32" customWidth="1"/>
    <col min="13568" max="13568" width="28" style="32" customWidth="1"/>
    <col min="13569" max="13569" width="32.33203125" style="32" bestFit="1" customWidth="1"/>
    <col min="13570" max="13570" width="27.44140625" style="32" bestFit="1" customWidth="1"/>
    <col min="13571" max="13571" width="23" style="32" bestFit="1" customWidth="1"/>
    <col min="13572" max="13572" width="27.6640625" style="32" bestFit="1" customWidth="1"/>
    <col min="13573" max="13573" width="23" style="32" bestFit="1" customWidth="1"/>
    <col min="13574" max="13574" width="26" style="32" customWidth="1"/>
    <col min="13575" max="13575" width="22.44140625" style="32" bestFit="1" customWidth="1"/>
    <col min="13576" max="13576" width="22" style="32" bestFit="1" customWidth="1"/>
    <col min="13577" max="13578" width="12.109375" style="32" customWidth="1"/>
    <col min="13579" max="13579" width="28.6640625" style="32" customWidth="1"/>
    <col min="13580" max="13580" width="13" style="32" bestFit="1" customWidth="1"/>
    <col min="13581" max="13581" width="36.88671875" style="32" customWidth="1"/>
    <col min="13582" max="13582" width="76.88671875" style="32" bestFit="1" customWidth="1"/>
    <col min="13583" max="13583" width="6.88671875" style="32" bestFit="1" customWidth="1"/>
    <col min="13584" max="13584" width="24.33203125" style="32" bestFit="1" customWidth="1"/>
    <col min="13585" max="13585" width="14.44140625" style="32" bestFit="1" customWidth="1"/>
    <col min="13586" max="13586" width="15.44140625" style="32" bestFit="1" customWidth="1"/>
    <col min="13587" max="13587" width="18.88671875" style="32" bestFit="1" customWidth="1"/>
    <col min="13588" max="13588" width="9.109375" style="32"/>
    <col min="13589" max="13589" width="38.5546875" style="32" bestFit="1" customWidth="1"/>
    <col min="13590" max="13817" width="9.109375" style="32"/>
    <col min="13818" max="13818" width="5.88671875" style="32" customWidth="1"/>
    <col min="13819" max="13819" width="18.5546875" style="32" customWidth="1"/>
    <col min="13820" max="13820" width="39.44140625" style="32" customWidth="1"/>
    <col min="13821" max="13821" width="88.109375" style="32" bestFit="1" customWidth="1"/>
    <col min="13822" max="13822" width="28.44140625" style="32" customWidth="1"/>
    <col min="13823" max="13823" width="22.6640625" style="32" customWidth="1"/>
    <col min="13824" max="13824" width="28" style="32" customWidth="1"/>
    <col min="13825" max="13825" width="32.33203125" style="32" bestFit="1" customWidth="1"/>
    <col min="13826" max="13826" width="27.44140625" style="32" bestFit="1" customWidth="1"/>
    <col min="13827" max="13827" width="23" style="32" bestFit="1" customWidth="1"/>
    <col min="13828" max="13828" width="27.6640625" style="32" bestFit="1" customWidth="1"/>
    <col min="13829" max="13829" width="23" style="32" bestFit="1" customWidth="1"/>
    <col min="13830" max="13830" width="26" style="32" customWidth="1"/>
    <col min="13831" max="13831" width="22.44140625" style="32" bestFit="1" customWidth="1"/>
    <col min="13832" max="13832" width="22" style="32" bestFit="1" customWidth="1"/>
    <col min="13833" max="13834" width="12.109375" style="32" customWidth="1"/>
    <col min="13835" max="13835" width="28.6640625" style="32" customWidth="1"/>
    <col min="13836" max="13836" width="13" style="32" bestFit="1" customWidth="1"/>
    <col min="13837" max="13837" width="36.88671875" style="32" customWidth="1"/>
    <col min="13838" max="13838" width="76.88671875" style="32" bestFit="1" customWidth="1"/>
    <col min="13839" max="13839" width="6.88671875" style="32" bestFit="1" customWidth="1"/>
    <col min="13840" max="13840" width="24.33203125" style="32" bestFit="1" customWidth="1"/>
    <col min="13841" max="13841" width="14.44140625" style="32" bestFit="1" customWidth="1"/>
    <col min="13842" max="13842" width="15.44140625" style="32" bestFit="1" customWidth="1"/>
    <col min="13843" max="13843" width="18.88671875" style="32" bestFit="1" customWidth="1"/>
    <col min="13844" max="13844" width="9.109375" style="32"/>
    <col min="13845" max="13845" width="38.5546875" style="32" bestFit="1" customWidth="1"/>
    <col min="13846" max="14073" width="9.109375" style="32"/>
    <col min="14074" max="14074" width="5.88671875" style="32" customWidth="1"/>
    <col min="14075" max="14075" width="18.5546875" style="32" customWidth="1"/>
    <col min="14076" max="14076" width="39.44140625" style="32" customWidth="1"/>
    <col min="14077" max="14077" width="88.109375" style="32" bestFit="1" customWidth="1"/>
    <col min="14078" max="14078" width="28.44140625" style="32" customWidth="1"/>
    <col min="14079" max="14079" width="22.6640625" style="32" customWidth="1"/>
    <col min="14080" max="14080" width="28" style="32" customWidth="1"/>
    <col min="14081" max="14081" width="32.33203125" style="32" bestFit="1" customWidth="1"/>
    <col min="14082" max="14082" width="27.44140625" style="32" bestFit="1" customWidth="1"/>
    <col min="14083" max="14083" width="23" style="32" bestFit="1" customWidth="1"/>
    <col min="14084" max="14084" width="27.6640625" style="32" bestFit="1" customWidth="1"/>
    <col min="14085" max="14085" width="23" style="32" bestFit="1" customWidth="1"/>
    <col min="14086" max="14086" width="26" style="32" customWidth="1"/>
    <col min="14087" max="14087" width="22.44140625" style="32" bestFit="1" customWidth="1"/>
    <col min="14088" max="14088" width="22" style="32" bestFit="1" customWidth="1"/>
    <col min="14089" max="14090" width="12.109375" style="32" customWidth="1"/>
    <col min="14091" max="14091" width="28.6640625" style="32" customWidth="1"/>
    <col min="14092" max="14092" width="13" style="32" bestFit="1" customWidth="1"/>
    <col min="14093" max="14093" width="36.88671875" style="32" customWidth="1"/>
    <col min="14094" max="14094" width="76.88671875" style="32" bestFit="1" customWidth="1"/>
    <col min="14095" max="14095" width="6.88671875" style="32" bestFit="1" customWidth="1"/>
    <col min="14096" max="14096" width="24.33203125" style="32" bestFit="1" customWidth="1"/>
    <col min="14097" max="14097" width="14.44140625" style="32" bestFit="1" customWidth="1"/>
    <col min="14098" max="14098" width="15.44140625" style="32" bestFit="1" customWidth="1"/>
    <col min="14099" max="14099" width="18.88671875" style="32" bestFit="1" customWidth="1"/>
    <col min="14100" max="14100" width="9.109375" style="32"/>
    <col min="14101" max="14101" width="38.5546875" style="32" bestFit="1" customWidth="1"/>
    <col min="14102" max="14329" width="9.109375" style="32"/>
    <col min="14330" max="14330" width="5.88671875" style="32" customWidth="1"/>
    <col min="14331" max="14331" width="18.5546875" style="32" customWidth="1"/>
    <col min="14332" max="14332" width="39.44140625" style="32" customWidth="1"/>
    <col min="14333" max="14333" width="88.109375" style="32" bestFit="1" customWidth="1"/>
    <col min="14334" max="14334" width="28.44140625" style="32" customWidth="1"/>
    <col min="14335" max="14335" width="22.6640625" style="32" customWidth="1"/>
    <col min="14336" max="14336" width="28" style="32" customWidth="1"/>
    <col min="14337" max="14337" width="32.33203125" style="32" bestFit="1" customWidth="1"/>
    <col min="14338" max="14338" width="27.44140625" style="32" bestFit="1" customWidth="1"/>
    <col min="14339" max="14339" width="23" style="32" bestFit="1" customWidth="1"/>
    <col min="14340" max="14340" width="27.6640625" style="32" bestFit="1" customWidth="1"/>
    <col min="14341" max="14341" width="23" style="32" bestFit="1" customWidth="1"/>
    <col min="14342" max="14342" width="26" style="32" customWidth="1"/>
    <col min="14343" max="14343" width="22.44140625" style="32" bestFit="1" customWidth="1"/>
    <col min="14344" max="14344" width="22" style="32" bestFit="1" customWidth="1"/>
    <col min="14345" max="14346" width="12.109375" style="32" customWidth="1"/>
    <col min="14347" max="14347" width="28.6640625" style="32" customWidth="1"/>
    <col min="14348" max="14348" width="13" style="32" bestFit="1" customWidth="1"/>
    <col min="14349" max="14349" width="36.88671875" style="32" customWidth="1"/>
    <col min="14350" max="14350" width="76.88671875" style="32" bestFit="1" customWidth="1"/>
    <col min="14351" max="14351" width="6.88671875" style="32" bestFit="1" customWidth="1"/>
    <col min="14352" max="14352" width="24.33203125" style="32" bestFit="1" customWidth="1"/>
    <col min="14353" max="14353" width="14.44140625" style="32" bestFit="1" customWidth="1"/>
    <col min="14354" max="14354" width="15.44140625" style="32" bestFit="1" customWidth="1"/>
    <col min="14355" max="14355" width="18.88671875" style="32" bestFit="1" customWidth="1"/>
    <col min="14356" max="14356" width="9.109375" style="32"/>
    <col min="14357" max="14357" width="38.5546875" style="32" bestFit="1" customWidth="1"/>
    <col min="14358" max="14585" width="9.109375" style="32"/>
    <col min="14586" max="14586" width="5.88671875" style="32" customWidth="1"/>
    <col min="14587" max="14587" width="18.5546875" style="32" customWidth="1"/>
    <col min="14588" max="14588" width="39.44140625" style="32" customWidth="1"/>
    <col min="14589" max="14589" width="88.109375" style="32" bestFit="1" customWidth="1"/>
    <col min="14590" max="14590" width="28.44140625" style="32" customWidth="1"/>
    <col min="14591" max="14591" width="22.6640625" style="32" customWidth="1"/>
    <col min="14592" max="14592" width="28" style="32" customWidth="1"/>
    <col min="14593" max="14593" width="32.33203125" style="32" bestFit="1" customWidth="1"/>
    <col min="14594" max="14594" width="27.44140625" style="32" bestFit="1" customWidth="1"/>
    <col min="14595" max="14595" width="23" style="32" bestFit="1" customWidth="1"/>
    <col min="14596" max="14596" width="27.6640625" style="32" bestFit="1" customWidth="1"/>
    <col min="14597" max="14597" width="23" style="32" bestFit="1" customWidth="1"/>
    <col min="14598" max="14598" width="26" style="32" customWidth="1"/>
    <col min="14599" max="14599" width="22.44140625" style="32" bestFit="1" customWidth="1"/>
    <col min="14600" max="14600" width="22" style="32" bestFit="1" customWidth="1"/>
    <col min="14601" max="14602" width="12.109375" style="32" customWidth="1"/>
    <col min="14603" max="14603" width="28.6640625" style="32" customWidth="1"/>
    <col min="14604" max="14604" width="13" style="32" bestFit="1" customWidth="1"/>
    <col min="14605" max="14605" width="36.88671875" style="32" customWidth="1"/>
    <col min="14606" max="14606" width="76.88671875" style="32" bestFit="1" customWidth="1"/>
    <col min="14607" max="14607" width="6.88671875" style="32" bestFit="1" customWidth="1"/>
    <col min="14608" max="14608" width="24.33203125" style="32" bestFit="1" customWidth="1"/>
    <col min="14609" max="14609" width="14.44140625" style="32" bestFit="1" customWidth="1"/>
    <col min="14610" max="14610" width="15.44140625" style="32" bestFit="1" customWidth="1"/>
    <col min="14611" max="14611" width="18.88671875" style="32" bestFit="1" customWidth="1"/>
    <col min="14612" max="14612" width="9.109375" style="32"/>
    <col min="14613" max="14613" width="38.5546875" style="32" bestFit="1" customWidth="1"/>
    <col min="14614" max="14841" width="9.109375" style="32"/>
    <col min="14842" max="14842" width="5.88671875" style="32" customWidth="1"/>
    <col min="14843" max="14843" width="18.5546875" style="32" customWidth="1"/>
    <col min="14844" max="14844" width="39.44140625" style="32" customWidth="1"/>
    <col min="14845" max="14845" width="88.109375" style="32" bestFit="1" customWidth="1"/>
    <col min="14846" max="14846" width="28.44140625" style="32" customWidth="1"/>
    <col min="14847" max="14847" width="22.6640625" style="32" customWidth="1"/>
    <col min="14848" max="14848" width="28" style="32" customWidth="1"/>
    <col min="14849" max="14849" width="32.33203125" style="32" bestFit="1" customWidth="1"/>
    <col min="14850" max="14850" width="27.44140625" style="32" bestFit="1" customWidth="1"/>
    <col min="14851" max="14851" width="23" style="32" bestFit="1" customWidth="1"/>
    <col min="14852" max="14852" width="27.6640625" style="32" bestFit="1" customWidth="1"/>
    <col min="14853" max="14853" width="23" style="32" bestFit="1" customWidth="1"/>
    <col min="14854" max="14854" width="26" style="32" customWidth="1"/>
    <col min="14855" max="14855" width="22.44140625" style="32" bestFit="1" customWidth="1"/>
    <col min="14856" max="14856" width="22" style="32" bestFit="1" customWidth="1"/>
    <col min="14857" max="14858" width="12.109375" style="32" customWidth="1"/>
    <col min="14859" max="14859" width="28.6640625" style="32" customWidth="1"/>
    <col min="14860" max="14860" width="13" style="32" bestFit="1" customWidth="1"/>
    <col min="14861" max="14861" width="36.88671875" style="32" customWidth="1"/>
    <col min="14862" max="14862" width="76.88671875" style="32" bestFit="1" customWidth="1"/>
    <col min="14863" max="14863" width="6.88671875" style="32" bestFit="1" customWidth="1"/>
    <col min="14864" max="14864" width="24.33203125" style="32" bestFit="1" customWidth="1"/>
    <col min="14865" max="14865" width="14.44140625" style="32" bestFit="1" customWidth="1"/>
    <col min="14866" max="14866" width="15.44140625" style="32" bestFit="1" customWidth="1"/>
    <col min="14867" max="14867" width="18.88671875" style="32" bestFit="1" customWidth="1"/>
    <col min="14868" max="14868" width="9.109375" style="32"/>
    <col min="14869" max="14869" width="38.5546875" style="32" bestFit="1" customWidth="1"/>
    <col min="14870" max="15097" width="9.109375" style="32"/>
    <col min="15098" max="15098" width="5.88671875" style="32" customWidth="1"/>
    <col min="15099" max="15099" width="18.5546875" style="32" customWidth="1"/>
    <col min="15100" max="15100" width="39.44140625" style="32" customWidth="1"/>
    <col min="15101" max="15101" width="88.109375" style="32" bestFit="1" customWidth="1"/>
    <col min="15102" max="15102" width="28.44140625" style="32" customWidth="1"/>
    <col min="15103" max="15103" width="22.6640625" style="32" customWidth="1"/>
    <col min="15104" max="15104" width="28" style="32" customWidth="1"/>
    <col min="15105" max="15105" width="32.33203125" style="32" bestFit="1" customWidth="1"/>
    <col min="15106" max="15106" width="27.44140625" style="32" bestFit="1" customWidth="1"/>
    <col min="15107" max="15107" width="23" style="32" bestFit="1" customWidth="1"/>
    <col min="15108" max="15108" width="27.6640625" style="32" bestFit="1" customWidth="1"/>
    <col min="15109" max="15109" width="23" style="32" bestFit="1" customWidth="1"/>
    <col min="15110" max="15110" width="26" style="32" customWidth="1"/>
    <col min="15111" max="15111" width="22.44140625" style="32" bestFit="1" customWidth="1"/>
    <col min="15112" max="15112" width="22" style="32" bestFit="1" customWidth="1"/>
    <col min="15113" max="15114" width="12.109375" style="32" customWidth="1"/>
    <col min="15115" max="15115" width="28.6640625" style="32" customWidth="1"/>
    <col min="15116" max="15116" width="13" style="32" bestFit="1" customWidth="1"/>
    <col min="15117" max="15117" width="36.88671875" style="32" customWidth="1"/>
    <col min="15118" max="15118" width="76.88671875" style="32" bestFit="1" customWidth="1"/>
    <col min="15119" max="15119" width="6.88671875" style="32" bestFit="1" customWidth="1"/>
    <col min="15120" max="15120" width="24.33203125" style="32" bestFit="1" customWidth="1"/>
    <col min="15121" max="15121" width="14.44140625" style="32" bestFit="1" customWidth="1"/>
    <col min="15122" max="15122" width="15.44140625" style="32" bestFit="1" customWidth="1"/>
    <col min="15123" max="15123" width="18.88671875" style="32" bestFit="1" customWidth="1"/>
    <col min="15124" max="15124" width="9.109375" style="32"/>
    <col min="15125" max="15125" width="38.5546875" style="32" bestFit="1" customWidth="1"/>
    <col min="15126" max="15353" width="9.109375" style="32"/>
    <col min="15354" max="15354" width="5.88671875" style="32" customWidth="1"/>
    <col min="15355" max="15355" width="18.5546875" style="32" customWidth="1"/>
    <col min="15356" max="15356" width="39.44140625" style="32" customWidth="1"/>
    <col min="15357" max="15357" width="88.109375" style="32" bestFit="1" customWidth="1"/>
    <col min="15358" max="15358" width="28.44140625" style="32" customWidth="1"/>
    <col min="15359" max="15359" width="22.6640625" style="32" customWidth="1"/>
    <col min="15360" max="15360" width="28" style="32" customWidth="1"/>
    <col min="15361" max="15361" width="32.33203125" style="32" bestFit="1" customWidth="1"/>
    <col min="15362" max="15362" width="27.44140625" style="32" bestFit="1" customWidth="1"/>
    <col min="15363" max="15363" width="23" style="32" bestFit="1" customWidth="1"/>
    <col min="15364" max="15364" width="27.6640625" style="32" bestFit="1" customWidth="1"/>
    <col min="15365" max="15365" width="23" style="32" bestFit="1" customWidth="1"/>
    <col min="15366" max="15366" width="26" style="32" customWidth="1"/>
    <col min="15367" max="15367" width="22.44140625" style="32" bestFit="1" customWidth="1"/>
    <col min="15368" max="15368" width="22" style="32" bestFit="1" customWidth="1"/>
    <col min="15369" max="15370" width="12.109375" style="32" customWidth="1"/>
    <col min="15371" max="15371" width="28.6640625" style="32" customWidth="1"/>
    <col min="15372" max="15372" width="13" style="32" bestFit="1" customWidth="1"/>
    <col min="15373" max="15373" width="36.88671875" style="32" customWidth="1"/>
    <col min="15374" max="15374" width="76.88671875" style="32" bestFit="1" customWidth="1"/>
    <col min="15375" max="15375" width="6.88671875" style="32" bestFit="1" customWidth="1"/>
    <col min="15376" max="15376" width="24.33203125" style="32" bestFit="1" customWidth="1"/>
    <col min="15377" max="15377" width="14.44140625" style="32" bestFit="1" customWidth="1"/>
    <col min="15378" max="15378" width="15.44140625" style="32" bestFit="1" customWidth="1"/>
    <col min="15379" max="15379" width="18.88671875" style="32" bestFit="1" customWidth="1"/>
    <col min="15380" max="15380" width="9.109375" style="32"/>
    <col min="15381" max="15381" width="38.5546875" style="32" bestFit="1" customWidth="1"/>
    <col min="15382" max="15609" width="9.109375" style="32"/>
    <col min="15610" max="15610" width="5.88671875" style="32" customWidth="1"/>
    <col min="15611" max="15611" width="18.5546875" style="32" customWidth="1"/>
    <col min="15612" max="15612" width="39.44140625" style="32" customWidth="1"/>
    <col min="15613" max="15613" width="88.109375" style="32" bestFit="1" customWidth="1"/>
    <col min="15614" max="15614" width="28.44140625" style="32" customWidth="1"/>
    <col min="15615" max="15615" width="22.6640625" style="32" customWidth="1"/>
    <col min="15616" max="15616" width="28" style="32" customWidth="1"/>
    <col min="15617" max="15617" width="32.33203125" style="32" bestFit="1" customWidth="1"/>
    <col min="15618" max="15618" width="27.44140625" style="32" bestFit="1" customWidth="1"/>
    <col min="15619" max="15619" width="23" style="32" bestFit="1" customWidth="1"/>
    <col min="15620" max="15620" width="27.6640625" style="32" bestFit="1" customWidth="1"/>
    <col min="15621" max="15621" width="23" style="32" bestFit="1" customWidth="1"/>
    <col min="15622" max="15622" width="26" style="32" customWidth="1"/>
    <col min="15623" max="15623" width="22.44140625" style="32" bestFit="1" customWidth="1"/>
    <col min="15624" max="15624" width="22" style="32" bestFit="1" customWidth="1"/>
    <col min="15625" max="15626" width="12.109375" style="32" customWidth="1"/>
    <col min="15627" max="15627" width="28.6640625" style="32" customWidth="1"/>
    <col min="15628" max="15628" width="13" style="32" bestFit="1" customWidth="1"/>
    <col min="15629" max="15629" width="36.88671875" style="32" customWidth="1"/>
    <col min="15630" max="15630" width="76.88671875" style="32" bestFit="1" customWidth="1"/>
    <col min="15631" max="15631" width="6.88671875" style="32" bestFit="1" customWidth="1"/>
    <col min="15632" max="15632" width="24.33203125" style="32" bestFit="1" customWidth="1"/>
    <col min="15633" max="15633" width="14.44140625" style="32" bestFit="1" customWidth="1"/>
    <col min="15634" max="15634" width="15.44140625" style="32" bestFit="1" customWidth="1"/>
    <col min="15635" max="15635" width="18.88671875" style="32" bestFit="1" customWidth="1"/>
    <col min="15636" max="15636" width="9.109375" style="32"/>
    <col min="15637" max="15637" width="38.5546875" style="32" bestFit="1" customWidth="1"/>
    <col min="15638" max="15865" width="9.109375" style="32"/>
    <col min="15866" max="15866" width="5.88671875" style="32" customWidth="1"/>
    <col min="15867" max="15867" width="18.5546875" style="32" customWidth="1"/>
    <col min="15868" max="15868" width="39.44140625" style="32" customWidth="1"/>
    <col min="15869" max="15869" width="88.109375" style="32" bestFit="1" customWidth="1"/>
    <col min="15870" max="15870" width="28.44140625" style="32" customWidth="1"/>
    <col min="15871" max="15871" width="22.6640625" style="32" customWidth="1"/>
    <col min="15872" max="15872" width="28" style="32" customWidth="1"/>
    <col min="15873" max="15873" width="32.33203125" style="32" bestFit="1" customWidth="1"/>
    <col min="15874" max="15874" width="27.44140625" style="32" bestFit="1" customWidth="1"/>
    <col min="15875" max="15875" width="23" style="32" bestFit="1" customWidth="1"/>
    <col min="15876" max="15876" width="27.6640625" style="32" bestFit="1" customWidth="1"/>
    <col min="15877" max="15877" width="23" style="32" bestFit="1" customWidth="1"/>
    <col min="15878" max="15878" width="26" style="32" customWidth="1"/>
    <col min="15879" max="15879" width="22.44140625" style="32" bestFit="1" customWidth="1"/>
    <col min="15880" max="15880" width="22" style="32" bestFit="1" customWidth="1"/>
    <col min="15881" max="15882" width="12.109375" style="32" customWidth="1"/>
    <col min="15883" max="15883" width="28.6640625" style="32" customWidth="1"/>
    <col min="15884" max="15884" width="13" style="32" bestFit="1" customWidth="1"/>
    <col min="15885" max="15885" width="36.88671875" style="32" customWidth="1"/>
    <col min="15886" max="15886" width="76.88671875" style="32" bestFit="1" customWidth="1"/>
    <col min="15887" max="15887" width="6.88671875" style="32" bestFit="1" customWidth="1"/>
    <col min="15888" max="15888" width="24.33203125" style="32" bestFit="1" customWidth="1"/>
    <col min="15889" max="15889" width="14.44140625" style="32" bestFit="1" customWidth="1"/>
    <col min="15890" max="15890" width="15.44140625" style="32" bestFit="1" customWidth="1"/>
    <col min="15891" max="15891" width="18.88671875" style="32" bestFit="1" customWidth="1"/>
    <col min="15892" max="15892" width="9.109375" style="32"/>
    <col min="15893" max="15893" width="38.5546875" style="32" bestFit="1" customWidth="1"/>
    <col min="15894" max="16121" width="9.109375" style="32"/>
    <col min="16122" max="16122" width="5.88671875" style="32" customWidth="1"/>
    <col min="16123" max="16123" width="18.5546875" style="32" customWidth="1"/>
    <col min="16124" max="16124" width="39.44140625" style="32" customWidth="1"/>
    <col min="16125" max="16125" width="88.109375" style="32" bestFit="1" customWidth="1"/>
    <col min="16126" max="16126" width="28.44140625" style="32" customWidth="1"/>
    <col min="16127" max="16127" width="22.6640625" style="32" customWidth="1"/>
    <col min="16128" max="16128" width="28" style="32" customWidth="1"/>
    <col min="16129" max="16129" width="32.33203125" style="32" bestFit="1" customWidth="1"/>
    <col min="16130" max="16130" width="27.44140625" style="32" bestFit="1" customWidth="1"/>
    <col min="16131" max="16131" width="23" style="32" bestFit="1" customWidth="1"/>
    <col min="16132" max="16132" width="27.6640625" style="32" bestFit="1" customWidth="1"/>
    <col min="16133" max="16133" width="23" style="32" bestFit="1" customWidth="1"/>
    <col min="16134" max="16134" width="26" style="32" customWidth="1"/>
    <col min="16135" max="16135" width="22.44140625" style="32" bestFit="1" customWidth="1"/>
    <col min="16136" max="16136" width="22" style="32" bestFit="1" customWidth="1"/>
    <col min="16137" max="16138" width="12.109375" style="32" customWidth="1"/>
    <col min="16139" max="16139" width="28.6640625" style="32" customWidth="1"/>
    <col min="16140" max="16140" width="13" style="32" bestFit="1" customWidth="1"/>
    <col min="16141" max="16141" width="36.88671875" style="32" customWidth="1"/>
    <col min="16142" max="16142" width="76.88671875" style="32" bestFit="1" customWidth="1"/>
    <col min="16143" max="16143" width="6.88671875" style="32" bestFit="1" customWidth="1"/>
    <col min="16144" max="16144" width="24.33203125" style="32" bestFit="1" customWidth="1"/>
    <col min="16145" max="16145" width="14.44140625" style="32" bestFit="1" customWidth="1"/>
    <col min="16146" max="16146" width="15.44140625" style="32" bestFit="1" customWidth="1"/>
    <col min="16147" max="16147" width="18.88671875" style="32" bestFit="1" customWidth="1"/>
    <col min="16148" max="16148" width="9.109375" style="32"/>
    <col min="16149" max="16149" width="38.5546875" style="32" bestFit="1" customWidth="1"/>
    <col min="16150" max="16384" width="9.109375" style="32"/>
  </cols>
  <sheetData>
    <row r="1" spans="1:28" ht="17.25" customHeight="1" x14ac:dyDescent="0.4">
      <c r="A1" s="36"/>
      <c r="C1" s="48"/>
      <c r="D1" s="36"/>
      <c r="E1" s="47"/>
      <c r="F1" s="36"/>
      <c r="G1" s="36"/>
      <c r="H1" s="36"/>
      <c r="I1" s="36"/>
      <c r="J1" s="36"/>
      <c r="K1" s="36"/>
      <c r="L1" s="36"/>
      <c r="T1" s="32" t="s">
        <v>121</v>
      </c>
    </row>
    <row r="2" spans="1:28" ht="27" customHeight="1" x14ac:dyDescent="0.4">
      <c r="A2" s="36"/>
      <c r="B2" s="48" t="s">
        <v>1035</v>
      </c>
      <c r="C2" s="36"/>
      <c r="D2" s="36"/>
      <c r="E2" s="47"/>
      <c r="F2" s="36"/>
      <c r="G2" s="36"/>
      <c r="H2" s="36"/>
      <c r="I2" s="36"/>
      <c r="J2" s="36"/>
      <c r="K2" s="36"/>
      <c r="L2" s="36"/>
    </row>
    <row r="3" spans="1:28" ht="17.25" customHeight="1" x14ac:dyDescent="0.25">
      <c r="A3" s="36"/>
      <c r="B3" s="36"/>
      <c r="C3" s="36"/>
      <c r="D3" s="36"/>
      <c r="E3" s="47"/>
      <c r="F3" s="36"/>
      <c r="G3" s="36"/>
      <c r="H3" s="36"/>
      <c r="I3" s="36"/>
      <c r="J3" s="36"/>
      <c r="K3" s="36"/>
      <c r="L3" s="36"/>
      <c r="T3" s="62" t="s">
        <v>42</v>
      </c>
      <c r="U3" s="62"/>
      <c r="V3" s="62"/>
      <c r="W3" s="62"/>
      <c r="X3" s="62"/>
      <c r="Y3" s="62"/>
      <c r="Z3" s="62"/>
      <c r="AA3" s="62"/>
      <c r="AB3" s="62"/>
    </row>
    <row r="4" spans="1:28" ht="17.25" customHeight="1" x14ac:dyDescent="0.25">
      <c r="A4" s="36"/>
      <c r="T4" s="136" t="s">
        <v>20</v>
      </c>
      <c r="U4" s="136"/>
      <c r="V4" s="62"/>
      <c r="W4" s="62"/>
      <c r="X4" s="62"/>
      <c r="Y4" s="62"/>
      <c r="Z4" s="62"/>
      <c r="AA4" s="62"/>
      <c r="AB4" s="62"/>
    </row>
    <row r="5" spans="1:28" ht="17.25" customHeight="1" x14ac:dyDescent="0.25">
      <c r="A5" s="36"/>
      <c r="N5" s="33"/>
      <c r="T5" s="63" t="s">
        <v>13</v>
      </c>
      <c r="U5" s="63" t="s">
        <v>35</v>
      </c>
      <c r="V5" s="63" t="s">
        <v>1</v>
      </c>
      <c r="W5" s="63" t="s">
        <v>2</v>
      </c>
      <c r="X5" s="63" t="s">
        <v>21</v>
      </c>
      <c r="Y5" s="63" t="s">
        <v>22</v>
      </c>
      <c r="Z5" s="63" t="s">
        <v>23</v>
      </c>
      <c r="AA5" s="63" t="s">
        <v>24</v>
      </c>
      <c r="AB5" s="63" t="s">
        <v>25</v>
      </c>
    </row>
    <row r="6" spans="1:28" ht="17.25" customHeight="1" thickBot="1" x14ac:dyDescent="0.3">
      <c r="A6" s="36"/>
      <c r="B6" s="64" t="s">
        <v>702</v>
      </c>
      <c r="G6" s="65" t="s">
        <v>690</v>
      </c>
      <c r="H6" s="66"/>
      <c r="I6" s="66"/>
      <c r="J6" s="67"/>
      <c r="K6" s="66"/>
      <c r="L6" s="65" t="s">
        <v>691</v>
      </c>
      <c r="N6" s="33"/>
      <c r="T6" s="68" t="s">
        <v>51</v>
      </c>
      <c r="U6" s="68" t="s">
        <v>36</v>
      </c>
      <c r="V6" s="68" t="s">
        <v>26</v>
      </c>
      <c r="W6" s="68" t="s">
        <v>27</v>
      </c>
      <c r="X6" s="68" t="s">
        <v>28</v>
      </c>
      <c r="Y6" s="68" t="s">
        <v>29</v>
      </c>
      <c r="Z6" s="68" t="s">
        <v>57</v>
      </c>
      <c r="AA6" s="68" t="s">
        <v>56</v>
      </c>
      <c r="AB6" s="68" t="s">
        <v>30</v>
      </c>
    </row>
    <row r="7" spans="1:28" ht="17.25" customHeight="1" thickBot="1" x14ac:dyDescent="0.3">
      <c r="A7" s="36"/>
      <c r="G7" s="69">
        <v>1.2</v>
      </c>
      <c r="H7" s="69">
        <v>2</v>
      </c>
      <c r="I7" s="69">
        <v>3</v>
      </c>
      <c r="J7" s="70">
        <v>4</v>
      </c>
      <c r="K7" s="69"/>
      <c r="L7" s="69">
        <v>0.1</v>
      </c>
      <c r="N7" s="34"/>
      <c r="T7" s="32" t="s">
        <v>115</v>
      </c>
      <c r="V7" s="32" t="str">
        <f>$T$7&amp;Commodities!D7&amp;"01"</f>
        <v>IMPCOABIC01</v>
      </c>
      <c r="W7" s="32" t="s">
        <v>893</v>
      </c>
      <c r="X7" s="32" t="str">
        <f>General!$B$2</f>
        <v>PJ</v>
      </c>
      <c r="Y7" s="32" t="str">
        <f>General!$B$2&amp;"a"</f>
        <v>PJa</v>
      </c>
    </row>
    <row r="8" spans="1:28" ht="17.25" customHeight="1" x14ac:dyDescent="0.25">
      <c r="A8" s="36"/>
      <c r="D8" s="137" t="s">
        <v>15</v>
      </c>
      <c r="E8" s="137"/>
      <c r="F8" s="31"/>
      <c r="G8" s="31"/>
      <c r="N8" s="34"/>
      <c r="V8" s="32" t="str">
        <f>$T$7&amp;Commodities!D8&amp;"01"</f>
        <v>IMPCOASUB01</v>
      </c>
      <c r="W8" s="32" t="s">
        <v>894</v>
      </c>
      <c r="X8" s="32" t="str">
        <f>General!$B$2</f>
        <v>PJ</v>
      </c>
      <c r="Y8" s="32" t="str">
        <f>General!$B$2&amp;"a"</f>
        <v>PJa</v>
      </c>
    </row>
    <row r="9" spans="1:28" ht="17.25" customHeight="1" x14ac:dyDescent="0.25">
      <c r="A9" s="36"/>
      <c r="B9" s="71" t="s">
        <v>1</v>
      </c>
      <c r="C9" s="71" t="s">
        <v>45</v>
      </c>
      <c r="D9" s="67" t="s">
        <v>8</v>
      </c>
      <c r="E9" s="66" t="s">
        <v>47</v>
      </c>
      <c r="F9" s="66" t="s">
        <v>541</v>
      </c>
      <c r="G9" s="66" t="s">
        <v>692</v>
      </c>
      <c r="H9" s="66" t="s">
        <v>693</v>
      </c>
      <c r="I9" s="66" t="s">
        <v>694</v>
      </c>
      <c r="J9" s="67" t="s">
        <v>695</v>
      </c>
      <c r="K9" s="66" t="s">
        <v>703</v>
      </c>
      <c r="L9" s="66" t="s">
        <v>696</v>
      </c>
      <c r="M9" s="66" t="s">
        <v>697</v>
      </c>
      <c r="N9" s="35"/>
      <c r="V9" s="32" t="str">
        <f>$T$7&amp;Commodities!D9&amp;"01"</f>
        <v>IMPCOABCO01</v>
      </c>
      <c r="W9" s="32" t="s">
        <v>895</v>
      </c>
      <c r="X9" s="32" t="str">
        <f>General!$B$2</f>
        <v>PJ</v>
      </c>
      <c r="Y9" s="32" t="str">
        <f>General!$B$2&amp;"a"</f>
        <v>PJa</v>
      </c>
    </row>
    <row r="10" spans="1:28" ht="17.25" customHeight="1" thickBot="1" x14ac:dyDescent="0.3">
      <c r="A10" s="36"/>
      <c r="B10" s="69" t="s">
        <v>52</v>
      </c>
      <c r="C10" s="69" t="s">
        <v>27</v>
      </c>
      <c r="D10" s="70" t="s">
        <v>38</v>
      </c>
      <c r="E10" s="69" t="s">
        <v>116</v>
      </c>
      <c r="F10" s="69" t="s">
        <v>117</v>
      </c>
      <c r="G10" s="69" t="s">
        <v>980</v>
      </c>
      <c r="H10" s="69" t="s">
        <v>980</v>
      </c>
      <c r="I10" s="69" t="s">
        <v>980</v>
      </c>
      <c r="J10" s="69" t="s">
        <v>980</v>
      </c>
      <c r="K10" s="69" t="s">
        <v>1002</v>
      </c>
      <c r="L10" s="69" t="s">
        <v>1002</v>
      </c>
      <c r="M10" s="69" t="s">
        <v>1002</v>
      </c>
      <c r="N10" s="35"/>
      <c r="V10" s="32" t="str">
        <f>$T$7&amp;Commodities!D13&amp;"01"</f>
        <v>IMPCOABKB01</v>
      </c>
      <c r="W10" s="32" t="s">
        <v>829</v>
      </c>
      <c r="X10" s="32" t="str">
        <f>General!$B$2</f>
        <v>PJ</v>
      </c>
      <c r="Y10" s="32" t="str">
        <f>General!$B$2&amp;"a"</f>
        <v>PJa</v>
      </c>
    </row>
    <row r="11" spans="1:28" ht="17.25" customHeight="1" x14ac:dyDescent="0.25">
      <c r="A11" s="36"/>
      <c r="B11" s="72"/>
      <c r="C11" s="72"/>
      <c r="D11" s="73" t="s">
        <v>101</v>
      </c>
      <c r="E11" s="73" t="str">
        <f>General!$D$12</f>
        <v>$/GJ</v>
      </c>
      <c r="F11" s="74" t="str">
        <f>General!$D$13</f>
        <v>PJ/year</v>
      </c>
      <c r="G11" s="74" t="str">
        <f>General!$D$13</f>
        <v>PJ/year</v>
      </c>
      <c r="H11" s="74" t="str">
        <f>General!$D$13</f>
        <v>PJ/year</v>
      </c>
      <c r="I11" s="74" t="str">
        <f>General!$D$13</f>
        <v>PJ/year</v>
      </c>
      <c r="J11" s="73" t="str">
        <f>General!$D$13</f>
        <v>PJ/year</v>
      </c>
      <c r="K11" s="74" t="str">
        <f>General!$D$13</f>
        <v>PJ/year</v>
      </c>
      <c r="L11" s="74" t="str">
        <f>General!$D$13</f>
        <v>PJ/year</v>
      </c>
      <c r="M11" s="74" t="str">
        <f>General!$D$13</f>
        <v>PJ/year</v>
      </c>
      <c r="N11" s="35"/>
      <c r="V11" s="32" t="str">
        <f>$T$7&amp;Commodities!D11&amp;"01"</f>
        <v>IMPCOACOC01</v>
      </c>
      <c r="W11" s="32" t="s">
        <v>1007</v>
      </c>
      <c r="X11" s="32" t="str">
        <f>General!$B$2</f>
        <v>PJ</v>
      </c>
      <c r="Y11" s="32" t="str">
        <f>General!$B$2&amp;"a"</f>
        <v>PJa</v>
      </c>
    </row>
    <row r="12" spans="1:28" ht="17.25" customHeight="1" x14ac:dyDescent="0.25">
      <c r="A12" s="36"/>
      <c r="B12" s="75" t="str">
        <f>PRI_Coal!V7</f>
        <v>IMPCOABIC01</v>
      </c>
      <c r="C12" s="75" t="str">
        <f>PRI_Coal!W7</f>
        <v>Import of bituminous coal</v>
      </c>
      <c r="D12" s="53" t="str">
        <f>Commodities!$D$7</f>
        <v>COABIC</v>
      </c>
      <c r="E12" s="76"/>
      <c r="F12" s="77">
        <f>'En.Bal-Primary-Transf.'!$L$12/1000*41.868</f>
        <v>0</v>
      </c>
      <c r="G12" s="77"/>
      <c r="H12" s="77"/>
      <c r="I12" s="77"/>
      <c r="J12" s="78">
        <f>F12</f>
        <v>0</v>
      </c>
      <c r="K12" s="78"/>
      <c r="L12" s="78"/>
      <c r="M12" s="78"/>
      <c r="N12" s="35"/>
      <c r="T12" s="32" t="s">
        <v>684</v>
      </c>
      <c r="V12" s="32" t="str">
        <f>"SPRSTCK"&amp;Commodities!D7</f>
        <v>SPRSTCKCOABIC</v>
      </c>
      <c r="W12" s="36" t="s">
        <v>920</v>
      </c>
      <c r="X12" s="35" t="str">
        <f>General!$B$2</f>
        <v>PJ</v>
      </c>
      <c r="Y12" s="35" t="str">
        <f>General!$B$2&amp;"a"</f>
        <v>PJa</v>
      </c>
    </row>
    <row r="13" spans="1:28" ht="17.25" customHeight="1" x14ac:dyDescent="0.25">
      <c r="A13" s="36"/>
      <c r="B13" s="75" t="str">
        <f>PRI_Coal!V8</f>
        <v>IMPCOASUB01</v>
      </c>
      <c r="C13" s="75" t="str">
        <f>PRI_Coal!W8</f>
        <v>Import of Sub-bituminous coal</v>
      </c>
      <c r="D13" s="79" t="str">
        <f>Commodities!$D$8</f>
        <v>COASUB</v>
      </c>
      <c r="E13" s="76"/>
      <c r="F13" s="77">
        <f>'En.Bal-Primary-Transf.'!$M$12/1000*41.868</f>
        <v>0</v>
      </c>
      <c r="G13" s="77"/>
      <c r="H13" s="77"/>
      <c r="I13" s="77"/>
      <c r="J13" s="78">
        <f>F13</f>
        <v>0</v>
      </c>
      <c r="K13" s="78"/>
      <c r="L13" s="78"/>
      <c r="M13" s="78"/>
      <c r="N13" s="35"/>
      <c r="V13" s="32" t="str">
        <f>"SPRSTCK"&amp;Commodities!D8</f>
        <v>SPRSTCKCOASUB</v>
      </c>
      <c r="W13" s="36" t="s">
        <v>921</v>
      </c>
      <c r="X13" s="35" t="str">
        <f>General!$B$2</f>
        <v>PJ</v>
      </c>
      <c r="Y13" s="35" t="str">
        <f>General!$B$2&amp;"a"</f>
        <v>PJa</v>
      </c>
    </row>
    <row r="14" spans="1:28" ht="17.25" customHeight="1" x14ac:dyDescent="0.25">
      <c r="A14" s="36"/>
      <c r="B14" s="75" t="str">
        <f>PRI_Coal!V9</f>
        <v>IMPCOABCO01</v>
      </c>
      <c r="C14" s="75" t="str">
        <f>PRI_Coal!W9</f>
        <v>Import of BrownCoal/Lignite</v>
      </c>
      <c r="D14" s="79" t="str">
        <f>Commodities!$D$9</f>
        <v>COABCO</v>
      </c>
      <c r="E14" s="76"/>
      <c r="F14" s="77">
        <f>'En.Bal-Primary-Transf.'!$N$12/1000*41.868</f>
        <v>0</v>
      </c>
      <c r="G14" s="77"/>
      <c r="H14" s="77"/>
      <c r="I14" s="77"/>
      <c r="J14" s="78">
        <f>F14</f>
        <v>0</v>
      </c>
      <c r="K14" s="78"/>
      <c r="L14" s="78"/>
      <c r="M14" s="78"/>
      <c r="N14" s="35"/>
      <c r="V14" s="32" t="str">
        <f>$T$12&amp;Commodities!D57&amp;"01"</f>
        <v>MINRSVCOABIC01</v>
      </c>
      <c r="W14" s="32" t="s">
        <v>898</v>
      </c>
      <c r="X14" s="35" t="str">
        <f>General!$B$2</f>
        <v>PJ</v>
      </c>
      <c r="Y14" s="35" t="str">
        <f>General!$B$2&amp;"a"</f>
        <v>PJa</v>
      </c>
    </row>
    <row r="15" spans="1:28" ht="17.25" customHeight="1" x14ac:dyDescent="0.25">
      <c r="A15" s="36"/>
      <c r="B15" s="75" t="str">
        <f>PRI_Coal!V10</f>
        <v>IMPCOABKB01</v>
      </c>
      <c r="C15" s="80" t="str">
        <f>PRI_Coal!W10</f>
        <v>Import BKB</v>
      </c>
      <c r="D15" s="81" t="str">
        <f>Commodities!$D$13</f>
        <v>COABKB</v>
      </c>
      <c r="E15" s="82"/>
      <c r="F15" s="83">
        <f>'En.Bal-Primary-Transf.'!$S$12/1000*41.868</f>
        <v>0</v>
      </c>
      <c r="G15" s="83"/>
      <c r="H15" s="83"/>
      <c r="I15" s="83"/>
      <c r="J15" s="84">
        <f>F15*J7</f>
        <v>0</v>
      </c>
      <c r="K15" s="84"/>
      <c r="L15" s="84"/>
      <c r="M15" s="84"/>
      <c r="N15" s="35"/>
      <c r="V15" s="32" t="str">
        <f>$T$12&amp;Commodities!D58&amp;"01"</f>
        <v>MINRSVCOASUB01</v>
      </c>
      <c r="W15" s="32" t="s">
        <v>899</v>
      </c>
      <c r="X15" s="35" t="str">
        <f>General!$B$2</f>
        <v>PJ</v>
      </c>
      <c r="Y15" s="35" t="str">
        <f>General!$B$2&amp;"a"</f>
        <v>PJa</v>
      </c>
    </row>
    <row r="16" spans="1:28" ht="13.8" x14ac:dyDescent="0.25">
      <c r="A16" s="36"/>
      <c r="B16" s="80" t="str">
        <f>V11</f>
        <v>IMPCOACOC01</v>
      </c>
      <c r="C16" s="80" t="str">
        <f>W11</f>
        <v>Import of Coke Oven coke</v>
      </c>
      <c r="D16" s="85" t="str">
        <f>Commodities!D11</f>
        <v>COACOC</v>
      </c>
      <c r="E16" s="82"/>
      <c r="F16" s="83">
        <f>'En.Bal-Primary-Transf.'!P12/1000*41.868</f>
        <v>0</v>
      </c>
      <c r="G16" s="83"/>
      <c r="H16" s="83"/>
      <c r="I16" s="83"/>
      <c r="J16" s="84">
        <f>F16*J7</f>
        <v>0</v>
      </c>
      <c r="K16" s="84"/>
      <c r="L16" s="84"/>
      <c r="M16" s="84"/>
      <c r="N16" s="35"/>
      <c r="V16" s="32" t="str">
        <f>$T$12&amp;Commodities!D59&amp;"01"</f>
        <v>MINRSVCOABCO01</v>
      </c>
      <c r="W16" s="32" t="s">
        <v>900</v>
      </c>
      <c r="X16" s="35" t="str">
        <f>General!$B$2</f>
        <v>PJ</v>
      </c>
      <c r="Y16" s="35" t="str">
        <f>General!$B$2&amp;"a"</f>
        <v>PJa</v>
      </c>
    </row>
    <row r="17" spans="1:27" ht="17.25" customHeight="1" x14ac:dyDescent="0.25">
      <c r="A17" s="36"/>
      <c r="N17" s="35"/>
      <c r="V17" s="32" t="str">
        <f>$T$12&amp;Commodities!D10&amp;"01"</f>
        <v>MINCOACOK01</v>
      </c>
      <c r="W17" s="32" t="s">
        <v>901</v>
      </c>
      <c r="X17" s="35" t="str">
        <f>General!$B$2</f>
        <v>PJ</v>
      </c>
      <c r="Y17" s="35" t="str">
        <f>General!$B$2&amp;"a"</f>
        <v>PJa</v>
      </c>
    </row>
    <row r="18" spans="1:27" ht="17.25" customHeight="1" x14ac:dyDescent="0.25">
      <c r="A18" s="36"/>
      <c r="N18" s="35"/>
      <c r="V18" s="32" t="str">
        <f>$T$12&amp;Commodities!D57&amp;"02"</f>
        <v>MINRSVCOABIC02</v>
      </c>
      <c r="W18" s="32" t="s">
        <v>898</v>
      </c>
      <c r="X18" s="35" t="str">
        <f>General!$B$2</f>
        <v>PJ</v>
      </c>
      <c r="Y18" s="35" t="str">
        <f>General!$B$2&amp;"a"</f>
        <v>PJa</v>
      </c>
    </row>
    <row r="19" spans="1:27" ht="17.25" customHeight="1" x14ac:dyDescent="0.25">
      <c r="A19" s="36"/>
      <c r="D19" s="137" t="s">
        <v>15</v>
      </c>
      <c r="E19" s="137"/>
      <c r="F19" s="31"/>
      <c r="G19" s="31"/>
      <c r="N19" s="35"/>
      <c r="V19" s="32" t="str">
        <f>$T$12&amp;Commodities!D58&amp;"02"</f>
        <v>MINRSVCOASUB02</v>
      </c>
      <c r="W19" s="32" t="s">
        <v>899</v>
      </c>
      <c r="X19" s="35" t="str">
        <f>General!$B$2</f>
        <v>PJ</v>
      </c>
      <c r="Y19" s="35" t="str">
        <f>General!$B$2&amp;"a"</f>
        <v>PJa</v>
      </c>
    </row>
    <row r="20" spans="1:27" ht="17.25" customHeight="1" x14ac:dyDescent="0.25">
      <c r="A20" s="36"/>
      <c r="B20" s="71" t="s">
        <v>1</v>
      </c>
      <c r="C20" s="71" t="s">
        <v>45</v>
      </c>
      <c r="D20" s="67" t="s">
        <v>7</v>
      </c>
      <c r="E20" s="66" t="s">
        <v>47</v>
      </c>
      <c r="F20" s="66" t="s">
        <v>541</v>
      </c>
      <c r="G20" s="66" t="s">
        <v>692</v>
      </c>
      <c r="H20" s="66" t="s">
        <v>693</v>
      </c>
      <c r="I20" s="66" t="s">
        <v>694</v>
      </c>
      <c r="J20" s="67" t="s">
        <v>695</v>
      </c>
      <c r="K20" s="66" t="s">
        <v>703</v>
      </c>
      <c r="L20" s="66" t="s">
        <v>696</v>
      </c>
      <c r="M20" s="66" t="s">
        <v>697</v>
      </c>
      <c r="N20" s="35"/>
      <c r="V20" s="32" t="str">
        <f>$T$12&amp;Commodities!D59&amp;"02"</f>
        <v>MINRSVCOABCO02</v>
      </c>
      <c r="W20" s="32" t="s">
        <v>900</v>
      </c>
      <c r="X20" s="35" t="str">
        <f>General!$B$2</f>
        <v>PJ</v>
      </c>
      <c r="Y20" s="35" t="str">
        <f>General!$B$2&amp;"a"</f>
        <v>PJa</v>
      </c>
    </row>
    <row r="21" spans="1:27" ht="17.25" customHeight="1" x14ac:dyDescent="0.25">
      <c r="A21" s="36"/>
      <c r="B21" s="75" t="str">
        <f t="shared" ref="B21:C26" si="0">V22</f>
        <v>EXPCOABIC01</v>
      </c>
      <c r="C21" s="75" t="str">
        <f t="shared" si="0"/>
        <v>Export of bituminous coal</v>
      </c>
      <c r="D21" s="53" t="str">
        <f>D12</f>
        <v>COABIC</v>
      </c>
      <c r="E21" s="76"/>
      <c r="F21" s="77">
        <f>'En.Bal-Primary-Transf.'!L14/1000*41.868</f>
        <v>0</v>
      </c>
      <c r="G21" s="77"/>
      <c r="H21" s="77"/>
      <c r="I21" s="77"/>
      <c r="J21" s="78">
        <f>F21</f>
        <v>0</v>
      </c>
      <c r="K21" s="78"/>
      <c r="L21" s="78"/>
      <c r="M21" s="78"/>
      <c r="N21" s="35"/>
      <c r="V21" s="32" t="str">
        <f>$T$12&amp;Commodities!D10&amp;"02"</f>
        <v>MINCOACOK02</v>
      </c>
      <c r="W21" s="32" t="s">
        <v>901</v>
      </c>
      <c r="X21" s="35" t="str">
        <f>General!$B$2</f>
        <v>PJ</v>
      </c>
      <c r="Y21" s="35" t="str">
        <f>General!$B$2&amp;"a"</f>
        <v>PJa</v>
      </c>
    </row>
    <row r="22" spans="1:27" ht="17.25" customHeight="1" x14ac:dyDescent="0.25">
      <c r="A22" s="36"/>
      <c r="B22" s="75" t="str">
        <f t="shared" si="0"/>
        <v>EXPCOASUB01</v>
      </c>
      <c r="C22" s="75" t="str">
        <f t="shared" si="0"/>
        <v>Export of Sub-bituminous coal</v>
      </c>
      <c r="D22" s="79" t="str">
        <f>D13</f>
        <v>COASUB</v>
      </c>
      <c r="E22" s="76"/>
      <c r="F22" s="77">
        <f>'En.Bal-Primary-Transf.'!M14/1000*41.868</f>
        <v>0</v>
      </c>
      <c r="G22" s="77"/>
      <c r="H22" s="77"/>
      <c r="I22" s="77"/>
      <c r="J22" s="78">
        <f t="shared" ref="J22:J26" si="1">F22</f>
        <v>0</v>
      </c>
      <c r="K22" s="78"/>
      <c r="L22" s="78"/>
      <c r="M22" s="78"/>
      <c r="N22" s="35"/>
      <c r="T22" s="32" t="s">
        <v>118</v>
      </c>
      <c r="V22" s="32" t="str">
        <f>$T$22&amp;Commodities!D7&amp;"01"</f>
        <v>EXPCOABIC01</v>
      </c>
      <c r="W22" s="32" t="s">
        <v>939</v>
      </c>
      <c r="X22" s="32" t="str">
        <f>General!$B$2</f>
        <v>PJ</v>
      </c>
      <c r="Y22" s="32" t="str">
        <f>General!$B$2&amp;"a"</f>
        <v>PJa</v>
      </c>
    </row>
    <row r="23" spans="1:27" ht="17.25" customHeight="1" x14ac:dyDescent="0.25">
      <c r="A23" s="36"/>
      <c r="B23" s="75" t="str">
        <f t="shared" si="0"/>
        <v>EXPCOABCO01</v>
      </c>
      <c r="C23" s="75" t="str">
        <f t="shared" si="0"/>
        <v>Export of BrownCoal/Lignite</v>
      </c>
      <c r="D23" s="79" t="str">
        <f>D14</f>
        <v>COABCO</v>
      </c>
      <c r="E23" s="76"/>
      <c r="F23" s="77">
        <f>'En.Bal-Primary-Transf.'!N14/1000*41.868</f>
        <v>0</v>
      </c>
      <c r="G23" s="77"/>
      <c r="H23" s="77"/>
      <c r="I23" s="77"/>
      <c r="J23" s="78">
        <f t="shared" si="1"/>
        <v>0</v>
      </c>
      <c r="K23" s="78"/>
      <c r="L23" s="78"/>
      <c r="M23" s="78"/>
      <c r="N23" s="35"/>
      <c r="V23" s="32" t="str">
        <f>$T$22&amp;Commodities!D8&amp;"01"</f>
        <v>EXPCOASUB01</v>
      </c>
      <c r="W23" s="32" t="s">
        <v>940</v>
      </c>
      <c r="X23" s="32" t="str">
        <f>General!$B$2</f>
        <v>PJ</v>
      </c>
      <c r="Y23" s="32" t="str">
        <f>General!$B$2&amp;"a"</f>
        <v>PJa</v>
      </c>
    </row>
    <row r="24" spans="1:27" ht="17.25" customHeight="1" x14ac:dyDescent="0.25">
      <c r="A24" s="36"/>
      <c r="B24" s="75" t="str">
        <f t="shared" si="0"/>
        <v>EXPCOACOK01</v>
      </c>
      <c r="C24" s="80" t="str">
        <f t="shared" si="0"/>
        <v>Export Coking coal</v>
      </c>
      <c r="D24" s="81" t="str">
        <f>Commodities!D10</f>
        <v>COACOK</v>
      </c>
      <c r="E24" s="82"/>
      <c r="F24" s="83">
        <f>'En.Bal-Primary-Transf.'!K14/1000*41.868</f>
        <v>0</v>
      </c>
      <c r="G24" s="83"/>
      <c r="H24" s="83"/>
      <c r="I24" s="83"/>
      <c r="J24" s="78">
        <f t="shared" si="1"/>
        <v>0</v>
      </c>
      <c r="K24" s="84"/>
      <c r="L24" s="84"/>
      <c r="M24" s="84"/>
      <c r="N24" s="35"/>
      <c r="V24" s="32" t="str">
        <f>$T$22&amp;Commodities!D9&amp;"01"</f>
        <v>EXPCOABCO01</v>
      </c>
      <c r="W24" s="32" t="s">
        <v>941</v>
      </c>
      <c r="X24" s="32" t="str">
        <f>General!$B$2</f>
        <v>PJ</v>
      </c>
      <c r="Y24" s="32" t="str">
        <f>General!$B$2&amp;"a"</f>
        <v>PJa</v>
      </c>
    </row>
    <row r="25" spans="1:27" ht="17.25" customHeight="1" x14ac:dyDescent="0.25">
      <c r="A25" s="36"/>
      <c r="B25" s="80" t="str">
        <f t="shared" si="0"/>
        <v>EXPCOACOC01</v>
      </c>
      <c r="C25" s="80" t="str">
        <f t="shared" si="0"/>
        <v>Export of Coke oven coke</v>
      </c>
      <c r="D25" s="85" t="str">
        <f>Commodities!D11</f>
        <v>COACOC</v>
      </c>
      <c r="E25" s="82"/>
      <c r="F25" s="83">
        <v>0</v>
      </c>
      <c r="G25" s="83"/>
      <c r="H25" s="83"/>
      <c r="I25" s="83"/>
      <c r="J25" s="78">
        <f t="shared" si="1"/>
        <v>0</v>
      </c>
      <c r="K25" s="78"/>
      <c r="L25" s="78"/>
      <c r="M25" s="84"/>
      <c r="N25" s="35"/>
      <c r="V25" s="32" t="str">
        <f>$T$22&amp;Commodities!D10&amp;"01"</f>
        <v>EXPCOACOK01</v>
      </c>
      <c r="W25" s="32" t="s">
        <v>984</v>
      </c>
      <c r="X25" s="32" t="str">
        <f>General!$B$2</f>
        <v>PJ</v>
      </c>
      <c r="Y25" s="32" t="str">
        <f>General!$B$2&amp;"a"</f>
        <v>PJa</v>
      </c>
    </row>
    <row r="26" spans="1:27" ht="17.25" customHeight="1" x14ac:dyDescent="0.25">
      <c r="A26" s="36"/>
      <c r="B26" s="80" t="str">
        <f t="shared" si="0"/>
        <v>EXPCOABKB01</v>
      </c>
      <c r="C26" s="80" t="str">
        <f t="shared" si="0"/>
        <v>Export of BKB</v>
      </c>
      <c r="D26" s="85" t="str">
        <f>Commodities!D13</f>
        <v>COABKB</v>
      </c>
      <c r="E26" s="82"/>
      <c r="F26" s="83">
        <v>0</v>
      </c>
      <c r="G26" s="83"/>
      <c r="H26" s="83"/>
      <c r="I26" s="83"/>
      <c r="J26" s="84">
        <f t="shared" si="1"/>
        <v>0</v>
      </c>
      <c r="K26" s="84"/>
      <c r="L26" s="84"/>
      <c r="M26" s="84"/>
      <c r="N26" s="35"/>
      <c r="V26" s="32" t="str">
        <f>$T$22&amp;Commodities!D11&amp;"01"</f>
        <v>EXPCOACOC01</v>
      </c>
      <c r="W26" s="32" t="s">
        <v>983</v>
      </c>
      <c r="X26" s="32" t="str">
        <f>General!$B$2</f>
        <v>PJ</v>
      </c>
      <c r="Y26" s="32" t="str">
        <f>General!$B$2&amp;"a"</f>
        <v>PJa</v>
      </c>
    </row>
    <row r="27" spans="1:27" ht="17.25" customHeight="1" x14ac:dyDescent="0.25">
      <c r="A27" s="36"/>
      <c r="N27" s="35"/>
      <c r="V27" s="32" t="str">
        <f>$T$22&amp;Commodities!D13&amp;"01"</f>
        <v>EXPCOABKB01</v>
      </c>
      <c r="W27" s="32" t="s">
        <v>985</v>
      </c>
      <c r="X27" s="32" t="str">
        <f>General!$B$2</f>
        <v>PJ</v>
      </c>
      <c r="Y27" s="32" t="str">
        <f>General!$B$2&amp;"a"</f>
        <v>PJa</v>
      </c>
    </row>
    <row r="28" spans="1:27" ht="17.25" customHeight="1" x14ac:dyDescent="0.25">
      <c r="A28" s="36"/>
      <c r="T28" s="32" t="s">
        <v>111</v>
      </c>
      <c r="V28" s="32" t="s">
        <v>956</v>
      </c>
      <c r="W28" s="32" t="s">
        <v>959</v>
      </c>
      <c r="X28" s="32" t="str">
        <f>General!$B$2</f>
        <v>PJ</v>
      </c>
      <c r="Y28" s="32" t="str">
        <f>General!$B$2&amp;"a"</f>
        <v>PJa</v>
      </c>
      <c r="AA28" s="86" t="str">
        <f>G62</f>
        <v>COABIC</v>
      </c>
    </row>
    <row r="29" spans="1:27" ht="17.25" customHeight="1" x14ac:dyDescent="0.25">
      <c r="A29" s="36"/>
      <c r="V29" s="32" t="s">
        <v>957</v>
      </c>
      <c r="W29" s="32" t="s">
        <v>960</v>
      </c>
      <c r="X29" s="32" t="str">
        <f>General!$B$2</f>
        <v>PJ</v>
      </c>
      <c r="Y29" s="32" t="str">
        <f>General!$B$2&amp;"a"</f>
        <v>PJa</v>
      </c>
      <c r="AA29" s="86" t="str">
        <f>G68</f>
        <v>COASUB</v>
      </c>
    </row>
    <row r="30" spans="1:27" ht="17.25" customHeight="1" x14ac:dyDescent="0.25">
      <c r="A30" s="36"/>
      <c r="V30" s="32" t="s">
        <v>958</v>
      </c>
      <c r="W30" s="32" t="s">
        <v>961</v>
      </c>
      <c r="X30" s="32" t="str">
        <f>General!$B$2</f>
        <v>PJ</v>
      </c>
      <c r="Y30" s="32" t="str">
        <f>General!$B$2&amp;"a"</f>
        <v>PJa</v>
      </c>
    </row>
    <row r="31" spans="1:27" ht="17.25" customHeight="1" x14ac:dyDescent="0.25">
      <c r="A31" s="36"/>
      <c r="V31" s="32" t="s">
        <v>993</v>
      </c>
      <c r="W31" s="32" t="s">
        <v>994</v>
      </c>
      <c r="X31" s="32" t="str">
        <f>General!$B$2</f>
        <v>PJ</v>
      </c>
      <c r="Y31" s="32" t="str">
        <f>General!$B$2&amp;"a"</f>
        <v>PJa</v>
      </c>
    </row>
    <row r="32" spans="1:27" ht="17.25" customHeight="1" x14ac:dyDescent="0.25">
      <c r="A32" s="36"/>
    </row>
    <row r="33" spans="1:5" ht="15.75" customHeight="1" x14ac:dyDescent="0.25">
      <c r="A33" s="36"/>
    </row>
    <row r="34" spans="1:5" ht="15.75" customHeight="1" x14ac:dyDescent="0.25">
      <c r="A34" s="36"/>
    </row>
    <row r="35" spans="1:5" ht="15.75" customHeight="1" x14ac:dyDescent="0.25">
      <c r="A35" s="36"/>
    </row>
    <row r="36" spans="1:5" ht="15.75" customHeight="1" x14ac:dyDescent="0.25">
      <c r="A36" s="36"/>
      <c r="B36" s="64" t="s">
        <v>825</v>
      </c>
    </row>
    <row r="37" spans="1:5" ht="15.75" customHeight="1" x14ac:dyDescent="0.25">
      <c r="A37" s="36"/>
      <c r="D37" s="137" t="s">
        <v>15</v>
      </c>
    </row>
    <row r="38" spans="1:5" ht="15.75" customHeight="1" x14ac:dyDescent="0.25">
      <c r="A38" s="36"/>
      <c r="B38" s="71" t="s">
        <v>1</v>
      </c>
      <c r="C38" s="71" t="s">
        <v>45</v>
      </c>
      <c r="D38" s="71" t="s">
        <v>8</v>
      </c>
      <c r="E38" s="67" t="s">
        <v>540</v>
      </c>
    </row>
    <row r="39" spans="1:5" ht="15.75" customHeight="1" thickBot="1" x14ac:dyDescent="0.3">
      <c r="A39" s="36"/>
      <c r="B39" s="69" t="s">
        <v>52</v>
      </c>
      <c r="C39" s="69" t="s">
        <v>27</v>
      </c>
      <c r="D39" s="69" t="s">
        <v>38</v>
      </c>
      <c r="E39" s="70" t="s">
        <v>109</v>
      </c>
    </row>
    <row r="40" spans="1:5" ht="15.75" customHeight="1" x14ac:dyDescent="0.25">
      <c r="A40" s="36"/>
      <c r="B40" s="72"/>
      <c r="C40" s="72"/>
      <c r="D40" s="73" t="s">
        <v>101</v>
      </c>
      <c r="E40" s="73" t="str">
        <f>General!$D$13</f>
        <v>PJ/year</v>
      </c>
    </row>
    <row r="41" spans="1:5" ht="17.25" customHeight="1" x14ac:dyDescent="0.25">
      <c r="A41" s="36"/>
      <c r="B41" s="36" t="str">
        <f t="shared" ref="B41:B50" si="2">V12</f>
        <v>SPRSTCKCOABIC</v>
      </c>
      <c r="C41" s="36" t="str">
        <f t="shared" ref="C41:C50" si="3">W12</f>
        <v>BY Stocks of Bituminous coal</v>
      </c>
      <c r="D41" s="36" t="str">
        <f>Commodities!D7</f>
        <v>COABIC</v>
      </c>
      <c r="E41" s="87">
        <f>IF('En.Bal-Primary-Transf.'!$J$13&lt;0,0,'En.Bal-Primary-Transf.'!$J$13/1000*41.868)</f>
        <v>0</v>
      </c>
    </row>
    <row r="42" spans="1:5" ht="17.25" customHeight="1" x14ac:dyDescent="0.25">
      <c r="A42" s="36"/>
      <c r="B42" s="88" t="str">
        <f t="shared" si="2"/>
        <v>SPRSTCKCOASUB</v>
      </c>
      <c r="C42" s="88" t="str">
        <f t="shared" si="3"/>
        <v>BY Stocks of Sub-bituminous coal</v>
      </c>
      <c r="D42" s="88" t="str">
        <f>Commodities!D8</f>
        <v>COASUB</v>
      </c>
      <c r="E42" s="89">
        <f>IF('En.Bal-Primary-Transf.'!$L$13&lt;0,0,'En.Bal-Primary-Transf.'!$L$13/1000*41.868)</f>
        <v>0</v>
      </c>
    </row>
    <row r="43" spans="1:5" ht="17.25" customHeight="1" x14ac:dyDescent="0.25">
      <c r="A43" s="36"/>
      <c r="B43" s="36" t="str">
        <f t="shared" si="2"/>
        <v>MINRSVCOABIC01</v>
      </c>
      <c r="C43" s="36" t="str">
        <f t="shared" si="3"/>
        <v>Mining of bituminous coal</v>
      </c>
      <c r="D43" s="36" t="str">
        <f>Commodities!D57</f>
        <v>RSVCOABIC</v>
      </c>
      <c r="E43" s="90"/>
    </row>
    <row r="44" spans="1:5" ht="17.25" customHeight="1" x14ac:dyDescent="0.25">
      <c r="A44" s="36"/>
      <c r="B44" s="36" t="str">
        <f t="shared" si="2"/>
        <v>MINRSVCOASUB01</v>
      </c>
      <c r="C44" s="36" t="str">
        <f t="shared" si="3"/>
        <v>Mining of Sub-bituminous coal</v>
      </c>
      <c r="D44" s="36" t="str">
        <f>Commodities!D58</f>
        <v>RSVCOASUB</v>
      </c>
      <c r="E44" s="90"/>
    </row>
    <row r="45" spans="1:5" ht="17.25" customHeight="1" x14ac:dyDescent="0.25">
      <c r="A45" s="36"/>
      <c r="B45" s="36" t="str">
        <f t="shared" si="2"/>
        <v>MINRSVCOABCO01</v>
      </c>
      <c r="C45" s="36" t="str">
        <f t="shared" si="3"/>
        <v>Mining of BrownCoal/Lignite</v>
      </c>
      <c r="D45" s="36" t="str">
        <f>Commodities!D59</f>
        <v>RSVCOABCO</v>
      </c>
      <c r="E45" s="90"/>
    </row>
    <row r="46" spans="1:5" ht="17.25" customHeight="1" x14ac:dyDescent="0.25">
      <c r="A46" s="36"/>
      <c r="B46" s="36" t="str">
        <f t="shared" si="2"/>
        <v>MINCOACOK01</v>
      </c>
      <c r="C46" s="36" t="str">
        <f t="shared" si="3"/>
        <v>Mining of CokingCoal</v>
      </c>
      <c r="D46" s="21" t="str">
        <f>D24</f>
        <v>COACOK</v>
      </c>
      <c r="E46" s="90"/>
    </row>
    <row r="47" spans="1:5" ht="17.25" customHeight="1" x14ac:dyDescent="0.25">
      <c r="A47" s="36"/>
      <c r="B47" s="36" t="str">
        <f t="shared" si="2"/>
        <v>MINRSVCOABIC02</v>
      </c>
      <c r="C47" s="36" t="str">
        <f t="shared" si="3"/>
        <v>Mining of bituminous coal</v>
      </c>
      <c r="D47" s="36" t="str">
        <f>D43</f>
        <v>RSVCOABIC</v>
      </c>
      <c r="E47" s="90"/>
    </row>
    <row r="48" spans="1:5" ht="17.25" customHeight="1" x14ac:dyDescent="0.25">
      <c r="A48" s="36"/>
      <c r="B48" s="36" t="str">
        <f t="shared" si="2"/>
        <v>MINRSVCOASUB02</v>
      </c>
      <c r="C48" s="36" t="str">
        <f t="shared" si="3"/>
        <v>Mining of Sub-bituminous coal</v>
      </c>
      <c r="D48" s="36" t="str">
        <f t="shared" ref="D48:D50" si="4">D44</f>
        <v>RSVCOASUB</v>
      </c>
      <c r="E48" s="90"/>
    </row>
    <row r="49" spans="1:16" ht="17.25" customHeight="1" x14ac:dyDescent="0.25">
      <c r="A49" s="36"/>
      <c r="B49" s="36" t="str">
        <f t="shared" si="2"/>
        <v>MINRSVCOABCO02</v>
      </c>
      <c r="C49" s="36" t="str">
        <f t="shared" si="3"/>
        <v>Mining of BrownCoal/Lignite</v>
      </c>
      <c r="D49" s="36" t="str">
        <f t="shared" si="4"/>
        <v>RSVCOABCO</v>
      </c>
      <c r="E49" s="90"/>
    </row>
    <row r="50" spans="1:16" ht="17.25" customHeight="1" x14ac:dyDescent="0.25">
      <c r="A50" s="36"/>
      <c r="B50" s="88" t="str">
        <f t="shared" si="2"/>
        <v>MINCOACOK02</v>
      </c>
      <c r="C50" s="88" t="str">
        <f t="shared" si="3"/>
        <v>Mining of CokingCoal</v>
      </c>
      <c r="D50" s="88" t="str">
        <f t="shared" si="4"/>
        <v>COACOK</v>
      </c>
      <c r="E50" s="91"/>
    </row>
    <row r="51" spans="1:16" ht="17.25" customHeight="1" x14ac:dyDescent="0.25">
      <c r="A51" s="36"/>
    </row>
    <row r="52" spans="1:16" ht="17.25" customHeight="1" x14ac:dyDescent="0.25">
      <c r="A52" s="36"/>
    </row>
    <row r="53" spans="1:16" ht="17.25" customHeight="1" x14ac:dyDescent="0.25">
      <c r="A53" s="36"/>
    </row>
    <row r="54" spans="1:16" ht="17.25" customHeight="1" x14ac:dyDescent="0.25">
      <c r="A54" s="36"/>
    </row>
    <row r="55" spans="1:16" ht="17.25" customHeight="1" x14ac:dyDescent="0.25">
      <c r="A55" s="36"/>
      <c r="B55" s="36"/>
      <c r="C55" s="36"/>
      <c r="D55" s="36"/>
      <c r="E55" s="36"/>
      <c r="G55" s="138" t="s">
        <v>15</v>
      </c>
      <c r="H55" s="36"/>
      <c r="I55" s="36"/>
      <c r="J55" s="88"/>
      <c r="K55" s="88"/>
      <c r="L55" s="88"/>
      <c r="M55" s="88"/>
      <c r="N55" s="88"/>
      <c r="O55" s="88"/>
      <c r="P55" s="19"/>
    </row>
    <row r="56" spans="1:16" ht="17.25" customHeight="1" x14ac:dyDescent="0.25">
      <c r="A56" s="36"/>
      <c r="B56" s="92" t="s">
        <v>1</v>
      </c>
      <c r="C56" s="71" t="s">
        <v>45</v>
      </c>
      <c r="D56" s="71" t="s">
        <v>7</v>
      </c>
      <c r="E56" s="71" t="s">
        <v>542</v>
      </c>
      <c r="F56" s="71" t="s">
        <v>990</v>
      </c>
      <c r="G56" s="93" t="s">
        <v>8</v>
      </c>
      <c r="H56" s="94" t="s">
        <v>584</v>
      </c>
      <c r="I56" s="94" t="s">
        <v>991</v>
      </c>
      <c r="J56" s="94" t="s">
        <v>17</v>
      </c>
      <c r="K56" s="94" t="s">
        <v>120</v>
      </c>
      <c r="L56" s="94" t="s">
        <v>18</v>
      </c>
      <c r="M56" s="94" t="s">
        <v>3</v>
      </c>
      <c r="N56" s="94" t="s">
        <v>6</v>
      </c>
      <c r="O56" s="94" t="s">
        <v>659</v>
      </c>
      <c r="P56" s="95" t="s">
        <v>543</v>
      </c>
    </row>
    <row r="57" spans="1:16" ht="17.25" customHeight="1" thickBot="1" x14ac:dyDescent="0.3">
      <c r="A57" s="36"/>
      <c r="B57" s="96" t="s">
        <v>52</v>
      </c>
      <c r="C57" s="69" t="s">
        <v>27</v>
      </c>
      <c r="D57" s="69" t="s">
        <v>37</v>
      </c>
      <c r="E57" s="97" t="s">
        <v>629</v>
      </c>
      <c r="F57" s="97" t="s">
        <v>629</v>
      </c>
      <c r="G57" s="70" t="s">
        <v>38</v>
      </c>
      <c r="H57" s="69" t="s">
        <v>662</v>
      </c>
      <c r="I57" s="69" t="s">
        <v>992</v>
      </c>
      <c r="J57" s="69" t="s">
        <v>39</v>
      </c>
      <c r="K57" s="69" t="s">
        <v>40</v>
      </c>
      <c r="L57" s="69" t="s">
        <v>41</v>
      </c>
      <c r="M57" s="69" t="s">
        <v>44</v>
      </c>
      <c r="N57" s="69" t="s">
        <v>43</v>
      </c>
      <c r="O57" s="69" t="s">
        <v>660</v>
      </c>
      <c r="P57" s="70" t="s">
        <v>715</v>
      </c>
    </row>
    <row r="58" spans="1:16" ht="17.25" customHeight="1" x14ac:dyDescent="0.25">
      <c r="A58" s="36"/>
      <c r="B58" s="98"/>
      <c r="C58" s="99"/>
      <c r="D58" s="99" t="s">
        <v>101</v>
      </c>
      <c r="E58" s="99"/>
      <c r="F58" s="99"/>
      <c r="G58" s="100"/>
      <c r="H58" s="99" t="s">
        <v>661</v>
      </c>
      <c r="I58" s="99" t="s">
        <v>661</v>
      </c>
      <c r="J58" s="101" t="s">
        <v>556</v>
      </c>
      <c r="K58" s="101" t="s">
        <v>831</v>
      </c>
      <c r="L58" s="101" t="s">
        <v>556</v>
      </c>
      <c r="M58" s="101" t="s">
        <v>573</v>
      </c>
      <c r="N58" s="101" t="s">
        <v>106</v>
      </c>
      <c r="O58" s="101"/>
      <c r="P58" s="102" t="s">
        <v>716</v>
      </c>
    </row>
    <row r="59" spans="1:16" ht="17.25" customHeight="1" x14ac:dyDescent="0.25">
      <c r="A59" s="36"/>
      <c r="B59" s="103" t="str">
        <f>V28</f>
        <v>SPR_COABIC_EXTR</v>
      </c>
      <c r="C59" s="75" t="str">
        <f>W28</f>
        <v>Extraction of COABIC</v>
      </c>
      <c r="D59" s="104" t="str">
        <f>D47</f>
        <v>RSVCOABIC</v>
      </c>
      <c r="E59" s="75"/>
      <c r="F59" s="75"/>
      <c r="G59" s="105"/>
      <c r="H59" s="52"/>
      <c r="I59" s="75"/>
      <c r="J59" s="53">
        <v>1</v>
      </c>
      <c r="K59" s="52">
        <v>100000</v>
      </c>
      <c r="L59" s="53">
        <v>1</v>
      </c>
      <c r="M59" s="53"/>
      <c r="N59" s="53"/>
      <c r="O59" s="53"/>
      <c r="P59" s="54">
        <v>1</v>
      </c>
    </row>
    <row r="60" spans="1:16" ht="17.25" customHeight="1" x14ac:dyDescent="0.25">
      <c r="A60" s="36"/>
      <c r="B60" s="106"/>
      <c r="C60" s="36"/>
      <c r="D60" s="36"/>
      <c r="E60" s="36" t="str">
        <f>Commodities!D109</f>
        <v>SUPELC</v>
      </c>
      <c r="F60" s="36"/>
      <c r="G60" s="107"/>
      <c r="H60" s="51">
        <v>0</v>
      </c>
      <c r="I60" s="36"/>
      <c r="J60" s="36"/>
      <c r="K60" s="49"/>
      <c r="L60" s="49"/>
      <c r="M60" s="49"/>
      <c r="N60" s="49"/>
      <c r="O60" s="49"/>
      <c r="P60" s="50"/>
    </row>
    <row r="61" spans="1:16" ht="17.25" customHeight="1" x14ac:dyDescent="0.25">
      <c r="A61" s="36"/>
      <c r="B61" s="106"/>
      <c r="C61" s="36"/>
      <c r="D61" s="36"/>
      <c r="E61" s="36" t="str">
        <f>Commodities!D110</f>
        <v>SUPHTH</v>
      </c>
      <c r="F61" s="36"/>
      <c r="G61" s="107"/>
      <c r="H61" s="51">
        <v>0</v>
      </c>
      <c r="I61" s="36"/>
      <c r="J61" s="49"/>
      <c r="K61" s="49"/>
      <c r="L61" s="49"/>
      <c r="M61" s="49"/>
      <c r="N61" s="49"/>
      <c r="O61" s="49"/>
      <c r="P61" s="50"/>
    </row>
    <row r="62" spans="1:16" ht="17.25" customHeight="1" x14ac:dyDescent="0.25">
      <c r="A62" s="36"/>
      <c r="B62" s="106"/>
      <c r="C62" s="36"/>
      <c r="D62" s="36"/>
      <c r="E62" s="36"/>
      <c r="F62" s="36"/>
      <c r="G62" s="107" t="str">
        <f>Commodities!D7</f>
        <v>COABIC</v>
      </c>
      <c r="H62" s="36"/>
      <c r="I62" s="108"/>
      <c r="J62" s="36"/>
      <c r="K62" s="36"/>
      <c r="L62" s="36"/>
      <c r="N62" s="36"/>
      <c r="O62" s="19"/>
      <c r="P62" s="109"/>
    </row>
    <row r="63" spans="1:16" ht="17.25" customHeight="1" x14ac:dyDescent="0.25">
      <c r="A63" s="36"/>
      <c r="B63" s="106"/>
      <c r="C63" s="36"/>
      <c r="D63" s="36"/>
      <c r="E63" s="36"/>
      <c r="F63" s="36" t="str">
        <f>Commodities!$D$181</f>
        <v>CBEDM</v>
      </c>
      <c r="G63" s="107"/>
      <c r="H63" s="36"/>
      <c r="I63" s="108">
        <v>1</v>
      </c>
      <c r="J63" s="36"/>
      <c r="K63" s="36"/>
      <c r="L63" s="36"/>
      <c r="N63" s="36"/>
      <c r="O63" s="19"/>
      <c r="P63" s="109"/>
    </row>
    <row r="64" spans="1:16" ht="17.25" customHeight="1" x14ac:dyDescent="0.25">
      <c r="A64" s="36"/>
      <c r="B64" s="110"/>
      <c r="C64" s="88"/>
      <c r="D64" s="88"/>
      <c r="E64" s="88" t="str">
        <f>Commodities!D81</f>
        <v>SUPOILHFO</v>
      </c>
      <c r="F64" s="88"/>
      <c r="G64" s="111"/>
      <c r="H64" s="51">
        <v>0</v>
      </c>
      <c r="I64" s="88"/>
      <c r="J64" s="88"/>
      <c r="K64" s="88"/>
      <c r="L64" s="88"/>
      <c r="M64" s="88"/>
      <c r="N64" s="88"/>
      <c r="O64" s="88"/>
      <c r="P64" s="111"/>
    </row>
    <row r="65" spans="1:16" ht="17.25" customHeight="1" x14ac:dyDescent="0.25">
      <c r="A65" s="36"/>
      <c r="B65" s="103" t="str">
        <f>V29</f>
        <v>SPR_COASUB_EXTR</v>
      </c>
      <c r="C65" s="75" t="str">
        <f>W29</f>
        <v>Extraction of COASUB</v>
      </c>
      <c r="D65" s="104" t="str">
        <f>D44</f>
        <v>RSVCOASUB</v>
      </c>
      <c r="E65" s="75"/>
      <c r="F65" s="75"/>
      <c r="G65" s="105"/>
      <c r="H65" s="52"/>
      <c r="I65" s="75"/>
      <c r="J65" s="53">
        <v>1</v>
      </c>
      <c r="K65" s="19">
        <f>K59</f>
        <v>100000</v>
      </c>
      <c r="L65" s="53">
        <v>1</v>
      </c>
      <c r="M65" s="53"/>
      <c r="N65" s="53"/>
      <c r="O65" s="53"/>
      <c r="P65" s="54">
        <v>1</v>
      </c>
    </row>
    <row r="66" spans="1:16" ht="17.25" customHeight="1" x14ac:dyDescent="0.25">
      <c r="A66" s="36"/>
      <c r="B66" s="106"/>
      <c r="C66" s="36"/>
      <c r="D66" s="36"/>
      <c r="E66" s="36" t="str">
        <f>E60</f>
        <v>SUPELC</v>
      </c>
      <c r="F66" s="36"/>
      <c r="G66" s="107"/>
      <c r="H66" s="51">
        <v>0</v>
      </c>
      <c r="I66" s="36"/>
      <c r="J66" s="36"/>
      <c r="K66" s="49"/>
      <c r="L66" s="49"/>
      <c r="M66" s="49"/>
      <c r="N66" s="49"/>
      <c r="O66" s="49"/>
      <c r="P66" s="50"/>
    </row>
    <row r="67" spans="1:16" ht="17.25" customHeight="1" x14ac:dyDescent="0.25">
      <c r="A67" s="36"/>
      <c r="B67" s="106"/>
      <c r="C67" s="36"/>
      <c r="D67" s="36"/>
      <c r="E67" s="36" t="str">
        <f>E61</f>
        <v>SUPHTH</v>
      </c>
      <c r="F67" s="36"/>
      <c r="G67" s="107"/>
      <c r="H67" s="51">
        <v>0</v>
      </c>
      <c r="I67" s="36"/>
      <c r="J67" s="49"/>
      <c r="K67" s="49"/>
      <c r="L67" s="49"/>
      <c r="M67" s="49"/>
      <c r="N67" s="49"/>
      <c r="O67" s="49"/>
      <c r="P67" s="50"/>
    </row>
    <row r="68" spans="1:16" ht="17.25" customHeight="1" x14ac:dyDescent="0.25">
      <c r="A68" s="36"/>
      <c r="B68" s="106"/>
      <c r="C68" s="36"/>
      <c r="D68" s="36"/>
      <c r="E68" s="36"/>
      <c r="F68" s="36"/>
      <c r="G68" s="107" t="str">
        <f>Commodities!D8</f>
        <v>COASUB</v>
      </c>
      <c r="H68" s="36"/>
      <c r="I68" s="108"/>
      <c r="J68" s="36"/>
      <c r="K68" s="36"/>
      <c r="L68" s="36"/>
      <c r="N68" s="36"/>
      <c r="O68" s="19"/>
      <c r="P68" s="109"/>
    </row>
    <row r="69" spans="1:16" ht="17.25" customHeight="1" x14ac:dyDescent="0.25">
      <c r="A69" s="36"/>
      <c r="B69" s="106"/>
      <c r="C69" s="36"/>
      <c r="D69" s="36"/>
      <c r="E69" s="36"/>
      <c r="F69" s="36" t="str">
        <f>Commodities!$D$181</f>
        <v>CBEDM</v>
      </c>
      <c r="G69" s="107"/>
      <c r="H69" s="36"/>
      <c r="I69" s="108">
        <v>1</v>
      </c>
      <c r="J69" s="36"/>
      <c r="K69" s="36"/>
      <c r="L69" s="36"/>
      <c r="N69" s="36"/>
      <c r="O69" s="19"/>
      <c r="P69" s="109"/>
    </row>
    <row r="70" spans="1:16" ht="17.25" customHeight="1" x14ac:dyDescent="0.25">
      <c r="A70" s="36"/>
      <c r="B70" s="110"/>
      <c r="C70" s="88"/>
      <c r="D70" s="88"/>
      <c r="E70" s="88" t="str">
        <f>E64</f>
        <v>SUPOILHFO</v>
      </c>
      <c r="F70" s="88"/>
      <c r="G70" s="111"/>
      <c r="H70" s="51">
        <v>0</v>
      </c>
      <c r="I70" s="88"/>
      <c r="J70" s="88"/>
      <c r="K70" s="88"/>
      <c r="L70" s="88"/>
      <c r="M70" s="88"/>
      <c r="N70" s="88"/>
      <c r="O70" s="88"/>
      <c r="P70" s="111"/>
    </row>
    <row r="71" spans="1:16" ht="17.25" customHeight="1" x14ac:dyDescent="0.25">
      <c r="A71" s="36"/>
      <c r="B71" s="103" t="str">
        <f>V30</f>
        <v>SPR_COABCO_EXTR</v>
      </c>
      <c r="C71" s="75" t="str">
        <f>W30</f>
        <v>Extraction of COABCO</v>
      </c>
      <c r="D71" s="104" t="str">
        <f>D45</f>
        <v>RSVCOABCO</v>
      </c>
      <c r="E71" s="75"/>
      <c r="F71" s="75"/>
      <c r="G71" s="112"/>
      <c r="H71" s="52"/>
      <c r="I71" s="75"/>
      <c r="J71" s="53">
        <v>1</v>
      </c>
      <c r="K71" s="52">
        <f>K65</f>
        <v>100000</v>
      </c>
      <c r="L71" s="53">
        <v>1</v>
      </c>
      <c r="M71" s="53"/>
      <c r="N71" s="53"/>
      <c r="O71" s="53"/>
      <c r="P71" s="54">
        <v>1</v>
      </c>
    </row>
    <row r="72" spans="1:16" ht="17.25" customHeight="1" x14ac:dyDescent="0.25">
      <c r="A72" s="36"/>
      <c r="B72" s="106"/>
      <c r="C72" s="36"/>
      <c r="D72" s="36"/>
      <c r="E72" s="36" t="str">
        <f>E66</f>
        <v>SUPELC</v>
      </c>
      <c r="F72" s="36"/>
      <c r="G72" s="113"/>
      <c r="H72" s="51">
        <v>0</v>
      </c>
      <c r="I72" s="36"/>
      <c r="J72" s="36"/>
      <c r="K72" s="49"/>
      <c r="L72" s="49"/>
      <c r="M72" s="49"/>
      <c r="N72" s="49"/>
      <c r="O72" s="49"/>
      <c r="P72" s="50"/>
    </row>
    <row r="73" spans="1:16" ht="17.25" customHeight="1" x14ac:dyDescent="0.25">
      <c r="A73" s="36"/>
      <c r="B73" s="106"/>
      <c r="C73" s="36"/>
      <c r="D73" s="36"/>
      <c r="E73" s="36" t="str">
        <f>E67</f>
        <v>SUPHTH</v>
      </c>
      <c r="F73" s="36"/>
      <c r="G73" s="113"/>
      <c r="H73" s="51">
        <v>0</v>
      </c>
      <c r="I73" s="36"/>
      <c r="J73" s="49"/>
      <c r="K73" s="49"/>
      <c r="L73" s="49"/>
      <c r="M73" s="49"/>
      <c r="N73" s="49"/>
      <c r="O73" s="49"/>
      <c r="P73" s="50"/>
    </row>
    <row r="74" spans="1:16" ht="17.25" customHeight="1" x14ac:dyDescent="0.25">
      <c r="A74" s="36"/>
      <c r="B74" s="106"/>
      <c r="C74" s="36"/>
      <c r="D74" s="36"/>
      <c r="E74" s="36"/>
      <c r="F74" s="36"/>
      <c r="G74" s="113" t="str">
        <f>Commodities!D9</f>
        <v>COABCO</v>
      </c>
      <c r="H74" s="36"/>
      <c r="I74" s="108"/>
      <c r="J74" s="36"/>
      <c r="K74" s="36"/>
      <c r="L74" s="36"/>
      <c r="N74" s="36"/>
      <c r="O74" s="19"/>
      <c r="P74" s="109"/>
    </row>
    <row r="75" spans="1:16" ht="17.25" customHeight="1" x14ac:dyDescent="0.25">
      <c r="A75" s="36"/>
      <c r="B75" s="110"/>
      <c r="C75" s="88"/>
      <c r="D75" s="88"/>
      <c r="E75" s="88" t="str">
        <f>E70</f>
        <v>SUPOILHFO</v>
      </c>
      <c r="F75" s="88"/>
      <c r="G75" s="114"/>
      <c r="H75" s="139">
        <v>0</v>
      </c>
      <c r="I75" s="88"/>
      <c r="J75" s="88"/>
      <c r="K75" s="88"/>
      <c r="L75" s="88"/>
      <c r="M75" s="88"/>
      <c r="N75" s="88"/>
      <c r="O75" s="88"/>
      <c r="P75" s="111"/>
    </row>
    <row r="76" spans="1:16" ht="17.25" customHeight="1" x14ac:dyDescent="0.25">
      <c r="A76" s="36"/>
    </row>
    <row r="77" spans="1:16" ht="17.25" customHeight="1" x14ac:dyDescent="0.25">
      <c r="A77" s="36"/>
    </row>
    <row r="78" spans="1:16" ht="17.25" customHeight="1" x14ac:dyDescent="0.25">
      <c r="A78" s="36"/>
      <c r="B78" s="64" t="s">
        <v>1025</v>
      </c>
      <c r="M78" s="32"/>
    </row>
    <row r="79" spans="1:16" ht="17.25" customHeight="1" x14ac:dyDescent="0.25">
      <c r="A79" s="36"/>
      <c r="B79" s="115"/>
      <c r="C79" s="75"/>
      <c r="D79" s="75"/>
      <c r="E79" s="75"/>
      <c r="F79" s="75"/>
      <c r="G79" s="140" t="s">
        <v>15</v>
      </c>
      <c r="H79" s="75"/>
      <c r="I79" s="75"/>
      <c r="J79" s="75"/>
      <c r="K79" s="80"/>
      <c r="L79" s="75"/>
      <c r="M79" s="105"/>
    </row>
    <row r="80" spans="1:16" ht="17.25" customHeight="1" x14ac:dyDescent="0.25">
      <c r="A80" s="36"/>
      <c r="B80" s="116" t="s">
        <v>35</v>
      </c>
      <c r="C80" s="117" t="s">
        <v>1</v>
      </c>
      <c r="D80" s="117" t="s">
        <v>45</v>
      </c>
      <c r="E80" s="117" t="s">
        <v>7</v>
      </c>
      <c r="F80" s="71" t="s">
        <v>542</v>
      </c>
      <c r="G80" s="118" t="s">
        <v>8</v>
      </c>
      <c r="H80" s="94" t="s">
        <v>119</v>
      </c>
      <c r="I80" s="119" t="s">
        <v>17</v>
      </c>
      <c r="J80" s="119" t="s">
        <v>120</v>
      </c>
      <c r="K80" s="119" t="s">
        <v>18</v>
      </c>
      <c r="L80" s="94" t="s">
        <v>6</v>
      </c>
      <c r="M80" s="120" t="s">
        <v>125</v>
      </c>
    </row>
    <row r="81" spans="1:13" ht="17.25" customHeight="1" x14ac:dyDescent="0.25">
      <c r="A81" s="36"/>
      <c r="B81" s="121" t="s">
        <v>107</v>
      </c>
      <c r="C81" s="97" t="s">
        <v>26</v>
      </c>
      <c r="D81" s="97" t="s">
        <v>27</v>
      </c>
      <c r="E81" s="97" t="s">
        <v>37</v>
      </c>
      <c r="F81" s="97" t="s">
        <v>629</v>
      </c>
      <c r="G81" s="122" t="s">
        <v>38</v>
      </c>
      <c r="H81" s="101" t="s">
        <v>112</v>
      </c>
      <c r="I81" s="101" t="s">
        <v>39</v>
      </c>
      <c r="J81" s="101" t="s">
        <v>40</v>
      </c>
      <c r="K81" s="101" t="s">
        <v>41</v>
      </c>
      <c r="L81" s="123" t="s">
        <v>43</v>
      </c>
      <c r="M81" s="124" t="s">
        <v>124</v>
      </c>
    </row>
    <row r="82" spans="1:13" ht="17.25" customHeight="1" x14ac:dyDescent="0.25">
      <c r="A82" s="36"/>
      <c r="B82" s="125" t="s">
        <v>108</v>
      </c>
      <c r="C82" s="126"/>
      <c r="D82" s="123"/>
      <c r="E82" s="123" t="s">
        <v>101</v>
      </c>
      <c r="F82" s="123"/>
      <c r="G82" s="127"/>
      <c r="H82" s="123"/>
      <c r="I82" s="123" t="s">
        <v>556</v>
      </c>
      <c r="J82" s="123" t="str">
        <f>General!$D$13</f>
        <v>PJ/year</v>
      </c>
      <c r="K82" s="123" t="s">
        <v>556</v>
      </c>
      <c r="L82" s="128" t="str">
        <f>General!$D$15</f>
        <v>$/GJ</v>
      </c>
      <c r="M82" s="129"/>
    </row>
    <row r="83" spans="1:13" ht="17.25" customHeight="1" x14ac:dyDescent="0.25">
      <c r="A83" s="36"/>
      <c r="B83" s="103"/>
      <c r="C83" s="75" t="str">
        <f>V31</f>
        <v>SPR_CBEDM</v>
      </c>
      <c r="D83" s="75" t="str">
        <f>W31</f>
        <v>Production of CBM</v>
      </c>
      <c r="E83" s="104" t="str">
        <f>F69</f>
        <v>CBEDM</v>
      </c>
      <c r="F83" s="75"/>
      <c r="G83" s="112"/>
      <c r="H83" s="53"/>
      <c r="I83" s="77">
        <v>1</v>
      </c>
      <c r="J83" s="130"/>
      <c r="K83" s="53">
        <v>1</v>
      </c>
      <c r="L83" s="131"/>
      <c r="M83" s="132">
        <v>150</v>
      </c>
    </row>
    <row r="84" spans="1:13" ht="17.25" customHeight="1" x14ac:dyDescent="0.25">
      <c r="A84" s="36"/>
      <c r="B84" s="110"/>
      <c r="C84" s="88"/>
      <c r="D84" s="88"/>
      <c r="E84" s="88"/>
      <c r="F84" s="88"/>
      <c r="G84" s="111" t="str">
        <f>Commodities!D182</f>
        <v>CBEDMO</v>
      </c>
      <c r="H84" s="133"/>
      <c r="I84" s="134"/>
      <c r="J84" s="88"/>
      <c r="K84" s="135"/>
      <c r="L84" s="88"/>
      <c r="M84" s="111"/>
    </row>
    <row r="85" spans="1:13" ht="17.25" customHeight="1" x14ac:dyDescent="0.25">
      <c r="A85" s="36"/>
    </row>
    <row r="86" spans="1:13" ht="17.25" customHeight="1" x14ac:dyDescent="0.25">
      <c r="A86" s="36"/>
    </row>
    <row r="87" spans="1:13" ht="17.25" customHeight="1" x14ac:dyDescent="0.25">
      <c r="A87" s="36"/>
    </row>
    <row r="88" spans="1:13" ht="17.25" customHeight="1" x14ac:dyDescent="0.25">
      <c r="A88" s="36"/>
    </row>
    <row r="89" spans="1:13" ht="17.25" customHeight="1" x14ac:dyDescent="0.25">
      <c r="A89" s="36"/>
    </row>
    <row r="90" spans="1:13" ht="17.25" customHeight="1" x14ac:dyDescent="0.25">
      <c r="A90" s="36"/>
    </row>
    <row r="91" spans="1:13" ht="17.25" customHeight="1" x14ac:dyDescent="0.25">
      <c r="A91" s="36"/>
    </row>
    <row r="92" spans="1:13" ht="17.25" customHeight="1" x14ac:dyDescent="0.25">
      <c r="A92" s="36"/>
    </row>
    <row r="93" spans="1:13" ht="17.25" customHeight="1" x14ac:dyDescent="0.25">
      <c r="A93" s="36"/>
    </row>
    <row r="94" spans="1:13" ht="17.25" customHeight="1" x14ac:dyDescent="0.25">
      <c r="A94" s="36"/>
    </row>
    <row r="95" spans="1:13" ht="17.25" customHeight="1" x14ac:dyDescent="0.25">
      <c r="A95" s="36"/>
    </row>
    <row r="96" spans="1:13" ht="17.25" customHeight="1" x14ac:dyDescent="0.25">
      <c r="A96" s="36"/>
    </row>
    <row r="97" spans="1:1" ht="17.25" customHeight="1" x14ac:dyDescent="0.25">
      <c r="A97" s="36"/>
    </row>
    <row r="98" spans="1:1" ht="17.25" customHeight="1" x14ac:dyDescent="0.25">
      <c r="A98" s="36"/>
    </row>
    <row r="99" spans="1:1" ht="17.25" customHeight="1" x14ac:dyDescent="0.25">
      <c r="A99" s="36"/>
    </row>
    <row r="100" spans="1:1" ht="17.25" customHeight="1" x14ac:dyDescent="0.25">
      <c r="A100" s="36"/>
    </row>
    <row r="101" spans="1:1" ht="17.25" customHeight="1" x14ac:dyDescent="0.25">
      <c r="A101" s="36"/>
    </row>
    <row r="102" spans="1:1" ht="17.25" customHeight="1" x14ac:dyDescent="0.25">
      <c r="A102" s="36"/>
    </row>
    <row r="103" spans="1:1" ht="17.25" customHeight="1" x14ac:dyDescent="0.25">
      <c r="A103" s="36"/>
    </row>
    <row r="104" spans="1:1" ht="17.25" customHeight="1" x14ac:dyDescent="0.25">
      <c r="A104" s="36"/>
    </row>
    <row r="105" spans="1:1" ht="17.25" customHeight="1" x14ac:dyDescent="0.25">
      <c r="A105" s="36"/>
    </row>
    <row r="106" spans="1:1" ht="17.25" customHeight="1" x14ac:dyDescent="0.25">
      <c r="A106" s="36"/>
    </row>
    <row r="107" spans="1:1" ht="17.25" customHeight="1" x14ac:dyDescent="0.25">
      <c r="A107" s="36"/>
    </row>
    <row r="108" spans="1:1" ht="17.25" customHeight="1" x14ac:dyDescent="0.25">
      <c r="A108" s="36"/>
    </row>
    <row r="109" spans="1:1" ht="17.25" customHeight="1" x14ac:dyDescent="0.25">
      <c r="A109" s="36"/>
    </row>
    <row r="110" spans="1:1" ht="17.25" customHeight="1" x14ac:dyDescent="0.25">
      <c r="A110" s="36"/>
    </row>
    <row r="111" spans="1:1" ht="17.25" customHeight="1" x14ac:dyDescent="0.25">
      <c r="A111" s="36"/>
    </row>
    <row r="112" spans="1:1" ht="17.25" customHeight="1" x14ac:dyDescent="0.25">
      <c r="A112" s="36"/>
    </row>
    <row r="113" spans="1:1" ht="17.25" customHeight="1" x14ac:dyDescent="0.25">
      <c r="A113" s="36"/>
    </row>
    <row r="114" spans="1:1" ht="17.25" customHeight="1" x14ac:dyDescent="0.25">
      <c r="A114" s="36"/>
    </row>
    <row r="115" spans="1:1" ht="17.25" customHeight="1" x14ac:dyDescent="0.25">
      <c r="A115" s="36"/>
    </row>
    <row r="116" spans="1:1" ht="17.25" customHeight="1" x14ac:dyDescent="0.25">
      <c r="A116" s="36"/>
    </row>
    <row r="117" spans="1:1" ht="17.25" customHeight="1" x14ac:dyDescent="0.25">
      <c r="A117" s="36"/>
    </row>
    <row r="118" spans="1:1" ht="17.25" customHeight="1" x14ac:dyDescent="0.25">
      <c r="A118" s="36"/>
    </row>
    <row r="119" spans="1:1" ht="17.25" customHeight="1" x14ac:dyDescent="0.25">
      <c r="A119" s="36"/>
    </row>
    <row r="120" spans="1:1" ht="17.25" customHeight="1" x14ac:dyDescent="0.25">
      <c r="A120" s="36"/>
    </row>
    <row r="121" spans="1:1" ht="17.25" customHeight="1" x14ac:dyDescent="0.25">
      <c r="A121" s="36"/>
    </row>
    <row r="122" spans="1:1" ht="17.25" customHeight="1" x14ac:dyDescent="0.25">
      <c r="A122" s="36"/>
    </row>
    <row r="123" spans="1:1" ht="17.25" customHeight="1" x14ac:dyDescent="0.25">
      <c r="A123" s="36"/>
    </row>
    <row r="124" spans="1:1" ht="17.25" customHeight="1" x14ac:dyDescent="0.25">
      <c r="A124" s="36"/>
    </row>
    <row r="125" spans="1:1" ht="17.25" customHeight="1" x14ac:dyDescent="0.25">
      <c r="A125" s="36"/>
    </row>
    <row r="126" spans="1:1" ht="17.25" customHeight="1" x14ac:dyDescent="0.25">
      <c r="A126" s="36"/>
    </row>
    <row r="127" spans="1:1" ht="17.25" customHeight="1" x14ac:dyDescent="0.25">
      <c r="A127" s="36"/>
    </row>
    <row r="128" spans="1:1" ht="17.25" customHeight="1" x14ac:dyDescent="0.25">
      <c r="A128" s="36"/>
    </row>
    <row r="129" spans="1:1" ht="17.25" customHeight="1" x14ac:dyDescent="0.25">
      <c r="A129" s="36"/>
    </row>
    <row r="130" spans="1:1" ht="17.25" customHeight="1" x14ac:dyDescent="0.25">
      <c r="A130" s="36"/>
    </row>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U184"/>
  <sheetViews>
    <sheetView tabSelected="1" topLeftCell="A110" zoomScale="55" zoomScaleNormal="55" workbookViewId="0">
      <selection sqref="A1:XFD1048576"/>
    </sheetView>
  </sheetViews>
  <sheetFormatPr defaultColWidth="9.109375" defaultRowHeight="13.8" x14ac:dyDescent="0.25"/>
  <cols>
    <col min="1" max="1" width="6.44140625" style="32" customWidth="1"/>
    <col min="2" max="2" width="26" style="32" customWidth="1"/>
    <col min="3" max="3" width="15.109375" style="32" customWidth="1"/>
    <col min="4" max="4" width="22" style="32" customWidth="1"/>
    <col min="5" max="5" width="54.5546875" style="32" bestFit="1" customWidth="1"/>
    <col min="6" max="6" width="8.88671875" style="32" customWidth="1"/>
    <col min="7" max="7" width="24.33203125" style="32" bestFit="1" customWidth="1"/>
    <col min="8" max="8" width="13.6640625" style="32" bestFit="1" customWidth="1"/>
    <col min="9" max="9" width="14.5546875" style="32" bestFit="1" customWidth="1"/>
    <col min="10" max="10" width="17" style="32" bestFit="1" customWidth="1"/>
    <col min="11" max="11" width="5" style="32" customWidth="1"/>
    <col min="12" max="14" width="9.109375" style="32"/>
    <col min="15" max="15" width="16.5546875" style="32" bestFit="1" customWidth="1"/>
    <col min="16" max="16" width="32.33203125" style="32" bestFit="1" customWidth="1"/>
    <col min="17" max="20" width="9.109375" style="32"/>
    <col min="21" max="21" width="19.33203125" style="32" bestFit="1" customWidth="1"/>
    <col min="22" max="16384" width="9.109375" style="32"/>
  </cols>
  <sheetData>
    <row r="1" spans="2:21" x14ac:dyDescent="0.25">
      <c r="B1" s="64" t="s">
        <v>300</v>
      </c>
    </row>
    <row r="2" spans="2:21" x14ac:dyDescent="0.25">
      <c r="D2" s="32">
        <f>COUNTA(D7:J169)</f>
        <v>501</v>
      </c>
    </row>
    <row r="4" spans="2:21" x14ac:dyDescent="0.25">
      <c r="B4" s="136" t="s">
        <v>16</v>
      </c>
      <c r="C4" s="136"/>
      <c r="D4" s="62"/>
      <c r="E4" s="62"/>
      <c r="F4" s="62"/>
      <c r="G4" s="62"/>
      <c r="H4" s="62"/>
      <c r="I4" s="62"/>
      <c r="J4" s="62"/>
      <c r="M4" s="136" t="s">
        <v>16</v>
      </c>
      <c r="N4" s="136"/>
      <c r="O4" s="62"/>
      <c r="P4" s="62"/>
      <c r="Q4" s="62"/>
      <c r="R4" s="62"/>
      <c r="S4" s="62"/>
      <c r="T4" s="62"/>
      <c r="U4" s="62"/>
    </row>
    <row r="5" spans="2:21" x14ac:dyDescent="0.25">
      <c r="B5" s="394" t="s">
        <v>9</v>
      </c>
      <c r="C5" s="63" t="s">
        <v>35</v>
      </c>
      <c r="D5" s="394" t="s">
        <v>0</v>
      </c>
      <c r="E5" s="394" t="s">
        <v>4</v>
      </c>
      <c r="F5" s="395" t="s">
        <v>5</v>
      </c>
      <c r="G5" s="395" t="s">
        <v>10</v>
      </c>
      <c r="H5" s="395" t="s">
        <v>11</v>
      </c>
      <c r="I5" s="395" t="s">
        <v>12</v>
      </c>
      <c r="J5" s="395" t="s">
        <v>14</v>
      </c>
      <c r="M5" s="394" t="s">
        <v>9</v>
      </c>
      <c r="N5" s="63" t="s">
        <v>35</v>
      </c>
      <c r="O5" s="394" t="s">
        <v>0</v>
      </c>
      <c r="P5" s="394" t="s">
        <v>4</v>
      </c>
      <c r="Q5" s="395" t="s">
        <v>5</v>
      </c>
      <c r="R5" s="395" t="s">
        <v>10</v>
      </c>
      <c r="S5" s="395" t="s">
        <v>11</v>
      </c>
      <c r="T5" s="395" t="s">
        <v>12</v>
      </c>
      <c r="U5" s="395" t="s">
        <v>14</v>
      </c>
    </row>
    <row r="6" spans="2:21" ht="14.4" thickBot="1" x14ac:dyDescent="0.3">
      <c r="B6" s="396" t="s">
        <v>50</v>
      </c>
      <c r="C6" s="397" t="s">
        <v>36</v>
      </c>
      <c r="D6" s="396" t="s">
        <v>31</v>
      </c>
      <c r="E6" s="396" t="s">
        <v>32</v>
      </c>
      <c r="F6" s="396" t="s">
        <v>5</v>
      </c>
      <c r="G6" s="396" t="s">
        <v>53</v>
      </c>
      <c r="H6" s="396" t="s">
        <v>54</v>
      </c>
      <c r="I6" s="396" t="s">
        <v>33</v>
      </c>
      <c r="J6" s="396" t="s">
        <v>34</v>
      </c>
      <c r="M6" s="396" t="s">
        <v>50</v>
      </c>
      <c r="N6" s="397" t="s">
        <v>36</v>
      </c>
      <c r="O6" s="396" t="s">
        <v>31</v>
      </c>
      <c r="P6" s="396" t="s">
        <v>32</v>
      </c>
      <c r="Q6" s="396" t="s">
        <v>5</v>
      </c>
      <c r="R6" s="396" t="s">
        <v>53</v>
      </c>
      <c r="S6" s="396" t="s">
        <v>54</v>
      </c>
      <c r="T6" s="396" t="s">
        <v>33</v>
      </c>
      <c r="U6" s="396" t="s">
        <v>34</v>
      </c>
    </row>
    <row r="7" spans="2:21" x14ac:dyDescent="0.25">
      <c r="B7" s="32" t="s">
        <v>58</v>
      </c>
      <c r="D7" s="32" t="s">
        <v>164</v>
      </c>
      <c r="E7" s="32" t="s">
        <v>891</v>
      </c>
      <c r="F7" s="35" t="str">
        <f>General!$B$2</f>
        <v>PJ</v>
      </c>
      <c r="M7" s="32" t="s">
        <v>99</v>
      </c>
      <c r="O7" s="32" t="s">
        <v>294</v>
      </c>
      <c r="P7" s="32" t="s">
        <v>295</v>
      </c>
      <c r="Q7" s="35" t="str">
        <f>General!$B$4</f>
        <v>Gg</v>
      </c>
    </row>
    <row r="8" spans="2:21" x14ac:dyDescent="0.25">
      <c r="D8" s="32" t="s">
        <v>889</v>
      </c>
      <c r="E8" s="32" t="s">
        <v>844</v>
      </c>
      <c r="F8" s="35" t="str">
        <f>General!$B$2</f>
        <v>PJ</v>
      </c>
      <c r="O8" s="32" t="s">
        <v>296</v>
      </c>
      <c r="P8" s="32" t="s">
        <v>297</v>
      </c>
      <c r="Q8" s="35" t="str">
        <f>General!$B$4</f>
        <v>Gg</v>
      </c>
    </row>
    <row r="9" spans="2:21" x14ac:dyDescent="0.25">
      <c r="D9" s="32" t="s">
        <v>890</v>
      </c>
      <c r="E9" s="32" t="s">
        <v>892</v>
      </c>
      <c r="F9" s="35" t="str">
        <f>General!$B$2</f>
        <v>PJ</v>
      </c>
      <c r="O9" s="32" t="s">
        <v>298</v>
      </c>
      <c r="P9" s="32" t="s">
        <v>299</v>
      </c>
      <c r="Q9" s="35" t="str">
        <f>General!$B$4</f>
        <v>Gg</v>
      </c>
    </row>
    <row r="10" spans="2:21" x14ac:dyDescent="0.25">
      <c r="D10" s="32" t="s">
        <v>896</v>
      </c>
      <c r="E10" s="32" t="s">
        <v>897</v>
      </c>
      <c r="F10" s="35" t="str">
        <f>General!$B$2</f>
        <v>PJ</v>
      </c>
      <c r="Q10" s="35"/>
    </row>
    <row r="11" spans="2:21" x14ac:dyDescent="0.25">
      <c r="D11" s="32" t="s">
        <v>165</v>
      </c>
      <c r="E11" s="32" t="s">
        <v>82</v>
      </c>
      <c r="F11" s="35" t="str">
        <f>General!$B$2</f>
        <v>PJ</v>
      </c>
      <c r="Q11" s="35"/>
    </row>
    <row r="12" spans="2:21" x14ac:dyDescent="0.25">
      <c r="D12" s="32" t="s">
        <v>166</v>
      </c>
      <c r="E12" s="32" t="s">
        <v>83</v>
      </c>
      <c r="F12" s="35" t="str">
        <f>General!$B$2</f>
        <v>PJ</v>
      </c>
    </row>
    <row r="13" spans="2:21" x14ac:dyDescent="0.25">
      <c r="D13" s="32" t="s">
        <v>167</v>
      </c>
      <c r="E13" s="32" t="s">
        <v>84</v>
      </c>
      <c r="F13" s="35" t="str">
        <f>General!$B$2</f>
        <v>PJ</v>
      </c>
    </row>
    <row r="14" spans="2:21" x14ac:dyDescent="0.25">
      <c r="D14" s="32" t="s">
        <v>526</v>
      </c>
      <c r="E14" s="32" t="s">
        <v>527</v>
      </c>
      <c r="F14" s="35" t="str">
        <f>General!$B$2</f>
        <v>PJ</v>
      </c>
    </row>
    <row r="15" spans="2:21" x14ac:dyDescent="0.25">
      <c r="D15" s="32" t="s">
        <v>168</v>
      </c>
      <c r="E15" s="32" t="s">
        <v>85</v>
      </c>
      <c r="F15" s="35" t="str">
        <f>General!$B$2</f>
        <v>PJ</v>
      </c>
    </row>
    <row r="16" spans="2:21" x14ac:dyDescent="0.25">
      <c r="D16" s="32" t="s">
        <v>169</v>
      </c>
      <c r="E16" s="32" t="s">
        <v>61</v>
      </c>
      <c r="F16" s="35" t="str">
        <f>General!$B$2</f>
        <v>PJ</v>
      </c>
    </row>
    <row r="17" spans="4:6" x14ac:dyDescent="0.25">
      <c r="D17" s="32" t="s">
        <v>170</v>
      </c>
      <c r="E17" s="32" t="s">
        <v>86</v>
      </c>
      <c r="F17" s="35" t="str">
        <f>General!$B$2</f>
        <v>PJ</v>
      </c>
    </row>
    <row r="18" spans="4:6" x14ac:dyDescent="0.25">
      <c r="D18" s="32" t="s">
        <v>171</v>
      </c>
      <c r="E18" s="32" t="s">
        <v>60</v>
      </c>
      <c r="F18" s="35" t="str">
        <f>General!$B$2</f>
        <v>PJ</v>
      </c>
    </row>
    <row r="19" spans="4:6" x14ac:dyDescent="0.25">
      <c r="D19" s="32" t="s">
        <v>172</v>
      </c>
      <c r="E19" s="32" t="s">
        <v>62</v>
      </c>
      <c r="F19" s="35" t="str">
        <f>General!$B$2</f>
        <v>PJ</v>
      </c>
    </row>
    <row r="20" spans="4:6" x14ac:dyDescent="0.25">
      <c r="D20" s="32" t="s">
        <v>173</v>
      </c>
      <c r="E20" s="32" t="s">
        <v>87</v>
      </c>
      <c r="F20" s="35" t="str">
        <f>General!$B$2</f>
        <v>PJ</v>
      </c>
    </row>
    <row r="21" spans="4:6" x14ac:dyDescent="0.25">
      <c r="D21" s="32" t="s">
        <v>174</v>
      </c>
      <c r="E21" s="32" t="s">
        <v>88</v>
      </c>
      <c r="F21" s="35" t="str">
        <f>General!$B$2</f>
        <v>PJ</v>
      </c>
    </row>
    <row r="22" spans="4:6" x14ac:dyDescent="0.25">
      <c r="D22" s="32" t="s">
        <v>769</v>
      </c>
      <c r="E22" s="32" t="s">
        <v>130</v>
      </c>
      <c r="F22" s="35" t="str">
        <f>General!$B$2</f>
        <v>PJ</v>
      </c>
    </row>
    <row r="23" spans="4:6" x14ac:dyDescent="0.25">
      <c r="D23" s="32" t="s">
        <v>175</v>
      </c>
      <c r="E23" s="32" t="s">
        <v>63</v>
      </c>
      <c r="F23" s="35" t="str">
        <f>General!$B$2</f>
        <v>PJ</v>
      </c>
    </row>
    <row r="24" spans="4:6" x14ac:dyDescent="0.25">
      <c r="D24" s="32" t="s">
        <v>176</v>
      </c>
      <c r="E24" s="32" t="s">
        <v>64</v>
      </c>
      <c r="F24" s="35" t="str">
        <f>General!$B$2</f>
        <v>PJ</v>
      </c>
    </row>
    <row r="25" spans="4:6" x14ac:dyDescent="0.25">
      <c r="D25" s="32" t="s">
        <v>177</v>
      </c>
      <c r="E25" s="32" t="s">
        <v>89</v>
      </c>
      <c r="F25" s="35" t="str">
        <f>General!$B$2</f>
        <v>PJ</v>
      </c>
    </row>
    <row r="26" spans="4:6" x14ac:dyDescent="0.25">
      <c r="D26" s="32" t="s">
        <v>178</v>
      </c>
      <c r="E26" s="32" t="s">
        <v>90</v>
      </c>
      <c r="F26" s="35" t="str">
        <f>General!$B$2</f>
        <v>PJ</v>
      </c>
    </row>
    <row r="27" spans="4:6" x14ac:dyDescent="0.25">
      <c r="D27" s="32" t="s">
        <v>179</v>
      </c>
      <c r="E27" s="32" t="s">
        <v>91</v>
      </c>
      <c r="F27" s="35" t="str">
        <f>General!$B$2</f>
        <v>PJ</v>
      </c>
    </row>
    <row r="28" spans="4:6" x14ac:dyDescent="0.25">
      <c r="D28" s="32" t="s">
        <v>180</v>
      </c>
      <c r="E28" s="32" t="s">
        <v>65</v>
      </c>
      <c r="F28" s="35" t="str">
        <f>General!$B$2</f>
        <v>PJ</v>
      </c>
    </row>
    <row r="29" spans="4:6" x14ac:dyDescent="0.25">
      <c r="D29" s="32" t="s">
        <v>181</v>
      </c>
      <c r="E29" s="32" t="s">
        <v>92</v>
      </c>
      <c r="F29" s="35" t="str">
        <f>General!$B$2</f>
        <v>PJ</v>
      </c>
    </row>
    <row r="30" spans="4:6" x14ac:dyDescent="0.25">
      <c r="D30" s="32" t="s">
        <v>182</v>
      </c>
      <c r="E30" s="32" t="s">
        <v>93</v>
      </c>
      <c r="F30" s="35" t="str">
        <f>General!$B$2</f>
        <v>PJ</v>
      </c>
    </row>
    <row r="31" spans="4:6" x14ac:dyDescent="0.25">
      <c r="D31" s="32" t="s">
        <v>183</v>
      </c>
      <c r="E31" s="32" t="s">
        <v>184</v>
      </c>
      <c r="F31" s="35" t="str">
        <f>General!$B$2</f>
        <v>PJ</v>
      </c>
    </row>
    <row r="32" spans="4:6" x14ac:dyDescent="0.25">
      <c r="D32" s="32" t="s">
        <v>185</v>
      </c>
      <c r="E32" s="32" t="s">
        <v>66</v>
      </c>
      <c r="F32" s="35" t="str">
        <f>General!$B$2</f>
        <v>PJ</v>
      </c>
    </row>
    <row r="33" spans="4:6" x14ac:dyDescent="0.25">
      <c r="D33" s="32" t="s">
        <v>186</v>
      </c>
      <c r="E33" s="32" t="s">
        <v>67</v>
      </c>
      <c r="F33" s="35" t="str">
        <f>General!$B$2</f>
        <v>PJ</v>
      </c>
    </row>
    <row r="34" spans="4:6" x14ac:dyDescent="0.25">
      <c r="D34" s="32" t="s">
        <v>187</v>
      </c>
      <c r="E34" s="32" t="s">
        <v>161</v>
      </c>
      <c r="F34" s="35" t="str">
        <f>General!$B$2</f>
        <v>PJ</v>
      </c>
    </row>
    <row r="35" spans="4:6" x14ac:dyDescent="0.25">
      <c r="D35" s="32" t="s">
        <v>188</v>
      </c>
      <c r="E35" s="32" t="s">
        <v>68</v>
      </c>
      <c r="F35" s="35" t="str">
        <f>General!$B$2</f>
        <v>PJ</v>
      </c>
    </row>
    <row r="36" spans="4:6" x14ac:dyDescent="0.25">
      <c r="D36" s="5" t="s">
        <v>832</v>
      </c>
      <c r="E36" s="5" t="s">
        <v>833</v>
      </c>
      <c r="F36" s="35" t="str">
        <f>General!$B$2</f>
        <v>PJ</v>
      </c>
    </row>
    <row r="37" spans="4:6" x14ac:dyDescent="0.25">
      <c r="D37" s="5" t="s">
        <v>189</v>
      </c>
      <c r="E37" s="5" t="s">
        <v>834</v>
      </c>
      <c r="F37" s="35" t="str">
        <f>General!$B$2</f>
        <v>PJ</v>
      </c>
    </row>
    <row r="38" spans="4:6" x14ac:dyDescent="0.25">
      <c r="D38" s="5" t="s">
        <v>835</v>
      </c>
      <c r="E38" s="5" t="s">
        <v>836</v>
      </c>
      <c r="F38" s="35" t="str">
        <f>General!$B$2</f>
        <v>PJ</v>
      </c>
    </row>
    <row r="39" spans="4:6" x14ac:dyDescent="0.25">
      <c r="D39" s="5" t="s">
        <v>190</v>
      </c>
      <c r="E39" s="5" t="s">
        <v>837</v>
      </c>
      <c r="F39" s="35" t="str">
        <f>General!$B$2</f>
        <v>PJ</v>
      </c>
    </row>
    <row r="40" spans="4:6" x14ac:dyDescent="0.25">
      <c r="D40" s="5" t="s">
        <v>838</v>
      </c>
      <c r="E40" s="5" t="s">
        <v>839</v>
      </c>
      <c r="F40" s="29" t="str">
        <f>F38</f>
        <v>PJ</v>
      </c>
    </row>
    <row r="41" spans="4:6" x14ac:dyDescent="0.25">
      <c r="D41" s="5" t="s">
        <v>191</v>
      </c>
      <c r="E41" s="5" t="s">
        <v>160</v>
      </c>
      <c r="F41" s="35" t="str">
        <f>General!$B$2</f>
        <v>PJ</v>
      </c>
    </row>
    <row r="42" spans="4:6" x14ac:dyDescent="0.25">
      <c r="D42" s="32" t="s">
        <v>192</v>
      </c>
      <c r="E42" s="32" t="s">
        <v>94</v>
      </c>
      <c r="F42" s="35" t="str">
        <f>General!$B$2</f>
        <v>PJ</v>
      </c>
    </row>
    <row r="43" spans="4:6" x14ac:dyDescent="0.25">
      <c r="D43" s="32" t="s">
        <v>193</v>
      </c>
      <c r="E43" s="32" t="s">
        <v>74</v>
      </c>
      <c r="F43" s="35" t="str">
        <f>General!$B$2</f>
        <v>PJ</v>
      </c>
    </row>
    <row r="44" spans="4:6" x14ac:dyDescent="0.25">
      <c r="D44" s="32" t="s">
        <v>194</v>
      </c>
      <c r="E44" s="32" t="s">
        <v>75</v>
      </c>
      <c r="F44" s="35" t="str">
        <f>General!$B$2</f>
        <v>PJ</v>
      </c>
    </row>
    <row r="45" spans="4:6" x14ac:dyDescent="0.25">
      <c r="D45" s="32" t="s">
        <v>195</v>
      </c>
      <c r="E45" s="32" t="s">
        <v>77</v>
      </c>
      <c r="F45" s="35" t="str">
        <f>General!$B$2</f>
        <v>PJ</v>
      </c>
    </row>
    <row r="46" spans="4:6" x14ac:dyDescent="0.25">
      <c r="D46" s="32" t="s">
        <v>196</v>
      </c>
      <c r="E46" s="32" t="s">
        <v>69</v>
      </c>
      <c r="F46" s="35" t="str">
        <f>General!$B$2</f>
        <v>PJ</v>
      </c>
    </row>
    <row r="47" spans="4:6" x14ac:dyDescent="0.25">
      <c r="D47" s="32" t="s">
        <v>192</v>
      </c>
      <c r="E47" s="32" t="s">
        <v>70</v>
      </c>
      <c r="F47" s="35" t="str">
        <f>General!$B$2</f>
        <v>PJ</v>
      </c>
    </row>
    <row r="48" spans="4:6" x14ac:dyDescent="0.25">
      <c r="D48" s="32" t="s">
        <v>197</v>
      </c>
      <c r="E48" s="32" t="s">
        <v>71</v>
      </c>
      <c r="F48" s="35" t="str">
        <f>General!$B$2</f>
        <v>PJ</v>
      </c>
    </row>
    <row r="49" spans="4:8" x14ac:dyDescent="0.25">
      <c r="D49" s="32" t="s">
        <v>198</v>
      </c>
      <c r="E49" s="32" t="s">
        <v>72</v>
      </c>
      <c r="F49" s="35" t="str">
        <f>General!$B$2</f>
        <v>PJ</v>
      </c>
    </row>
    <row r="50" spans="4:8" x14ac:dyDescent="0.25">
      <c r="D50" s="32" t="s">
        <v>199</v>
      </c>
      <c r="E50" s="32" t="s">
        <v>73</v>
      </c>
      <c r="F50" s="35" t="str">
        <f>General!$B$2</f>
        <v>PJ</v>
      </c>
    </row>
    <row r="51" spans="4:8" x14ac:dyDescent="0.25">
      <c r="D51" s="32" t="s">
        <v>200</v>
      </c>
      <c r="E51" s="32" t="s">
        <v>76</v>
      </c>
      <c r="F51" s="35" t="str">
        <f>General!$B$2</f>
        <v>PJ</v>
      </c>
    </row>
    <row r="52" spans="4:8" x14ac:dyDescent="0.25">
      <c r="D52" s="32" t="s">
        <v>201</v>
      </c>
      <c r="E52" s="32" t="s">
        <v>95</v>
      </c>
      <c r="F52" s="35" t="str">
        <f>General!$B$2</f>
        <v>PJ</v>
      </c>
    </row>
    <row r="53" spans="4:8" x14ac:dyDescent="0.25">
      <c r="D53" s="32" t="s">
        <v>202</v>
      </c>
      <c r="E53" s="32" t="s">
        <v>96</v>
      </c>
      <c r="F53" s="35" t="str">
        <f>General!$B$2</f>
        <v>PJ</v>
      </c>
    </row>
    <row r="54" spans="4:8" x14ac:dyDescent="0.25">
      <c r="D54" s="32" t="s">
        <v>203</v>
      </c>
      <c r="E54" s="32" t="s">
        <v>97</v>
      </c>
      <c r="F54" s="35" t="str">
        <f>General!$B$2</f>
        <v>PJ</v>
      </c>
    </row>
    <row r="55" spans="4:8" x14ac:dyDescent="0.25">
      <c r="D55" s="32" t="s">
        <v>204</v>
      </c>
      <c r="E55" s="32" t="s">
        <v>98</v>
      </c>
      <c r="F55" s="35" t="str">
        <f>General!$B$2</f>
        <v>PJ</v>
      </c>
    </row>
    <row r="56" spans="4:8" x14ac:dyDescent="0.25">
      <c r="D56" s="32" t="s">
        <v>205</v>
      </c>
      <c r="E56" s="32" t="s">
        <v>78</v>
      </c>
      <c r="F56" s="35" t="str">
        <f>General!$B$2</f>
        <v>PJ</v>
      </c>
    </row>
    <row r="57" spans="4:8" x14ac:dyDescent="0.25">
      <c r="D57" s="32" t="s">
        <v>206</v>
      </c>
      <c r="E57" s="32" t="s">
        <v>953</v>
      </c>
      <c r="F57" s="35" t="str">
        <f>General!$B$2</f>
        <v>PJ</v>
      </c>
    </row>
    <row r="58" spans="4:8" x14ac:dyDescent="0.25">
      <c r="D58" s="32" t="s">
        <v>951</v>
      </c>
      <c r="E58" s="32" t="s">
        <v>954</v>
      </c>
      <c r="F58" s="35" t="str">
        <f>General!$B$2</f>
        <v>PJ</v>
      </c>
    </row>
    <row r="59" spans="4:8" x14ac:dyDescent="0.25">
      <c r="D59" s="32" t="s">
        <v>952</v>
      </c>
      <c r="E59" s="32" t="s">
        <v>955</v>
      </c>
      <c r="F59" s="35" t="str">
        <f>General!$B$2</f>
        <v>PJ</v>
      </c>
    </row>
    <row r="60" spans="4:8" x14ac:dyDescent="0.25">
      <c r="D60" s="32" t="s">
        <v>207</v>
      </c>
      <c r="E60" s="32" t="s">
        <v>208</v>
      </c>
      <c r="F60" s="35" t="str">
        <f>General!$B$2</f>
        <v>PJ</v>
      </c>
    </row>
    <row r="61" spans="4:8" x14ac:dyDescent="0.25">
      <c r="D61" s="32" t="s">
        <v>209</v>
      </c>
      <c r="E61" s="32" t="s">
        <v>210</v>
      </c>
      <c r="F61" s="35" t="str">
        <f>General!$B$2</f>
        <v>PJ</v>
      </c>
    </row>
    <row r="62" spans="4:8" x14ac:dyDescent="0.25">
      <c r="D62" s="32" t="s">
        <v>211</v>
      </c>
      <c r="E62" s="32" t="s">
        <v>212</v>
      </c>
      <c r="F62" s="35" t="str">
        <f>General!$B$2</f>
        <v>PJ</v>
      </c>
      <c r="H62" s="32" t="s">
        <v>547</v>
      </c>
    </row>
    <row r="63" spans="4:8" x14ac:dyDescent="0.25">
      <c r="D63" s="32" t="s">
        <v>213</v>
      </c>
      <c r="E63" s="32" t="s">
        <v>214</v>
      </c>
      <c r="F63" s="35" t="str">
        <f>General!$B$2</f>
        <v>PJ</v>
      </c>
      <c r="H63" s="32" t="s">
        <v>547</v>
      </c>
    </row>
    <row r="64" spans="4:8" x14ac:dyDescent="0.25">
      <c r="D64" s="32" t="s">
        <v>528</v>
      </c>
      <c r="E64" s="32" t="s">
        <v>529</v>
      </c>
      <c r="F64" s="35" t="str">
        <f>General!$B$2</f>
        <v>PJ</v>
      </c>
    </row>
    <row r="65" spans="4:8" x14ac:dyDescent="0.25">
      <c r="D65" s="32" t="s">
        <v>530</v>
      </c>
      <c r="E65" s="32" t="s">
        <v>531</v>
      </c>
      <c r="F65" s="35" t="str">
        <f>General!$B$2</f>
        <v>PJ</v>
      </c>
    </row>
    <row r="66" spans="4:8" x14ac:dyDescent="0.25">
      <c r="D66" s="32" t="s">
        <v>532</v>
      </c>
      <c r="E66" s="32" t="s">
        <v>533</v>
      </c>
      <c r="F66" s="35" t="str">
        <f>General!$B$2</f>
        <v>PJ</v>
      </c>
      <c r="H66" s="32" t="s">
        <v>547</v>
      </c>
    </row>
    <row r="67" spans="4:8" x14ac:dyDescent="0.25">
      <c r="D67" s="32" t="s">
        <v>217</v>
      </c>
      <c r="E67" s="32" t="s">
        <v>962</v>
      </c>
      <c r="F67" s="35" t="str">
        <f>General!$B$2</f>
        <v>PJ</v>
      </c>
    </row>
    <row r="68" spans="4:8" x14ac:dyDescent="0.25">
      <c r="D68" s="32" t="s">
        <v>215</v>
      </c>
      <c r="E68" s="32" t="s">
        <v>216</v>
      </c>
      <c r="F68" s="35" t="str">
        <f>General!$B$2</f>
        <v>PJ</v>
      </c>
    </row>
    <row r="69" spans="4:8" x14ac:dyDescent="0.25">
      <c r="D69" s="32" t="s">
        <v>963</v>
      </c>
      <c r="E69" s="32" t="s">
        <v>966</v>
      </c>
      <c r="F69" s="35" t="str">
        <f>General!$B$2</f>
        <v>PJ</v>
      </c>
    </row>
    <row r="70" spans="4:8" x14ac:dyDescent="0.25">
      <c r="D70" s="32" t="s">
        <v>964</v>
      </c>
      <c r="E70" s="32" t="s">
        <v>965</v>
      </c>
      <c r="F70" s="35" t="str">
        <f>General!$B$2</f>
        <v>PJ</v>
      </c>
    </row>
    <row r="71" spans="4:8" x14ac:dyDescent="0.25">
      <c r="D71" s="32" t="s">
        <v>218</v>
      </c>
      <c r="E71" s="32" t="s">
        <v>219</v>
      </c>
      <c r="F71" s="35" t="str">
        <f>General!$B$2</f>
        <v>PJ</v>
      </c>
    </row>
    <row r="72" spans="4:8" x14ac:dyDescent="0.25">
      <c r="D72" s="32" t="s">
        <v>220</v>
      </c>
      <c r="E72" s="32" t="s">
        <v>221</v>
      </c>
      <c r="F72" s="35" t="str">
        <f>General!$B$2</f>
        <v>PJ</v>
      </c>
    </row>
    <row r="73" spans="4:8" x14ac:dyDescent="0.25">
      <c r="D73" s="32" t="s">
        <v>222</v>
      </c>
      <c r="E73" s="32" t="s">
        <v>223</v>
      </c>
      <c r="F73" s="35" t="str">
        <f>General!$B$2</f>
        <v>PJ</v>
      </c>
    </row>
    <row r="74" spans="4:8" x14ac:dyDescent="0.25">
      <c r="D74" s="32" t="s">
        <v>224</v>
      </c>
      <c r="E74" s="32" t="s">
        <v>225</v>
      </c>
      <c r="F74" s="35" t="str">
        <f>General!$B$2</f>
        <v>PJ</v>
      </c>
    </row>
    <row r="75" spans="4:8" x14ac:dyDescent="0.25">
      <c r="D75" s="32" t="s">
        <v>226</v>
      </c>
      <c r="E75" s="32" t="s">
        <v>227</v>
      </c>
      <c r="F75" s="35" t="str">
        <f>General!$B$2</f>
        <v>PJ</v>
      </c>
    </row>
    <row r="76" spans="4:8" x14ac:dyDescent="0.25">
      <c r="D76" s="32" t="s">
        <v>228</v>
      </c>
      <c r="E76" s="32" t="s">
        <v>229</v>
      </c>
      <c r="F76" s="35" t="str">
        <f>General!$B$2</f>
        <v>PJ</v>
      </c>
    </row>
    <row r="77" spans="4:8" x14ac:dyDescent="0.25">
      <c r="D77" s="32" t="s">
        <v>230</v>
      </c>
      <c r="E77" s="32" t="s">
        <v>231</v>
      </c>
      <c r="F77" s="35" t="str">
        <f>General!$B$2</f>
        <v>PJ</v>
      </c>
    </row>
    <row r="78" spans="4:8" x14ac:dyDescent="0.25">
      <c r="D78" s="32" t="s">
        <v>232</v>
      </c>
      <c r="E78" s="32" t="s">
        <v>233</v>
      </c>
      <c r="F78" s="35" t="str">
        <f>General!$B$2</f>
        <v>PJ</v>
      </c>
    </row>
    <row r="79" spans="4:8" x14ac:dyDescent="0.25">
      <c r="D79" s="32" t="s">
        <v>234</v>
      </c>
      <c r="E79" s="32" t="s">
        <v>235</v>
      </c>
      <c r="F79" s="35" t="str">
        <f>General!$B$2</f>
        <v>PJ</v>
      </c>
    </row>
    <row r="80" spans="4:8" x14ac:dyDescent="0.25">
      <c r="D80" s="32" t="s">
        <v>236</v>
      </c>
      <c r="E80" s="32" t="s">
        <v>237</v>
      </c>
      <c r="F80" s="35" t="str">
        <f>General!$B$2</f>
        <v>PJ</v>
      </c>
    </row>
    <row r="81" spans="4:8" x14ac:dyDescent="0.25">
      <c r="D81" s="32" t="s">
        <v>770</v>
      </c>
      <c r="E81" s="32" t="s">
        <v>771</v>
      </c>
      <c r="F81" s="35" t="str">
        <f>General!$B$2</f>
        <v>PJ</v>
      </c>
    </row>
    <row r="82" spans="4:8" x14ac:dyDescent="0.25">
      <c r="D82" s="32" t="s">
        <v>238</v>
      </c>
      <c r="E82" s="32" t="s">
        <v>239</v>
      </c>
      <c r="F82" s="35" t="str">
        <f>General!$B$2</f>
        <v>PJ</v>
      </c>
    </row>
    <row r="83" spans="4:8" x14ac:dyDescent="0.25">
      <c r="D83" s="32" t="s">
        <v>240</v>
      </c>
      <c r="E83" s="32" t="s">
        <v>241</v>
      </c>
      <c r="F83" s="35" t="str">
        <f>General!$B$2</f>
        <v>PJ</v>
      </c>
    </row>
    <row r="84" spans="4:8" x14ac:dyDescent="0.25">
      <c r="D84" s="32" t="s">
        <v>242</v>
      </c>
      <c r="E84" s="32" t="s">
        <v>243</v>
      </c>
      <c r="F84" s="35" t="str">
        <f>General!$B$2</f>
        <v>PJ</v>
      </c>
    </row>
    <row r="85" spans="4:8" x14ac:dyDescent="0.25">
      <c r="D85" s="32" t="s">
        <v>244</v>
      </c>
      <c r="E85" s="32" t="s">
        <v>245</v>
      </c>
      <c r="F85" s="35" t="str">
        <f>General!$B$2</f>
        <v>PJ</v>
      </c>
    </row>
    <row r="86" spans="4:8" x14ac:dyDescent="0.25">
      <c r="D86" s="32" t="s">
        <v>246</v>
      </c>
      <c r="E86" s="32" t="s">
        <v>247</v>
      </c>
      <c r="F86" s="35" t="str">
        <f>General!$B$2</f>
        <v>PJ</v>
      </c>
    </row>
    <row r="87" spans="4:8" x14ac:dyDescent="0.25">
      <c r="D87" s="32" t="s">
        <v>248</v>
      </c>
      <c r="E87" s="32" t="s">
        <v>249</v>
      </c>
      <c r="F87" s="35" t="str">
        <f>General!$B$2</f>
        <v>PJ</v>
      </c>
    </row>
    <row r="88" spans="4:8" x14ac:dyDescent="0.25">
      <c r="D88" s="32" t="s">
        <v>250</v>
      </c>
      <c r="E88" s="32" t="s">
        <v>251</v>
      </c>
      <c r="F88" s="35" t="str">
        <f>General!$B$2</f>
        <v>PJ</v>
      </c>
      <c r="H88" s="32" t="s">
        <v>547</v>
      </c>
    </row>
    <row r="89" spans="4:8" x14ac:dyDescent="0.25">
      <c r="D89" s="32" t="s">
        <v>252</v>
      </c>
      <c r="E89" s="32" t="s">
        <v>253</v>
      </c>
      <c r="F89" s="35" t="str">
        <f>General!$B$2</f>
        <v>PJ</v>
      </c>
    </row>
    <row r="90" spans="4:8" x14ac:dyDescent="0.25">
      <c r="D90" s="32" t="s">
        <v>254</v>
      </c>
      <c r="E90" s="32" t="s">
        <v>255</v>
      </c>
      <c r="F90" s="35" t="str">
        <f>General!$B$2</f>
        <v>PJ</v>
      </c>
    </row>
    <row r="91" spans="4:8" x14ac:dyDescent="0.25">
      <c r="D91" s="32" t="s">
        <v>256</v>
      </c>
      <c r="E91" s="32" t="s">
        <v>257</v>
      </c>
      <c r="F91" s="35" t="str">
        <f>General!$B$2</f>
        <v>PJ</v>
      </c>
    </row>
    <row r="92" spans="4:8" x14ac:dyDescent="0.25">
      <c r="D92" s="32" t="s">
        <v>258</v>
      </c>
      <c r="E92" s="32" t="s">
        <v>259</v>
      </c>
      <c r="F92" s="35" t="str">
        <f>General!$B$2</f>
        <v>PJ</v>
      </c>
    </row>
    <row r="93" spans="4:8" x14ac:dyDescent="0.25">
      <c r="D93" s="32" t="s">
        <v>260</v>
      </c>
      <c r="E93" s="32" t="s">
        <v>261</v>
      </c>
      <c r="F93" s="35" t="str">
        <f>General!$B$2</f>
        <v>PJ</v>
      </c>
    </row>
    <row r="94" spans="4:8" x14ac:dyDescent="0.25">
      <c r="D94" s="32" t="s">
        <v>262</v>
      </c>
      <c r="E94" s="32" t="s">
        <v>263</v>
      </c>
      <c r="F94" s="35" t="str">
        <f>General!$B$2</f>
        <v>PJ</v>
      </c>
    </row>
    <row r="95" spans="4:8" x14ac:dyDescent="0.25">
      <c r="D95" s="32" t="s">
        <v>264</v>
      </c>
      <c r="E95" s="32" t="s">
        <v>265</v>
      </c>
      <c r="F95" s="35" t="str">
        <f>General!$B$2</f>
        <v>PJ</v>
      </c>
    </row>
    <row r="96" spans="4:8" x14ac:dyDescent="0.25">
      <c r="D96" s="32" t="s">
        <v>266</v>
      </c>
      <c r="E96" s="32" t="s">
        <v>267</v>
      </c>
      <c r="F96" s="35" t="str">
        <f>General!$B$2</f>
        <v>PJ</v>
      </c>
    </row>
    <row r="97" spans="1:16" x14ac:dyDescent="0.25">
      <c r="D97" s="32" t="s">
        <v>268</v>
      </c>
      <c r="E97" s="32" t="s">
        <v>269</v>
      </c>
      <c r="F97" s="35" t="str">
        <f>General!$B$2</f>
        <v>PJ</v>
      </c>
    </row>
    <row r="98" spans="1:16" x14ac:dyDescent="0.25">
      <c r="D98" s="32" t="s">
        <v>270</v>
      </c>
      <c r="E98" s="32" t="s">
        <v>271</v>
      </c>
      <c r="F98" s="35" t="str">
        <f>General!$B$2</f>
        <v>PJ</v>
      </c>
    </row>
    <row r="99" spans="1:16" x14ac:dyDescent="0.25">
      <c r="D99" s="32" t="s">
        <v>272</v>
      </c>
      <c r="E99" s="32" t="s">
        <v>273</v>
      </c>
      <c r="F99" s="35" t="str">
        <f>General!$B$2</f>
        <v>PJ</v>
      </c>
    </row>
    <row r="100" spans="1:16" x14ac:dyDescent="0.25">
      <c r="D100" s="32" t="s">
        <v>264</v>
      </c>
      <c r="E100" s="32" t="s">
        <v>274</v>
      </c>
      <c r="F100" s="35" t="str">
        <f>General!$B$2</f>
        <v>PJ</v>
      </c>
    </row>
    <row r="101" spans="1:16" x14ac:dyDescent="0.25">
      <c r="D101" s="32" t="s">
        <v>275</v>
      </c>
      <c r="E101" s="32" t="s">
        <v>276</v>
      </c>
      <c r="F101" s="35" t="str">
        <f>General!$B$2</f>
        <v>PJ</v>
      </c>
    </row>
    <row r="102" spans="1:16" x14ac:dyDescent="0.25">
      <c r="D102" s="32" t="s">
        <v>277</v>
      </c>
      <c r="E102" s="32" t="s">
        <v>278</v>
      </c>
      <c r="F102" s="35" t="str">
        <f>General!$B$2</f>
        <v>PJ</v>
      </c>
    </row>
    <row r="103" spans="1:16" x14ac:dyDescent="0.25">
      <c r="D103" s="32" t="s">
        <v>279</v>
      </c>
      <c r="E103" s="32" t="s">
        <v>280</v>
      </c>
      <c r="F103" s="35" t="str">
        <f>General!$B$2</f>
        <v>PJ</v>
      </c>
    </row>
    <row r="104" spans="1:16" x14ac:dyDescent="0.25">
      <c r="D104" s="32" t="s">
        <v>281</v>
      </c>
      <c r="E104" s="32" t="s">
        <v>282</v>
      </c>
      <c r="F104" s="35" t="str">
        <f>General!$B$2</f>
        <v>PJ</v>
      </c>
    </row>
    <row r="105" spans="1:16" x14ac:dyDescent="0.25">
      <c r="D105" s="32" t="s">
        <v>283</v>
      </c>
      <c r="E105" s="32" t="s">
        <v>284</v>
      </c>
      <c r="F105" s="35" t="str">
        <f>General!$B$2</f>
        <v>PJ</v>
      </c>
    </row>
    <row r="106" spans="1:16" x14ac:dyDescent="0.25">
      <c r="D106" s="32" t="s">
        <v>285</v>
      </c>
      <c r="E106" s="32" t="s">
        <v>286</v>
      </c>
      <c r="F106" s="35" t="str">
        <f>General!$B$2</f>
        <v>PJ</v>
      </c>
    </row>
    <row r="107" spans="1:16" x14ac:dyDescent="0.25">
      <c r="D107" s="32" t="s">
        <v>287</v>
      </c>
      <c r="E107" s="32" t="s">
        <v>288</v>
      </c>
      <c r="F107" s="35" t="str">
        <f>General!$B$2</f>
        <v>PJ</v>
      </c>
    </row>
    <row r="108" spans="1:16" x14ac:dyDescent="0.25">
      <c r="D108" s="32" t="s">
        <v>289</v>
      </c>
      <c r="E108" s="32" t="s">
        <v>290</v>
      </c>
      <c r="F108" s="35" t="str">
        <f>General!$B$2</f>
        <v>PJ</v>
      </c>
    </row>
    <row r="109" spans="1:16" x14ac:dyDescent="0.25">
      <c r="A109" s="36"/>
      <c r="B109" s="36"/>
      <c r="C109" s="36"/>
      <c r="D109" s="36" t="s">
        <v>292</v>
      </c>
      <c r="E109" s="32" t="s">
        <v>293</v>
      </c>
      <c r="F109" s="49" t="str">
        <f>General!$B$2</f>
        <v>PJ</v>
      </c>
      <c r="G109" s="36"/>
      <c r="H109" s="36" t="s">
        <v>291</v>
      </c>
      <c r="I109" s="36"/>
      <c r="J109" s="36" t="s">
        <v>79</v>
      </c>
      <c r="K109" s="36"/>
      <c r="L109" s="36"/>
      <c r="M109" s="36"/>
      <c r="N109" s="36"/>
      <c r="O109" s="36"/>
      <c r="P109" s="36"/>
    </row>
    <row r="110" spans="1:16" x14ac:dyDescent="0.25">
      <c r="A110" s="36"/>
      <c r="B110" s="36"/>
      <c r="C110" s="36"/>
      <c r="D110" s="36" t="s">
        <v>545</v>
      </c>
      <c r="E110" s="32" t="s">
        <v>546</v>
      </c>
      <c r="F110" s="49" t="str">
        <f>General!$B$2</f>
        <v>PJ</v>
      </c>
      <c r="G110" s="36"/>
      <c r="H110" s="36" t="s">
        <v>291</v>
      </c>
      <c r="I110" s="36"/>
      <c r="J110" s="36"/>
      <c r="K110" s="36"/>
      <c r="L110" s="36"/>
      <c r="M110" s="36"/>
      <c r="N110" s="36"/>
      <c r="O110" s="36"/>
      <c r="P110" s="36"/>
    </row>
    <row r="111" spans="1:16" x14ac:dyDescent="0.25">
      <c r="A111" s="36"/>
      <c r="B111" s="36"/>
      <c r="C111" s="36"/>
      <c r="D111" s="36" t="s">
        <v>548</v>
      </c>
      <c r="E111" s="32" t="s">
        <v>549</v>
      </c>
      <c r="F111" s="49" t="str">
        <f>General!$B$2</f>
        <v>PJ</v>
      </c>
      <c r="G111" s="36"/>
      <c r="H111" s="36" t="s">
        <v>291</v>
      </c>
      <c r="I111" s="36"/>
      <c r="J111" s="36" t="s">
        <v>79</v>
      </c>
      <c r="K111" s="36"/>
      <c r="L111" s="36"/>
      <c r="M111" s="36"/>
      <c r="N111" s="36"/>
      <c r="O111" s="36"/>
      <c r="P111" s="36"/>
    </row>
    <row r="112" spans="1:16" x14ac:dyDescent="0.25">
      <c r="A112" s="36"/>
      <c r="B112" s="36"/>
      <c r="C112" s="36"/>
      <c r="D112" s="36" t="str">
        <f>$D$9&amp;"NTA"</f>
        <v>COABCONTA</v>
      </c>
      <c r="E112" s="32" t="s">
        <v>550</v>
      </c>
      <c r="F112" s="49" t="str">
        <f>General!$B$2</f>
        <v>PJ</v>
      </c>
      <c r="G112" s="36"/>
      <c r="H112" s="36"/>
      <c r="I112" s="36"/>
      <c r="J112" s="36"/>
      <c r="K112" s="36"/>
      <c r="L112" s="36"/>
      <c r="M112" s="36"/>
      <c r="N112" s="36"/>
      <c r="O112" s="36"/>
      <c r="P112" s="36"/>
    </row>
    <row r="113" spans="1:16" x14ac:dyDescent="0.25">
      <c r="A113" s="36"/>
      <c r="B113" s="36"/>
      <c r="C113" s="36"/>
      <c r="D113" s="36" t="str">
        <f>$D$9&amp;"NTB"</f>
        <v>COABCONTB</v>
      </c>
      <c r="E113" s="32" t="s">
        <v>551</v>
      </c>
      <c r="F113" s="49" t="str">
        <f>General!$B$2</f>
        <v>PJ</v>
      </c>
      <c r="G113" s="36"/>
      <c r="H113" s="36"/>
      <c r="I113" s="36"/>
      <c r="J113" s="36"/>
      <c r="K113" s="36"/>
      <c r="L113" s="36"/>
      <c r="M113" s="36"/>
      <c r="N113" s="36"/>
      <c r="O113" s="36"/>
      <c r="P113" s="36"/>
    </row>
    <row r="114" spans="1:16" x14ac:dyDescent="0.25">
      <c r="A114" s="36"/>
      <c r="B114" s="36"/>
      <c r="C114" s="36"/>
      <c r="D114" s="36" t="str">
        <f>$D$9&amp;"KLA"</f>
        <v>COABCOKLA</v>
      </c>
      <c r="E114" s="32" t="s">
        <v>552</v>
      </c>
      <c r="F114" s="49" t="str">
        <f>General!$B$2</f>
        <v>PJ</v>
      </c>
      <c r="G114" s="36"/>
      <c r="H114" s="36"/>
      <c r="I114" s="36"/>
      <c r="J114" s="36"/>
      <c r="K114" s="36"/>
      <c r="L114" s="36"/>
      <c r="M114" s="36"/>
      <c r="N114" s="36"/>
      <c r="O114" s="36"/>
      <c r="P114" s="36"/>
    </row>
    <row r="115" spans="1:16" x14ac:dyDescent="0.25">
      <c r="A115" s="36"/>
      <c r="B115" s="36"/>
      <c r="C115" s="36"/>
      <c r="D115" s="36" t="str">
        <f>$D$9&amp;"KSA"</f>
        <v>COABCOKSA</v>
      </c>
      <c r="E115" s="32" t="s">
        <v>553</v>
      </c>
      <c r="F115" s="49" t="str">
        <f>General!$B$2</f>
        <v>PJ</v>
      </c>
      <c r="G115" s="36"/>
      <c r="H115" s="36"/>
      <c r="I115" s="36"/>
      <c r="J115" s="36"/>
      <c r="K115" s="36"/>
      <c r="L115" s="36"/>
      <c r="M115" s="36"/>
      <c r="N115" s="36"/>
      <c r="O115" s="36"/>
      <c r="P115" s="36"/>
    </row>
    <row r="116" spans="1:16" x14ac:dyDescent="0.25">
      <c r="A116" s="36"/>
      <c r="B116" s="36"/>
      <c r="C116" s="36"/>
      <c r="D116" s="36" t="str">
        <f>$D$9&amp;"KSB"</f>
        <v>COABCOKSB</v>
      </c>
      <c r="E116" s="32" t="s">
        <v>554</v>
      </c>
      <c r="F116" s="49" t="str">
        <f>General!$B$2</f>
        <v>PJ</v>
      </c>
      <c r="G116" s="36"/>
      <c r="H116" s="36"/>
      <c r="I116" s="36"/>
      <c r="J116" s="36"/>
      <c r="K116" s="36"/>
      <c r="L116" s="36"/>
      <c r="M116" s="36"/>
      <c r="N116" s="36"/>
      <c r="O116" s="36"/>
      <c r="P116" s="36"/>
    </row>
    <row r="117" spans="1:16" x14ac:dyDescent="0.25">
      <c r="A117" s="36"/>
      <c r="B117" s="36"/>
      <c r="C117" s="36"/>
      <c r="D117" s="36" t="str">
        <f>$D$9&amp;"MOR"</f>
        <v>COABCOMOR</v>
      </c>
      <c r="E117" s="32" t="s">
        <v>555</v>
      </c>
      <c r="F117" s="49" t="str">
        <f>General!$B$2</f>
        <v>PJ</v>
      </c>
      <c r="G117" s="36"/>
      <c r="H117" s="36"/>
      <c r="I117" s="36"/>
      <c r="J117" s="36"/>
      <c r="K117" s="36"/>
      <c r="L117" s="36"/>
      <c r="M117" s="36"/>
      <c r="N117" s="36"/>
      <c r="O117" s="36"/>
      <c r="P117" s="36"/>
    </row>
    <row r="118" spans="1:16" x14ac:dyDescent="0.25">
      <c r="A118" s="36"/>
      <c r="B118" s="36"/>
      <c r="C118" s="36"/>
      <c r="D118" s="36" t="s">
        <v>586</v>
      </c>
      <c r="E118" s="32" t="s">
        <v>617</v>
      </c>
      <c r="F118" s="49" t="s">
        <v>80</v>
      </c>
      <c r="G118" s="36"/>
      <c r="H118" s="36"/>
      <c r="I118" s="36"/>
      <c r="J118" s="36"/>
      <c r="K118" s="36"/>
      <c r="L118" s="36"/>
      <c r="M118" s="36"/>
      <c r="N118" s="36"/>
      <c r="O118" s="36"/>
      <c r="P118" s="36"/>
    </row>
    <row r="119" spans="1:16" x14ac:dyDescent="0.25">
      <c r="A119" s="36"/>
      <c r="B119" s="36"/>
      <c r="C119" s="36"/>
      <c r="D119" s="36" t="s">
        <v>587</v>
      </c>
      <c r="E119" s="32" t="s">
        <v>618</v>
      </c>
      <c r="F119" s="49" t="s">
        <v>80</v>
      </c>
      <c r="G119" s="36"/>
      <c r="H119" s="36"/>
      <c r="I119" s="36"/>
      <c r="J119" s="36"/>
      <c r="K119" s="36"/>
      <c r="L119" s="36"/>
      <c r="M119" s="36"/>
      <c r="N119" s="36"/>
      <c r="O119" s="36"/>
      <c r="P119" s="36"/>
    </row>
    <row r="120" spans="1:16" x14ac:dyDescent="0.25">
      <c r="A120" s="36"/>
      <c r="B120" s="36"/>
      <c r="C120" s="36"/>
      <c r="D120" s="36" t="s">
        <v>588</v>
      </c>
      <c r="E120" s="32" t="s">
        <v>619</v>
      </c>
      <c r="F120" s="49" t="s">
        <v>80</v>
      </c>
      <c r="G120" s="36"/>
      <c r="H120" s="36"/>
      <c r="I120" s="36"/>
      <c r="J120" s="36"/>
      <c r="K120" s="36"/>
      <c r="L120" s="36"/>
      <c r="M120" s="36"/>
      <c r="N120" s="36"/>
      <c r="O120" s="36"/>
      <c r="P120" s="36"/>
    </row>
    <row r="121" spans="1:16" x14ac:dyDescent="0.25">
      <c r="A121" s="36"/>
      <c r="B121" s="36"/>
      <c r="C121" s="36"/>
      <c r="D121" s="36" t="s">
        <v>589</v>
      </c>
      <c r="E121" s="32" t="s">
        <v>620</v>
      </c>
      <c r="F121" s="49" t="s">
        <v>80</v>
      </c>
      <c r="G121" s="36"/>
      <c r="H121" s="36"/>
      <c r="I121" s="36"/>
      <c r="J121" s="36"/>
      <c r="K121" s="36"/>
      <c r="L121" s="36"/>
      <c r="M121" s="36"/>
      <c r="N121" s="36"/>
      <c r="O121" s="36"/>
      <c r="P121" s="36"/>
    </row>
    <row r="122" spans="1:16" x14ac:dyDescent="0.25">
      <c r="A122" s="36"/>
      <c r="B122" s="36"/>
      <c r="C122" s="36"/>
      <c r="D122" s="36" t="s">
        <v>590</v>
      </c>
      <c r="E122" s="32" t="s">
        <v>621</v>
      </c>
      <c r="F122" s="49" t="s">
        <v>80</v>
      </c>
      <c r="G122" s="36"/>
      <c r="H122" s="36"/>
      <c r="I122" s="36"/>
      <c r="J122" s="36"/>
      <c r="K122" s="36"/>
      <c r="L122" s="36"/>
      <c r="M122" s="36"/>
      <c r="N122" s="36"/>
      <c r="O122" s="36"/>
      <c r="P122" s="36"/>
    </row>
    <row r="123" spans="1:16" x14ac:dyDescent="0.25">
      <c r="A123" s="36"/>
      <c r="B123" s="36"/>
      <c r="C123" s="36"/>
      <c r="D123" s="36" t="s">
        <v>591</v>
      </c>
      <c r="E123" s="32" t="s">
        <v>129</v>
      </c>
      <c r="F123" s="49" t="s">
        <v>80</v>
      </c>
      <c r="G123" s="36"/>
      <c r="H123" s="36"/>
      <c r="I123" s="36"/>
      <c r="J123" s="36"/>
      <c r="K123" s="36"/>
      <c r="L123" s="36"/>
      <c r="M123" s="36"/>
      <c r="N123" s="36"/>
      <c r="O123" s="36"/>
      <c r="P123" s="36"/>
    </row>
    <row r="124" spans="1:16" x14ac:dyDescent="0.25">
      <c r="A124" s="36"/>
      <c r="B124" s="36"/>
      <c r="C124" s="36"/>
      <c r="D124" s="36" t="s">
        <v>592</v>
      </c>
      <c r="E124" s="32" t="s">
        <v>131</v>
      </c>
      <c r="F124" s="49" t="s">
        <v>80</v>
      </c>
      <c r="G124" s="36"/>
      <c r="H124" s="36"/>
      <c r="I124" s="36"/>
      <c r="J124" s="36"/>
      <c r="K124" s="36"/>
      <c r="L124" s="36"/>
      <c r="M124" s="36"/>
      <c r="N124" s="36"/>
      <c r="O124" s="36"/>
      <c r="P124" s="36"/>
    </row>
    <row r="125" spans="1:16" x14ac:dyDescent="0.25">
      <c r="A125" s="36"/>
      <c r="B125" s="36"/>
      <c r="C125" s="36"/>
      <c r="D125" s="36" t="s">
        <v>593</v>
      </c>
      <c r="E125" s="32" t="s">
        <v>132</v>
      </c>
      <c r="F125" s="49" t="s">
        <v>80</v>
      </c>
      <c r="G125" s="36"/>
      <c r="H125" s="36"/>
      <c r="I125" s="36"/>
      <c r="J125" s="36"/>
      <c r="K125" s="36"/>
      <c r="L125" s="36"/>
      <c r="M125" s="36"/>
      <c r="N125" s="36"/>
      <c r="O125" s="36"/>
      <c r="P125" s="36"/>
    </row>
    <row r="126" spans="1:16" x14ac:dyDescent="0.25">
      <c r="A126" s="36"/>
      <c r="B126" s="36"/>
      <c r="C126" s="36"/>
      <c r="D126" s="36" t="s">
        <v>530</v>
      </c>
      <c r="E126" s="32" t="s">
        <v>748</v>
      </c>
      <c r="F126" s="49" t="s">
        <v>80</v>
      </c>
      <c r="G126" s="36"/>
      <c r="H126" s="36"/>
      <c r="I126" s="36"/>
      <c r="J126" s="36"/>
      <c r="K126" s="36"/>
      <c r="L126" s="36"/>
      <c r="M126" s="36"/>
      <c r="N126" s="36"/>
      <c r="O126" s="36"/>
      <c r="P126" s="36"/>
    </row>
    <row r="127" spans="1:16" x14ac:dyDescent="0.25">
      <c r="A127" s="36"/>
      <c r="B127" s="36"/>
      <c r="C127" s="36"/>
      <c r="D127" s="36" t="s">
        <v>594</v>
      </c>
      <c r="E127" s="32" t="s">
        <v>749</v>
      </c>
      <c r="F127" s="49" t="s">
        <v>80</v>
      </c>
      <c r="G127" s="36"/>
      <c r="H127" s="36"/>
      <c r="I127" s="36"/>
      <c r="J127" s="36"/>
      <c r="K127" s="36"/>
      <c r="L127" s="36"/>
      <c r="M127" s="36"/>
      <c r="N127" s="36"/>
      <c r="O127" s="36"/>
      <c r="P127" s="36"/>
    </row>
    <row r="128" spans="1:16" x14ac:dyDescent="0.25">
      <c r="A128" s="36"/>
      <c r="B128" s="36"/>
      <c r="C128" s="36"/>
      <c r="D128" s="36" t="s">
        <v>663</v>
      </c>
      <c r="E128" s="32" t="s">
        <v>665</v>
      </c>
      <c r="F128" s="49" t="s">
        <v>80</v>
      </c>
      <c r="G128" s="36"/>
      <c r="H128" s="36"/>
      <c r="I128" s="36"/>
      <c r="J128" s="36"/>
      <c r="K128" s="36"/>
      <c r="L128" s="36"/>
      <c r="M128" s="36"/>
      <c r="N128" s="36"/>
      <c r="O128" s="36"/>
      <c r="P128" s="36"/>
    </row>
    <row r="129" spans="1:16" x14ac:dyDescent="0.25">
      <c r="A129" s="36"/>
      <c r="B129" s="36"/>
      <c r="C129" s="36"/>
      <c r="D129" s="36" t="s">
        <v>664</v>
      </c>
      <c r="E129" s="32" t="s">
        <v>666</v>
      </c>
      <c r="F129" s="49" t="s">
        <v>80</v>
      </c>
      <c r="G129" s="36"/>
      <c r="H129" s="36"/>
      <c r="I129" s="36"/>
      <c r="J129" s="36"/>
      <c r="K129" s="36"/>
      <c r="L129" s="36"/>
      <c r="M129" s="36"/>
      <c r="N129" s="36"/>
      <c r="O129" s="36"/>
      <c r="P129" s="36"/>
    </row>
    <row r="130" spans="1:16" x14ac:dyDescent="0.25">
      <c r="A130" s="36"/>
      <c r="B130" s="36"/>
      <c r="C130" s="36"/>
      <c r="D130" s="36" t="s">
        <v>595</v>
      </c>
      <c r="E130" s="32" t="s">
        <v>738</v>
      </c>
      <c r="F130" s="49" t="s">
        <v>80</v>
      </c>
      <c r="G130" s="36"/>
      <c r="H130" s="36"/>
      <c r="I130" s="36"/>
      <c r="J130" s="36"/>
      <c r="K130" s="36"/>
      <c r="L130" s="36"/>
      <c r="M130" s="36"/>
      <c r="N130" s="36"/>
      <c r="O130" s="36"/>
      <c r="P130" s="36"/>
    </row>
    <row r="131" spans="1:16" x14ac:dyDescent="0.25">
      <c r="A131" s="36"/>
      <c r="B131" s="36"/>
      <c r="C131" s="36"/>
      <c r="D131" s="36" t="s">
        <v>596</v>
      </c>
      <c r="E131" s="32" t="s">
        <v>739</v>
      </c>
      <c r="F131" s="49" t="s">
        <v>80</v>
      </c>
      <c r="G131" s="36"/>
      <c r="H131" s="36"/>
      <c r="I131" s="36"/>
      <c r="J131" s="36"/>
      <c r="K131" s="36"/>
      <c r="L131" s="36"/>
      <c r="M131" s="36"/>
      <c r="N131" s="36"/>
      <c r="O131" s="36"/>
      <c r="P131" s="36"/>
    </row>
    <row r="132" spans="1:16" x14ac:dyDescent="0.25">
      <c r="A132" s="36"/>
      <c r="B132" s="36"/>
      <c r="C132" s="36"/>
      <c r="D132" s="36" t="s">
        <v>597</v>
      </c>
      <c r="E132" s="32" t="s">
        <v>740</v>
      </c>
      <c r="F132" s="49" t="s">
        <v>80</v>
      </c>
      <c r="G132" s="36"/>
      <c r="H132" s="36"/>
      <c r="I132" s="36"/>
      <c r="J132" s="36"/>
      <c r="K132" s="36"/>
      <c r="L132" s="36"/>
      <c r="M132" s="36"/>
      <c r="N132" s="36"/>
      <c r="O132" s="36"/>
      <c r="P132" s="36"/>
    </row>
    <row r="133" spans="1:16" x14ac:dyDescent="0.25">
      <c r="A133" s="36"/>
      <c r="B133" s="36"/>
      <c r="C133" s="36"/>
      <c r="D133" s="36" t="s">
        <v>598</v>
      </c>
      <c r="E133" s="32" t="s">
        <v>741</v>
      </c>
      <c r="F133" s="49" t="s">
        <v>80</v>
      </c>
      <c r="G133" s="36"/>
      <c r="H133" s="36"/>
      <c r="I133" s="36"/>
      <c r="J133" s="36"/>
      <c r="K133" s="36"/>
      <c r="L133" s="36"/>
      <c r="M133" s="36"/>
      <c r="N133" s="36"/>
      <c r="O133" s="36"/>
      <c r="P133" s="36"/>
    </row>
    <row r="134" spans="1:16" x14ac:dyDescent="0.25">
      <c r="A134" s="36"/>
      <c r="B134" s="36"/>
      <c r="C134" s="36"/>
      <c r="D134" s="36" t="s">
        <v>599</v>
      </c>
      <c r="E134" s="32" t="s">
        <v>742</v>
      </c>
      <c r="F134" s="49" t="s">
        <v>80</v>
      </c>
      <c r="G134" s="36"/>
      <c r="H134" s="36"/>
      <c r="I134" s="36"/>
      <c r="J134" s="36"/>
      <c r="K134" s="36"/>
      <c r="L134" s="36"/>
      <c r="M134" s="36"/>
      <c r="N134" s="36"/>
      <c r="O134" s="36"/>
      <c r="P134" s="36"/>
    </row>
    <row r="135" spans="1:16" x14ac:dyDescent="0.25">
      <c r="A135" s="36"/>
      <c r="B135" s="36"/>
      <c r="C135" s="36"/>
      <c r="D135" s="36" t="s">
        <v>600</v>
      </c>
      <c r="E135" s="32" t="s">
        <v>743</v>
      </c>
      <c r="F135" s="49" t="s">
        <v>80</v>
      </c>
      <c r="G135" s="36"/>
      <c r="H135" s="36"/>
      <c r="I135" s="36"/>
      <c r="J135" s="36"/>
      <c r="K135" s="36"/>
      <c r="L135" s="36"/>
      <c r="M135" s="36"/>
      <c r="N135" s="36"/>
      <c r="O135" s="36"/>
      <c r="P135" s="36"/>
    </row>
    <row r="136" spans="1:16" x14ac:dyDescent="0.25">
      <c r="A136" s="36"/>
      <c r="B136" s="36"/>
      <c r="C136" s="36"/>
      <c r="D136" s="36" t="s">
        <v>601</v>
      </c>
      <c r="E136" s="32" t="s">
        <v>744</v>
      </c>
      <c r="F136" s="49" t="s">
        <v>80</v>
      </c>
      <c r="G136" s="36"/>
      <c r="H136" s="36"/>
      <c r="I136" s="36"/>
      <c r="J136" s="36"/>
      <c r="K136" s="36"/>
      <c r="L136" s="36"/>
      <c r="M136" s="36"/>
      <c r="N136" s="36"/>
      <c r="O136" s="36"/>
      <c r="P136" s="36"/>
    </row>
    <row r="137" spans="1:16" x14ac:dyDescent="0.25">
      <c r="A137" s="36"/>
      <c r="B137" s="36"/>
      <c r="C137" s="36"/>
      <c r="D137" s="36" t="s">
        <v>602</v>
      </c>
      <c r="E137" s="32" t="s">
        <v>745</v>
      </c>
      <c r="F137" s="49" t="s">
        <v>80</v>
      </c>
      <c r="G137" s="36"/>
      <c r="H137" s="36"/>
      <c r="I137" s="36"/>
      <c r="J137" s="36"/>
      <c r="K137" s="36"/>
      <c r="L137" s="36"/>
      <c r="M137" s="36"/>
      <c r="N137" s="36"/>
      <c r="O137" s="36"/>
      <c r="P137" s="36"/>
    </row>
    <row r="138" spans="1:16" x14ac:dyDescent="0.25">
      <c r="A138" s="36"/>
      <c r="B138" s="36"/>
      <c r="C138" s="36"/>
      <c r="D138" s="36" t="s">
        <v>603</v>
      </c>
      <c r="E138" s="32" t="s">
        <v>746</v>
      </c>
      <c r="F138" s="49" t="s">
        <v>80</v>
      </c>
      <c r="G138" s="36"/>
      <c r="H138" s="36"/>
      <c r="I138" s="36"/>
      <c r="J138" s="36"/>
      <c r="K138" s="36"/>
      <c r="L138" s="36"/>
      <c r="M138" s="36"/>
      <c r="N138" s="36"/>
      <c r="O138" s="36"/>
      <c r="P138" s="36"/>
    </row>
    <row r="139" spans="1:16" x14ac:dyDescent="0.25">
      <c r="A139" s="36"/>
      <c r="B139" s="36"/>
      <c r="C139" s="36"/>
      <c r="D139" s="36" t="s">
        <v>604</v>
      </c>
      <c r="E139" s="32" t="s">
        <v>747</v>
      </c>
      <c r="F139" s="49" t="s">
        <v>80</v>
      </c>
      <c r="G139" s="36"/>
      <c r="H139" s="36"/>
      <c r="I139" s="36"/>
      <c r="J139" s="36"/>
      <c r="K139" s="36"/>
      <c r="L139" s="36"/>
      <c r="M139" s="36"/>
      <c r="N139" s="36"/>
      <c r="O139" s="36"/>
      <c r="P139" s="36"/>
    </row>
    <row r="140" spans="1:16" x14ac:dyDescent="0.25">
      <c r="A140" s="36"/>
      <c r="B140" s="36"/>
      <c r="C140" s="36"/>
      <c r="D140" s="36" t="s">
        <v>649</v>
      </c>
      <c r="E140" s="32" t="s">
        <v>651</v>
      </c>
      <c r="F140" s="49" t="s">
        <v>80</v>
      </c>
      <c r="G140" s="36"/>
      <c r="H140" s="36"/>
      <c r="I140" s="36"/>
      <c r="J140" s="36"/>
      <c r="K140" s="36"/>
      <c r="L140" s="36"/>
      <c r="M140" s="36"/>
      <c r="N140" s="36"/>
      <c r="O140" s="36"/>
      <c r="P140" s="36"/>
    </row>
    <row r="141" spans="1:16" x14ac:dyDescent="0.25">
      <c r="A141" s="36"/>
      <c r="B141" s="36"/>
      <c r="C141" s="36"/>
      <c r="D141" s="36" t="s">
        <v>648</v>
      </c>
      <c r="E141" s="32" t="s">
        <v>652</v>
      </c>
      <c r="F141" s="49" t="s">
        <v>80</v>
      </c>
      <c r="G141" s="36"/>
      <c r="H141" s="36"/>
      <c r="I141" s="36"/>
      <c r="J141" s="36"/>
      <c r="K141" s="36"/>
      <c r="L141" s="36"/>
      <c r="M141" s="36"/>
      <c r="N141" s="36"/>
      <c r="O141" s="36"/>
      <c r="P141" s="36"/>
    </row>
    <row r="142" spans="1:16" x14ac:dyDescent="0.25">
      <c r="A142" s="36"/>
      <c r="B142" s="36"/>
      <c r="C142" s="36"/>
      <c r="D142" s="36" t="s">
        <v>667</v>
      </c>
      <c r="E142" s="32" t="s">
        <v>668</v>
      </c>
      <c r="F142" s="49" t="s">
        <v>80</v>
      </c>
      <c r="G142" s="36"/>
      <c r="H142" s="36"/>
      <c r="I142" s="36"/>
      <c r="J142" s="36"/>
      <c r="K142" s="36"/>
      <c r="L142" s="36"/>
      <c r="M142" s="36"/>
      <c r="N142" s="36"/>
      <c r="O142" s="36"/>
      <c r="P142" s="36"/>
    </row>
    <row r="143" spans="1:16" x14ac:dyDescent="0.25">
      <c r="A143" s="36"/>
      <c r="B143" s="36"/>
      <c r="C143" s="36"/>
      <c r="D143" s="36" t="s">
        <v>605</v>
      </c>
      <c r="E143" s="32" t="s">
        <v>720</v>
      </c>
      <c r="F143" s="49" t="s">
        <v>80</v>
      </c>
      <c r="G143" s="36"/>
      <c r="H143" s="36"/>
      <c r="I143" s="36"/>
      <c r="J143" s="36"/>
      <c r="K143" s="36"/>
      <c r="L143" s="36"/>
      <c r="M143" s="36"/>
      <c r="N143" s="36"/>
      <c r="O143" s="36"/>
      <c r="P143" s="36"/>
    </row>
    <row r="144" spans="1:16" x14ac:dyDescent="0.25">
      <c r="A144" s="36"/>
      <c r="B144" s="36"/>
      <c r="C144" s="36"/>
      <c r="D144" s="36" t="s">
        <v>606</v>
      </c>
      <c r="E144" s="32" t="s">
        <v>721</v>
      </c>
      <c r="F144" s="49" t="s">
        <v>80</v>
      </c>
      <c r="G144" s="36"/>
      <c r="H144" s="36"/>
      <c r="I144" s="36"/>
      <c r="J144" s="36"/>
      <c r="K144" s="36"/>
      <c r="L144" s="36"/>
      <c r="M144" s="36"/>
      <c r="N144" s="36"/>
      <c r="O144" s="36"/>
      <c r="P144" s="36"/>
    </row>
    <row r="145" spans="1:16" x14ac:dyDescent="0.25">
      <c r="A145" s="36"/>
      <c r="B145" s="36"/>
      <c r="C145" s="36"/>
      <c r="D145" s="36" t="s">
        <v>607</v>
      </c>
      <c r="E145" s="32" t="s">
        <v>722</v>
      </c>
      <c r="F145" s="49" t="s">
        <v>80</v>
      </c>
      <c r="G145" s="36"/>
      <c r="H145" s="36"/>
      <c r="I145" s="36"/>
      <c r="J145" s="36"/>
      <c r="K145" s="36"/>
      <c r="L145" s="36"/>
      <c r="M145" s="36"/>
      <c r="N145" s="36"/>
      <c r="O145" s="36"/>
      <c r="P145" s="36"/>
    </row>
    <row r="146" spans="1:16" x14ac:dyDescent="0.25">
      <c r="A146" s="36"/>
      <c r="B146" s="36"/>
      <c r="C146" s="36"/>
      <c r="D146" s="36" t="s">
        <v>608</v>
      </c>
      <c r="E146" s="32" t="s">
        <v>723</v>
      </c>
      <c r="F146" s="49" t="s">
        <v>80</v>
      </c>
      <c r="G146" s="36"/>
      <c r="H146" s="36"/>
      <c r="I146" s="36"/>
      <c r="J146" s="36"/>
      <c r="K146" s="36"/>
      <c r="L146" s="36"/>
      <c r="M146" s="36"/>
      <c r="N146" s="36"/>
      <c r="O146" s="36"/>
      <c r="P146" s="36"/>
    </row>
    <row r="147" spans="1:16" x14ac:dyDescent="0.25">
      <c r="A147" s="36"/>
      <c r="B147" s="36"/>
      <c r="C147" s="36"/>
      <c r="D147" s="36" t="s">
        <v>609</v>
      </c>
      <c r="E147" s="32" t="s">
        <v>622</v>
      </c>
      <c r="F147" s="49" t="s">
        <v>80</v>
      </c>
      <c r="G147" s="36"/>
      <c r="H147" s="36"/>
      <c r="I147" s="36"/>
      <c r="J147" s="36"/>
      <c r="K147" s="36"/>
      <c r="L147" s="36"/>
      <c r="M147" s="36"/>
      <c r="N147" s="36"/>
      <c r="O147" s="36"/>
      <c r="P147" s="36"/>
    </row>
    <row r="148" spans="1:16" x14ac:dyDescent="0.25">
      <c r="A148" s="36"/>
      <c r="B148" s="36"/>
      <c r="C148" s="36"/>
      <c r="D148" s="36" t="s">
        <v>610</v>
      </c>
      <c r="E148" s="32" t="s">
        <v>623</v>
      </c>
      <c r="F148" s="49" t="s">
        <v>80</v>
      </c>
      <c r="G148" s="36"/>
      <c r="H148" s="36"/>
      <c r="I148" s="36"/>
      <c r="J148" s="36"/>
      <c r="K148" s="36"/>
      <c r="L148" s="36"/>
      <c r="M148" s="36"/>
      <c r="N148" s="36"/>
      <c r="O148" s="36"/>
      <c r="P148" s="36"/>
    </row>
    <row r="149" spans="1:16" x14ac:dyDescent="0.25">
      <c r="A149" s="36"/>
      <c r="B149" s="36"/>
      <c r="C149" s="36"/>
      <c r="D149" s="36" t="s">
        <v>611</v>
      </c>
      <c r="E149" s="32" t="s">
        <v>624</v>
      </c>
      <c r="F149" s="49" t="s">
        <v>80</v>
      </c>
      <c r="G149" s="36"/>
      <c r="H149" s="36"/>
      <c r="I149" s="36"/>
      <c r="J149" s="36"/>
      <c r="K149" s="36"/>
      <c r="L149" s="36"/>
      <c r="M149" s="36"/>
      <c r="N149" s="36"/>
      <c r="O149" s="36"/>
      <c r="P149" s="36"/>
    </row>
    <row r="150" spans="1:16" x14ac:dyDescent="0.25">
      <c r="A150" s="36"/>
      <c r="B150" s="36"/>
      <c r="C150" s="36"/>
      <c r="D150" s="36" t="s">
        <v>244</v>
      </c>
      <c r="E150" s="32" t="s">
        <v>245</v>
      </c>
      <c r="F150" s="49" t="s">
        <v>80</v>
      </c>
      <c r="G150" s="36"/>
      <c r="H150" s="36"/>
      <c r="I150" s="36"/>
      <c r="J150" s="36"/>
      <c r="K150" s="36"/>
      <c r="L150" s="36"/>
      <c r="M150" s="36"/>
      <c r="N150" s="36"/>
      <c r="O150" s="36"/>
      <c r="P150" s="36"/>
    </row>
    <row r="151" spans="1:16" x14ac:dyDescent="0.25">
      <c r="A151" s="36"/>
      <c r="B151" s="36"/>
      <c r="C151" s="36"/>
      <c r="D151" s="36" t="s">
        <v>612</v>
      </c>
      <c r="E151" s="32" t="s">
        <v>719</v>
      </c>
      <c r="F151" s="49" t="s">
        <v>80</v>
      </c>
      <c r="G151" s="36"/>
      <c r="H151" s="36"/>
      <c r="I151" s="36"/>
      <c r="J151" s="36"/>
      <c r="K151" s="36"/>
      <c r="L151" s="36"/>
      <c r="M151" s="36"/>
      <c r="N151" s="36"/>
      <c r="O151" s="36"/>
      <c r="P151" s="36"/>
    </row>
    <row r="152" spans="1:16" x14ac:dyDescent="0.25">
      <c r="A152" s="36"/>
      <c r="B152" s="36"/>
      <c r="C152" s="36"/>
      <c r="D152" s="36" t="s">
        <v>613</v>
      </c>
      <c r="E152" s="32" t="s">
        <v>625</v>
      </c>
      <c r="F152" s="49" t="s">
        <v>80</v>
      </c>
      <c r="G152" s="36"/>
      <c r="H152" s="36"/>
      <c r="I152" s="36"/>
      <c r="J152" s="36"/>
      <c r="K152" s="36"/>
      <c r="L152" s="36"/>
      <c r="M152" s="36"/>
      <c r="N152" s="36"/>
      <c r="O152" s="36"/>
      <c r="P152" s="36"/>
    </row>
    <row r="153" spans="1:16" x14ac:dyDescent="0.25">
      <c r="A153" s="36"/>
      <c r="B153" s="36"/>
      <c r="C153" s="36"/>
      <c r="D153" s="36" t="s">
        <v>614</v>
      </c>
      <c r="E153" s="32" t="s">
        <v>626</v>
      </c>
      <c r="F153" s="49" t="s">
        <v>80</v>
      </c>
      <c r="G153" s="36"/>
      <c r="H153" s="36"/>
      <c r="I153" s="36"/>
      <c r="J153" s="36"/>
      <c r="K153" s="36"/>
      <c r="L153" s="36"/>
      <c r="M153" s="36"/>
      <c r="N153" s="36"/>
      <c r="O153" s="36"/>
      <c r="P153" s="36"/>
    </row>
    <row r="154" spans="1:16" x14ac:dyDescent="0.25">
      <c r="A154" s="36"/>
      <c r="B154" s="36"/>
      <c r="C154" s="36"/>
      <c r="D154" s="36" t="s">
        <v>615</v>
      </c>
      <c r="E154" s="32" t="s">
        <v>627</v>
      </c>
      <c r="F154" s="49" t="s">
        <v>80</v>
      </c>
      <c r="G154" s="36"/>
      <c r="H154" s="36"/>
      <c r="I154" s="36"/>
      <c r="J154" s="36"/>
      <c r="K154" s="36"/>
      <c r="L154" s="36"/>
      <c r="M154" s="36"/>
      <c r="N154" s="36"/>
      <c r="O154" s="36"/>
      <c r="P154" s="36"/>
    </row>
    <row r="155" spans="1:16" x14ac:dyDescent="0.25">
      <c r="A155" s="36"/>
      <c r="B155" s="36"/>
      <c r="C155" s="36"/>
      <c r="D155" s="36" t="s">
        <v>616</v>
      </c>
      <c r="E155" s="32" t="s">
        <v>628</v>
      </c>
      <c r="F155" s="49" t="s">
        <v>80</v>
      </c>
      <c r="G155" s="36"/>
      <c r="H155" s="36"/>
      <c r="I155" s="36"/>
      <c r="J155" s="36"/>
      <c r="K155" s="36"/>
      <c r="L155" s="36"/>
      <c r="M155" s="36"/>
      <c r="N155" s="36"/>
      <c r="O155" s="36"/>
      <c r="P155" s="36"/>
    </row>
    <row r="156" spans="1:16" x14ac:dyDescent="0.25">
      <c r="A156" s="36"/>
      <c r="B156" s="36"/>
      <c r="C156" s="36"/>
      <c r="D156" s="36" t="s">
        <v>631</v>
      </c>
      <c r="E156" s="32" t="s">
        <v>632</v>
      </c>
      <c r="F156" s="49" t="s">
        <v>80</v>
      </c>
      <c r="G156" s="36"/>
      <c r="H156" s="36"/>
      <c r="I156" s="36"/>
      <c r="J156" s="36"/>
      <c r="K156" s="36"/>
      <c r="L156" s="36"/>
      <c r="M156" s="36"/>
      <c r="N156" s="36"/>
      <c r="O156" s="36"/>
      <c r="P156" s="36"/>
    </row>
    <row r="157" spans="1:16" x14ac:dyDescent="0.25">
      <c r="A157" s="36"/>
      <c r="B157" s="36"/>
      <c r="C157" s="36"/>
      <c r="D157" s="36" t="s">
        <v>653</v>
      </c>
      <c r="E157" s="32" t="s">
        <v>656</v>
      </c>
      <c r="F157" s="49" t="s">
        <v>80</v>
      </c>
      <c r="G157" s="36"/>
      <c r="H157" s="36" t="s">
        <v>547</v>
      </c>
      <c r="I157" s="36"/>
      <c r="J157" s="36"/>
      <c r="K157" s="36"/>
      <c r="L157" s="36"/>
      <c r="M157" s="36"/>
      <c r="N157" s="36"/>
      <c r="O157" s="36"/>
      <c r="P157" s="36"/>
    </row>
    <row r="158" spans="1:16" x14ac:dyDescent="0.25">
      <c r="A158" s="36"/>
      <c r="B158" s="36"/>
      <c r="C158" s="36"/>
      <c r="D158" s="36" t="s">
        <v>654</v>
      </c>
      <c r="E158" s="32" t="s">
        <v>657</v>
      </c>
      <c r="F158" s="49" t="s">
        <v>80</v>
      </c>
      <c r="G158" s="36"/>
      <c r="H158" s="36" t="s">
        <v>547</v>
      </c>
      <c r="I158" s="36"/>
      <c r="J158" s="36"/>
      <c r="K158" s="36"/>
      <c r="L158" s="36"/>
      <c r="M158" s="36"/>
      <c r="N158" s="36"/>
      <c r="O158" s="36"/>
      <c r="P158" s="36"/>
    </row>
    <row r="159" spans="1:16" x14ac:dyDescent="0.25">
      <c r="A159" s="36"/>
      <c r="B159" s="36"/>
      <c r="C159" s="36"/>
      <c r="D159" s="36" t="s">
        <v>655</v>
      </c>
      <c r="E159" s="32" t="s">
        <v>658</v>
      </c>
      <c r="F159" s="49" t="s">
        <v>80</v>
      </c>
      <c r="G159" s="36"/>
      <c r="H159" s="36" t="s">
        <v>547</v>
      </c>
      <c r="I159" s="36"/>
      <c r="J159" s="36"/>
      <c r="K159" s="36"/>
      <c r="L159" s="36"/>
      <c r="M159" s="36"/>
      <c r="N159" s="36"/>
      <c r="O159" s="36"/>
      <c r="P159" s="36"/>
    </row>
    <row r="160" spans="1:16" x14ac:dyDescent="0.25">
      <c r="A160" s="36"/>
      <c r="B160" s="36"/>
      <c r="C160" s="36"/>
      <c r="D160" s="36" t="s">
        <v>633</v>
      </c>
      <c r="E160" s="32" t="s">
        <v>724</v>
      </c>
      <c r="F160" s="49" t="s">
        <v>80</v>
      </c>
      <c r="G160" s="36"/>
      <c r="H160" s="36"/>
      <c r="I160" s="36"/>
      <c r="J160" s="36"/>
      <c r="K160" s="36"/>
      <c r="L160" s="36"/>
      <c r="M160" s="36"/>
      <c r="N160" s="36"/>
      <c r="O160" s="36"/>
      <c r="P160" s="36"/>
    </row>
    <row r="161" spans="1:16" x14ac:dyDescent="0.25">
      <c r="A161" s="36"/>
      <c r="B161" s="36"/>
      <c r="C161" s="36"/>
      <c r="D161" s="36" t="s">
        <v>634</v>
      </c>
      <c r="E161" s="32" t="s">
        <v>725</v>
      </c>
      <c r="F161" s="49" t="s">
        <v>80</v>
      </c>
      <c r="G161" s="36"/>
      <c r="H161" s="36"/>
      <c r="I161" s="36"/>
      <c r="J161" s="36"/>
      <c r="K161" s="36"/>
      <c r="L161" s="36"/>
      <c r="M161" s="36"/>
      <c r="N161" s="36"/>
      <c r="O161" s="36"/>
      <c r="P161" s="36"/>
    </row>
    <row r="162" spans="1:16" x14ac:dyDescent="0.25">
      <c r="A162" s="36"/>
      <c r="B162" s="36"/>
      <c r="C162" s="36"/>
      <c r="D162" s="36" t="s">
        <v>635</v>
      </c>
      <c r="E162" s="32" t="s">
        <v>726</v>
      </c>
      <c r="F162" s="49" t="s">
        <v>80</v>
      </c>
      <c r="G162" s="36"/>
      <c r="H162" s="36"/>
      <c r="I162" s="36"/>
      <c r="J162" s="36"/>
      <c r="K162" s="36"/>
      <c r="L162" s="36"/>
      <c r="M162" s="36"/>
      <c r="N162" s="36"/>
      <c r="O162" s="36"/>
      <c r="P162" s="36"/>
    </row>
    <row r="163" spans="1:16" x14ac:dyDescent="0.25">
      <c r="A163" s="36"/>
      <c r="B163" s="36"/>
      <c r="C163" s="36"/>
      <c r="D163" s="36" t="s">
        <v>636</v>
      </c>
      <c r="E163" s="32" t="s">
        <v>727</v>
      </c>
      <c r="F163" s="49" t="s">
        <v>80</v>
      </c>
      <c r="G163" s="36"/>
      <c r="H163" s="36"/>
      <c r="I163" s="36"/>
      <c r="J163" s="36"/>
      <c r="K163" s="36"/>
      <c r="L163" s="36"/>
      <c r="M163" s="36"/>
      <c r="N163" s="36"/>
      <c r="O163" s="36"/>
      <c r="P163" s="36"/>
    </row>
    <row r="164" spans="1:16" x14ac:dyDescent="0.25">
      <c r="A164" s="36"/>
      <c r="B164" s="36"/>
      <c r="C164" s="36"/>
      <c r="D164" s="36" t="s">
        <v>637</v>
      </c>
      <c r="E164" s="32" t="s">
        <v>728</v>
      </c>
      <c r="F164" s="49" t="s">
        <v>80</v>
      </c>
      <c r="G164" s="36"/>
      <c r="H164" s="36"/>
      <c r="I164" s="36"/>
      <c r="J164" s="36"/>
      <c r="K164" s="36"/>
      <c r="L164" s="36"/>
      <c r="M164" s="36"/>
      <c r="N164" s="36"/>
      <c r="O164" s="36"/>
      <c r="P164" s="36"/>
    </row>
    <row r="165" spans="1:16" x14ac:dyDescent="0.25">
      <c r="A165" s="36"/>
      <c r="B165" s="36"/>
      <c r="C165" s="36"/>
      <c r="D165" s="36" t="s">
        <v>672</v>
      </c>
      <c r="E165" s="32" t="s">
        <v>729</v>
      </c>
      <c r="F165" s="49" t="s">
        <v>80</v>
      </c>
      <c r="G165" s="36"/>
      <c r="H165" s="36"/>
      <c r="I165" s="36"/>
      <c r="J165" s="36"/>
      <c r="K165" s="36"/>
      <c r="L165" s="36"/>
      <c r="M165" s="36"/>
      <c r="N165" s="36"/>
      <c r="O165" s="36"/>
      <c r="P165" s="36"/>
    </row>
    <row r="166" spans="1:16" x14ac:dyDescent="0.25">
      <c r="A166" s="36"/>
      <c r="B166" s="36"/>
      <c r="C166" s="36"/>
      <c r="D166" s="36" t="s">
        <v>638</v>
      </c>
      <c r="E166" s="32" t="s">
        <v>730</v>
      </c>
      <c r="F166" s="49" t="s">
        <v>80</v>
      </c>
      <c r="G166" s="36"/>
      <c r="H166" s="36"/>
      <c r="I166" s="36"/>
      <c r="J166" s="36"/>
      <c r="K166" s="36"/>
      <c r="L166" s="36"/>
      <c r="M166" s="36"/>
      <c r="N166" s="36"/>
      <c r="O166" s="36"/>
      <c r="P166" s="36"/>
    </row>
    <row r="167" spans="1:16" x14ac:dyDescent="0.25">
      <c r="A167" s="36"/>
      <c r="B167" s="36"/>
      <c r="C167" s="36"/>
      <c r="D167" s="36" t="s">
        <v>639</v>
      </c>
      <c r="E167" s="32" t="s">
        <v>731</v>
      </c>
      <c r="F167" s="49" t="s">
        <v>80</v>
      </c>
      <c r="G167" s="36"/>
      <c r="H167" s="36"/>
      <c r="I167" s="36"/>
      <c r="J167" s="36"/>
      <c r="K167" s="36"/>
      <c r="L167" s="36"/>
      <c r="M167" s="36"/>
      <c r="N167" s="36"/>
      <c r="O167" s="36"/>
      <c r="P167" s="36"/>
    </row>
    <row r="168" spans="1:16" x14ac:dyDescent="0.25">
      <c r="A168" s="36"/>
      <c r="B168" s="36"/>
      <c r="C168" s="36"/>
      <c r="D168" s="36" t="s">
        <v>640</v>
      </c>
      <c r="E168" s="32" t="s">
        <v>732</v>
      </c>
      <c r="F168" s="49" t="s">
        <v>80</v>
      </c>
      <c r="G168" s="36"/>
      <c r="H168" s="36"/>
      <c r="I168" s="36"/>
      <c r="J168" s="36"/>
      <c r="K168" s="36"/>
      <c r="L168" s="36"/>
      <c r="M168" s="36"/>
      <c r="N168" s="36"/>
      <c r="O168" s="36"/>
      <c r="P168" s="36"/>
    </row>
    <row r="169" spans="1:16" x14ac:dyDescent="0.25">
      <c r="A169" s="36"/>
      <c r="B169" s="36"/>
      <c r="C169" s="36"/>
      <c r="D169" s="36" t="s">
        <v>641</v>
      </c>
      <c r="E169" s="32" t="s">
        <v>733</v>
      </c>
      <c r="F169" s="49" t="s">
        <v>80</v>
      </c>
      <c r="G169" s="36"/>
      <c r="H169" s="36"/>
      <c r="I169" s="36"/>
      <c r="J169" s="36"/>
      <c r="K169" s="36"/>
      <c r="L169" s="36"/>
      <c r="M169" s="36"/>
      <c r="N169" s="36"/>
      <c r="O169" s="36"/>
      <c r="P169" s="36"/>
    </row>
    <row r="170" spans="1:16" x14ac:dyDescent="0.25">
      <c r="A170" s="36"/>
      <c r="B170" s="36"/>
      <c r="C170" s="36"/>
      <c r="D170" s="36" t="s">
        <v>642</v>
      </c>
      <c r="E170" s="32" t="s">
        <v>650</v>
      </c>
      <c r="F170" s="49" t="s">
        <v>80</v>
      </c>
      <c r="G170" s="36"/>
      <c r="H170" s="36"/>
      <c r="I170" s="36"/>
      <c r="J170" s="36"/>
      <c r="K170" s="36"/>
      <c r="L170" s="36"/>
      <c r="M170" s="36"/>
      <c r="N170" s="36"/>
      <c r="O170" s="36"/>
      <c r="P170" s="36"/>
    </row>
    <row r="171" spans="1:16" x14ac:dyDescent="0.25">
      <c r="A171" s="36"/>
      <c r="B171" s="36"/>
      <c r="C171" s="36"/>
      <c r="D171" s="36" t="s">
        <v>643</v>
      </c>
      <c r="E171" s="32" t="s">
        <v>647</v>
      </c>
      <c r="F171" s="49" t="s">
        <v>80</v>
      </c>
      <c r="G171" s="36"/>
      <c r="H171" s="36"/>
      <c r="I171" s="36"/>
      <c r="J171" s="36"/>
      <c r="K171" s="36"/>
      <c r="L171" s="36"/>
      <c r="M171" s="36"/>
      <c r="N171" s="36"/>
      <c r="O171" s="36"/>
      <c r="P171" s="36"/>
    </row>
    <row r="172" spans="1:16" x14ac:dyDescent="0.25">
      <c r="A172" s="36"/>
      <c r="B172" s="36"/>
      <c r="C172" s="36"/>
      <c r="D172" s="36" t="s">
        <v>644</v>
      </c>
      <c r="E172" s="32" t="s">
        <v>734</v>
      </c>
      <c r="F172" s="49" t="s">
        <v>80</v>
      </c>
      <c r="G172" s="36"/>
      <c r="H172" s="36"/>
      <c r="I172" s="36"/>
      <c r="J172" s="36"/>
      <c r="K172" s="36"/>
      <c r="L172" s="36"/>
      <c r="M172" s="36"/>
      <c r="N172" s="36"/>
      <c r="O172" s="36"/>
      <c r="P172" s="36"/>
    </row>
    <row r="173" spans="1:16" x14ac:dyDescent="0.25">
      <c r="A173" s="36"/>
      <c r="B173" s="36"/>
      <c r="C173" s="36"/>
      <c r="D173" s="36" t="s">
        <v>645</v>
      </c>
      <c r="E173" s="32" t="s">
        <v>735</v>
      </c>
      <c r="F173" s="49" t="s">
        <v>80</v>
      </c>
      <c r="G173" s="36"/>
      <c r="H173" s="36"/>
      <c r="I173" s="36"/>
      <c r="J173" s="36"/>
      <c r="K173" s="36"/>
      <c r="L173" s="36"/>
      <c r="M173" s="36"/>
      <c r="N173" s="36"/>
      <c r="O173" s="36"/>
      <c r="P173" s="36"/>
    </row>
    <row r="174" spans="1:16" x14ac:dyDescent="0.25">
      <c r="A174" s="36"/>
      <c r="B174" s="36"/>
      <c r="C174" s="36"/>
      <c r="D174" s="36" t="s">
        <v>671</v>
      </c>
      <c r="E174" s="32" t="s">
        <v>736</v>
      </c>
      <c r="F174" s="49" t="s">
        <v>80</v>
      </c>
      <c r="G174" s="36"/>
      <c r="H174" s="36"/>
      <c r="I174" s="36"/>
      <c r="J174" s="36"/>
      <c r="K174" s="36"/>
      <c r="L174" s="36"/>
      <c r="M174" s="36"/>
      <c r="N174" s="36"/>
      <c r="O174" s="36"/>
      <c r="P174" s="36"/>
    </row>
    <row r="175" spans="1:16" x14ac:dyDescent="0.25">
      <c r="A175" s="36"/>
      <c r="B175" s="36"/>
      <c r="C175" s="36"/>
      <c r="D175" s="36" t="s">
        <v>646</v>
      </c>
      <c r="E175" s="32" t="s">
        <v>737</v>
      </c>
      <c r="F175" s="49" t="s">
        <v>80</v>
      </c>
      <c r="G175" s="36"/>
      <c r="H175" s="36"/>
      <c r="I175" s="36"/>
      <c r="J175" s="36"/>
      <c r="K175" s="36"/>
      <c r="L175" s="36"/>
      <c r="M175" s="36"/>
      <c r="N175" s="36"/>
      <c r="O175" s="36"/>
      <c r="P175" s="36"/>
    </row>
    <row r="176" spans="1:16" x14ac:dyDescent="0.25">
      <c r="A176" s="36"/>
      <c r="B176" s="36"/>
      <c r="C176" s="36"/>
      <c r="D176" s="36" t="s">
        <v>922</v>
      </c>
      <c r="E176" s="32" t="s">
        <v>911</v>
      </c>
      <c r="F176" s="49" t="s">
        <v>80</v>
      </c>
      <c r="G176" s="36"/>
      <c r="H176" s="32" t="s">
        <v>547</v>
      </c>
      <c r="I176" s="36"/>
      <c r="J176" s="36"/>
      <c r="K176" s="36"/>
      <c r="L176" s="36"/>
      <c r="M176" s="36"/>
      <c r="N176" s="36"/>
      <c r="O176" s="36"/>
      <c r="P176" s="36"/>
    </row>
    <row r="177" spans="1:16" x14ac:dyDescent="0.25">
      <c r="A177" s="36"/>
      <c r="B177" s="36"/>
      <c r="C177" s="36"/>
      <c r="D177" s="36" t="s">
        <v>919</v>
      </c>
      <c r="E177" s="36" t="s">
        <v>930</v>
      </c>
      <c r="F177" s="49" t="s">
        <v>80</v>
      </c>
      <c r="G177" s="36" t="s">
        <v>933</v>
      </c>
      <c r="I177" s="36"/>
      <c r="J177" s="36"/>
      <c r="K177" s="36"/>
      <c r="L177" s="36"/>
      <c r="M177" s="36"/>
      <c r="N177" s="36"/>
      <c r="O177" s="36"/>
      <c r="P177" s="36"/>
    </row>
    <row r="178" spans="1:16" x14ac:dyDescent="0.25">
      <c r="D178" s="36" t="s">
        <v>932</v>
      </c>
      <c r="E178" s="36" t="s">
        <v>931</v>
      </c>
      <c r="F178" s="49" t="s">
        <v>80</v>
      </c>
    </row>
    <row r="179" spans="1:16" x14ac:dyDescent="0.25">
      <c r="D179" s="32" t="s">
        <v>946</v>
      </c>
      <c r="E179" s="32" t="s">
        <v>945</v>
      </c>
      <c r="F179" s="49" t="s">
        <v>80</v>
      </c>
      <c r="H179" s="32" t="s">
        <v>547</v>
      </c>
    </row>
    <row r="180" spans="1:16" x14ac:dyDescent="0.25">
      <c r="D180" s="32" t="s">
        <v>948</v>
      </c>
      <c r="E180" s="32" t="s">
        <v>947</v>
      </c>
      <c r="F180" s="49" t="s">
        <v>80</v>
      </c>
      <c r="H180" s="32" t="s">
        <v>547</v>
      </c>
    </row>
    <row r="181" spans="1:16" x14ac:dyDescent="0.25">
      <c r="D181" s="32" t="s">
        <v>989</v>
      </c>
      <c r="E181" s="32" t="s">
        <v>1015</v>
      </c>
      <c r="F181" s="32" t="s">
        <v>80</v>
      </c>
      <c r="G181" s="36" t="s">
        <v>933</v>
      </c>
    </row>
    <row r="182" spans="1:16" x14ac:dyDescent="0.25">
      <c r="B182" s="88"/>
      <c r="C182" s="88"/>
      <c r="D182" s="88" t="s">
        <v>995</v>
      </c>
      <c r="E182" s="88" t="s">
        <v>996</v>
      </c>
      <c r="F182" s="88" t="s">
        <v>80</v>
      </c>
      <c r="G182" s="88"/>
      <c r="H182" s="88"/>
      <c r="I182" s="88"/>
      <c r="J182" s="88"/>
    </row>
    <row r="183" spans="1:16" x14ac:dyDescent="0.25">
      <c r="D183" s="32" t="s">
        <v>1018</v>
      </c>
      <c r="E183" s="32" t="s">
        <v>1019</v>
      </c>
      <c r="F183" s="32" t="s">
        <v>80</v>
      </c>
      <c r="M183" s="32" t="s">
        <v>1017</v>
      </c>
    </row>
    <row r="184" spans="1:16" x14ac:dyDescent="0.25">
      <c r="D184" s="32" t="s">
        <v>1021</v>
      </c>
      <c r="E184" s="32" t="s">
        <v>1020</v>
      </c>
      <c r="F184" s="32" t="s">
        <v>80</v>
      </c>
      <c r="M184" s="32" t="s">
        <v>1017</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2:V57"/>
  <sheetViews>
    <sheetView zoomScale="70" zoomScaleNormal="70" workbookViewId="0">
      <selection sqref="A1:XFD1048576"/>
    </sheetView>
  </sheetViews>
  <sheetFormatPr defaultRowHeight="13.2" x14ac:dyDescent="0.25"/>
  <cols>
    <col min="1" max="2" width="8.88671875" style="5"/>
    <col min="3" max="3" width="24.88671875" style="5" customWidth="1"/>
    <col min="4" max="4" width="83.109375" style="5" bestFit="1" customWidth="1"/>
    <col min="5" max="5" width="14" style="5" bestFit="1" customWidth="1"/>
    <col min="6" max="6" width="16.6640625" style="5" bestFit="1" customWidth="1"/>
    <col min="7" max="7" width="20.44140625" style="5" bestFit="1" customWidth="1"/>
    <col min="8" max="8" width="17.6640625" style="5" bestFit="1" customWidth="1"/>
    <col min="9" max="9" width="19.6640625" style="5" customWidth="1"/>
    <col min="10" max="10" width="18.44140625" style="5" customWidth="1"/>
    <col min="11" max="11" width="19.5546875" style="5" customWidth="1"/>
    <col min="12" max="14" width="8.88671875" style="5"/>
    <col min="15" max="15" width="16.44140625" style="5" customWidth="1"/>
    <col min="16" max="16" width="23.5546875" style="5" customWidth="1"/>
    <col min="17" max="17" width="45" style="5" customWidth="1"/>
    <col min="18" max="18" width="58.33203125" style="5" customWidth="1"/>
    <col min="19" max="19" width="16.33203125" style="5" customWidth="1"/>
    <col min="20" max="20" width="16.88671875" style="5" customWidth="1"/>
    <col min="21" max="21" width="15.6640625" style="5" customWidth="1"/>
    <col min="22" max="22" width="13.88671875" style="5" customWidth="1"/>
    <col min="23" max="23" width="16.33203125" style="5" customWidth="1"/>
    <col min="24" max="16384" width="8.88671875" style="5"/>
  </cols>
  <sheetData>
    <row r="2" spans="2:22" ht="15.6" x14ac:dyDescent="0.3">
      <c r="B2" s="238" t="s">
        <v>535</v>
      </c>
    </row>
    <row r="3" spans="2:22" ht="17.399999999999999" x14ac:dyDescent="0.3">
      <c r="B3" s="180"/>
      <c r="N3" s="239" t="s">
        <v>121</v>
      </c>
      <c r="O3" s="239"/>
    </row>
    <row r="4" spans="2:22" ht="15" x14ac:dyDescent="0.25">
      <c r="B4" s="239"/>
    </row>
    <row r="5" spans="2:22" ht="17.399999999999999" x14ac:dyDescent="0.3">
      <c r="B5" s="3"/>
      <c r="C5" s="2"/>
      <c r="E5" s="408"/>
      <c r="F5" s="408"/>
      <c r="H5" s="409"/>
      <c r="I5" s="410"/>
      <c r="N5" s="258" t="s">
        <v>42</v>
      </c>
      <c r="O5" s="258"/>
      <c r="P5" s="259"/>
      <c r="Q5" s="259"/>
      <c r="R5" s="259"/>
      <c r="S5" s="259"/>
      <c r="T5" s="259"/>
      <c r="U5" s="259"/>
      <c r="V5" s="259"/>
    </row>
    <row r="6" spans="2:22" x14ac:dyDescent="0.25">
      <c r="F6" s="261" t="s">
        <v>15</v>
      </c>
      <c r="I6" s="410"/>
      <c r="N6" s="263" t="s">
        <v>20</v>
      </c>
      <c r="O6" s="263"/>
      <c r="P6" s="259"/>
      <c r="Q6" s="259"/>
      <c r="R6" s="259"/>
      <c r="S6" s="259"/>
      <c r="T6" s="259"/>
      <c r="U6" s="259"/>
      <c r="V6" s="259"/>
    </row>
    <row r="7" spans="2:22" x14ac:dyDescent="0.25">
      <c r="B7" s="240" t="s">
        <v>35</v>
      </c>
      <c r="C7" s="240" t="s">
        <v>1</v>
      </c>
      <c r="D7" s="240" t="s">
        <v>45</v>
      </c>
      <c r="E7" s="240" t="s">
        <v>7</v>
      </c>
      <c r="F7" s="241" t="s">
        <v>8</v>
      </c>
      <c r="G7" s="398" t="s">
        <v>17</v>
      </c>
      <c r="H7" s="398" t="s">
        <v>3</v>
      </c>
      <c r="I7" s="398" t="s">
        <v>6</v>
      </c>
      <c r="N7" s="243" t="s">
        <v>13</v>
      </c>
      <c r="O7" s="243" t="s">
        <v>35</v>
      </c>
      <c r="P7" s="243" t="s">
        <v>1</v>
      </c>
      <c r="Q7" s="243" t="s">
        <v>2</v>
      </c>
      <c r="R7" s="243" t="s">
        <v>21</v>
      </c>
      <c r="S7" s="243" t="s">
        <v>22</v>
      </c>
      <c r="T7" s="243" t="s">
        <v>23</v>
      </c>
      <c r="U7" s="243" t="s">
        <v>24</v>
      </c>
      <c r="V7" s="243" t="s">
        <v>25</v>
      </c>
    </row>
    <row r="8" spans="2:22" ht="53.4" thickBot="1" x14ac:dyDescent="0.3">
      <c r="B8" s="245" t="s">
        <v>107</v>
      </c>
      <c r="C8" s="246" t="s">
        <v>26</v>
      </c>
      <c r="D8" s="246" t="s">
        <v>27</v>
      </c>
      <c r="E8" s="246" t="s">
        <v>37</v>
      </c>
      <c r="F8" s="247" t="s">
        <v>38</v>
      </c>
      <c r="G8" s="246" t="s">
        <v>39</v>
      </c>
      <c r="H8" s="246" t="s">
        <v>44</v>
      </c>
      <c r="I8" s="246" t="s">
        <v>43</v>
      </c>
      <c r="N8" s="248" t="s">
        <v>51</v>
      </c>
      <c r="O8" s="248" t="s">
        <v>36</v>
      </c>
      <c r="P8" s="248" t="s">
        <v>26</v>
      </c>
      <c r="Q8" s="248" t="s">
        <v>27</v>
      </c>
      <c r="R8" s="248" t="s">
        <v>28</v>
      </c>
      <c r="S8" s="248" t="s">
        <v>29</v>
      </c>
      <c r="T8" s="248" t="s">
        <v>57</v>
      </c>
      <c r="U8" s="248" t="s">
        <v>56</v>
      </c>
      <c r="V8" s="248" t="s">
        <v>30</v>
      </c>
    </row>
    <row r="9" spans="2:22" ht="13.8" x14ac:dyDescent="0.25">
      <c r="B9" s="250" t="s">
        <v>108</v>
      </c>
      <c r="C9" s="250"/>
      <c r="D9" s="251"/>
      <c r="E9" s="251"/>
      <c r="F9" s="399" t="s">
        <v>534</v>
      </c>
      <c r="G9" s="251" t="s">
        <v>751</v>
      </c>
      <c r="H9" s="74" t="str">
        <f>General!$D$14</f>
        <v>$/GJ/a</v>
      </c>
      <c r="I9" s="74" t="str">
        <f>General!$D$15</f>
        <v>$/GJ</v>
      </c>
      <c r="N9" s="5" t="s">
        <v>111</v>
      </c>
      <c r="P9" s="5" t="str">
        <f>"FT-"&amp;Commodities!D77&amp;"00"</f>
        <v>FT-SUPOILRFG00</v>
      </c>
      <c r="Q9" s="5" t="s">
        <v>757</v>
      </c>
      <c r="R9" s="5" t="str">
        <f>General!$B$2</f>
        <v>PJ</v>
      </c>
      <c r="S9" s="5" t="str">
        <f>General!$B$2&amp;"a"</f>
        <v>PJa</v>
      </c>
    </row>
    <row r="10" spans="2:22" x14ac:dyDescent="0.25">
      <c r="B10" s="253"/>
      <c r="C10" s="253" t="str">
        <f>P9</f>
        <v>FT-SUPOILRFG00</v>
      </c>
      <c r="D10" s="253" t="str">
        <f>Q9</f>
        <v>Fuel Tech -Refinery gas (SUP)</v>
      </c>
      <c r="E10" s="400" t="str">
        <f>Commodities!D17</f>
        <v>OILRFG</v>
      </c>
      <c r="F10" s="401"/>
      <c r="G10" s="402">
        <v>1</v>
      </c>
      <c r="H10" s="402"/>
      <c r="I10" s="402"/>
      <c r="P10" s="5" t="str">
        <f>"FT-"&amp;Commodities!D78&amp;"00"</f>
        <v>FT-SUPOILDSL00</v>
      </c>
      <c r="Q10" s="5" t="s">
        <v>758</v>
      </c>
      <c r="R10" s="5" t="str">
        <f>General!$B$2</f>
        <v>PJ</v>
      </c>
      <c r="S10" s="5" t="str">
        <f>General!$B$2&amp;"a"</f>
        <v>PJa</v>
      </c>
    </row>
    <row r="11" spans="2:22" x14ac:dyDescent="0.25">
      <c r="B11" s="403"/>
      <c r="C11" s="403"/>
      <c r="D11" s="403"/>
      <c r="E11" s="404"/>
      <c r="F11" s="405" t="str">
        <f>"SUP"&amp;E10</f>
        <v>SUPOILRFG</v>
      </c>
      <c r="G11" s="406"/>
      <c r="H11" s="407"/>
      <c r="I11" s="407"/>
      <c r="P11" s="5" t="str">
        <f>"FT-"&amp;Commodities!D79&amp;"00"</f>
        <v>FT-SUPOILGSL00</v>
      </c>
      <c r="Q11" s="5" t="s">
        <v>759</v>
      </c>
      <c r="R11" s="5" t="str">
        <f>General!$B$2</f>
        <v>PJ</v>
      </c>
      <c r="S11" s="5" t="str">
        <f>General!$B$2&amp;"a"</f>
        <v>PJa</v>
      </c>
    </row>
    <row r="12" spans="2:22" x14ac:dyDescent="0.25">
      <c r="B12" s="253"/>
      <c r="C12" s="253" t="str">
        <f>P10</f>
        <v>FT-SUPOILDSL00</v>
      </c>
      <c r="D12" s="253" t="str">
        <f>Q10</f>
        <v>Fuel Tech -Diesel (SUP)</v>
      </c>
      <c r="E12" s="400" t="str">
        <f>Commodities!D18</f>
        <v>OILDSL</v>
      </c>
      <c r="F12" s="401"/>
      <c r="G12" s="402">
        <v>1</v>
      </c>
      <c r="H12" s="402"/>
      <c r="I12" s="402"/>
      <c r="P12" s="5" t="str">
        <f>"FT-"&amp;Commodities!D80&amp;"00"</f>
        <v>FT-SUPOILLPG00</v>
      </c>
      <c r="Q12" s="5" t="s">
        <v>760</v>
      </c>
      <c r="R12" s="5" t="str">
        <f>General!$B$2</f>
        <v>PJ</v>
      </c>
      <c r="S12" s="5" t="str">
        <f>General!$B$2&amp;"a"</f>
        <v>PJa</v>
      </c>
    </row>
    <row r="13" spans="2:22" x14ac:dyDescent="0.25">
      <c r="B13" s="403"/>
      <c r="C13" s="403"/>
      <c r="D13" s="403"/>
      <c r="E13" s="404"/>
      <c r="F13" s="405" t="str">
        <f>"SUP"&amp;E12</f>
        <v>SUPOILDSL</v>
      </c>
      <c r="G13" s="406"/>
      <c r="H13" s="407"/>
      <c r="I13" s="407"/>
      <c r="P13" s="5" t="str">
        <f>"FT-"&amp;Commodities!D81&amp;"00"</f>
        <v>FT-SUPOILHFO00</v>
      </c>
      <c r="Q13" s="5" t="s">
        <v>761</v>
      </c>
      <c r="R13" s="5" t="str">
        <f>General!$B$2</f>
        <v>PJ</v>
      </c>
      <c r="S13" s="5" t="str">
        <f>General!$B$2&amp;"a"</f>
        <v>PJa</v>
      </c>
    </row>
    <row r="14" spans="2:22" x14ac:dyDescent="0.25">
      <c r="B14" s="253"/>
      <c r="C14" s="253" t="str">
        <f>P11</f>
        <v>FT-SUPOILGSL00</v>
      </c>
      <c r="D14" s="253" t="str">
        <f>Q11</f>
        <v>Fuel Tech -Gasoline (SUP)</v>
      </c>
      <c r="E14" s="400" t="str">
        <f>Commodities!D19</f>
        <v>OILGSL</v>
      </c>
      <c r="F14" s="401"/>
      <c r="G14" s="402">
        <v>1</v>
      </c>
      <c r="H14" s="402"/>
      <c r="I14" s="402"/>
      <c r="P14" s="5" t="str">
        <f>"FT-"&amp;Commodities!D82&amp;"00"</f>
        <v>FT-SUPOILKER00</v>
      </c>
      <c r="Q14" s="5" t="s">
        <v>762</v>
      </c>
      <c r="R14" s="5" t="str">
        <f>General!$B$2</f>
        <v>PJ</v>
      </c>
      <c r="S14" s="5" t="str">
        <f>General!$B$2&amp;"a"</f>
        <v>PJa</v>
      </c>
    </row>
    <row r="15" spans="2:22" x14ac:dyDescent="0.25">
      <c r="B15" s="403"/>
      <c r="C15" s="403"/>
      <c r="D15" s="403"/>
      <c r="E15" s="404"/>
      <c r="F15" s="405" t="str">
        <f>"SUP"&amp;E14</f>
        <v>SUPOILGSL</v>
      </c>
      <c r="G15" s="406"/>
      <c r="H15" s="407"/>
      <c r="I15" s="407"/>
      <c r="P15" s="5" t="str">
        <f>"FT-"&amp;Commodities!D83&amp;"00"</f>
        <v>FT-SUPOILNAP00</v>
      </c>
      <c r="Q15" s="5" t="s">
        <v>763</v>
      </c>
      <c r="R15" s="5" t="str">
        <f>General!$B$2</f>
        <v>PJ</v>
      </c>
      <c r="S15" s="5" t="str">
        <f>General!$B$2&amp;"a"</f>
        <v>PJa</v>
      </c>
    </row>
    <row r="16" spans="2:22" x14ac:dyDescent="0.25">
      <c r="B16" s="253"/>
      <c r="C16" s="253" t="str">
        <f>P12</f>
        <v>FT-SUPOILLPG00</v>
      </c>
      <c r="D16" s="253" t="str">
        <f>Q12</f>
        <v>Fuel Tech -Liquified petroleum gas (SUP)</v>
      </c>
      <c r="E16" s="400" t="str">
        <f>Commodities!D21</f>
        <v>OILLPG</v>
      </c>
      <c r="F16" s="401"/>
      <c r="G16" s="402">
        <v>1</v>
      </c>
      <c r="H16" s="402"/>
      <c r="I16" s="402"/>
      <c r="P16" s="5" t="str">
        <f>"FT-"&amp;Commodities!D84&amp;"00"</f>
        <v>FT-SUPOILPCK00</v>
      </c>
      <c r="Q16" s="5" t="s">
        <v>764</v>
      </c>
      <c r="R16" s="5" t="str">
        <f>General!$B$2</f>
        <v>PJ</v>
      </c>
      <c r="S16" s="5" t="str">
        <f>General!$B$2&amp;"a"</f>
        <v>PJa</v>
      </c>
    </row>
    <row r="17" spans="2:20" x14ac:dyDescent="0.25">
      <c r="B17" s="403"/>
      <c r="C17" s="403"/>
      <c r="D17" s="403"/>
      <c r="E17" s="404"/>
      <c r="F17" s="405" t="str">
        <f>"SUP"&amp;E16</f>
        <v>SUPOILLPG</v>
      </c>
      <c r="G17" s="406"/>
      <c r="H17" s="407"/>
      <c r="I17" s="407"/>
      <c r="P17" s="5" t="str">
        <f>"FT-"&amp;Commodities!D85&amp;"00"</f>
        <v>FT-SUPOILOTH00</v>
      </c>
      <c r="Q17" s="5" t="s">
        <v>765</v>
      </c>
      <c r="R17" s="5" t="str">
        <f>General!$B$2</f>
        <v>PJ</v>
      </c>
      <c r="S17" s="5" t="str">
        <f>General!$B$2&amp;"a"</f>
        <v>PJa</v>
      </c>
    </row>
    <row r="18" spans="2:20" x14ac:dyDescent="0.25">
      <c r="B18" s="253"/>
      <c r="C18" s="253" t="str">
        <f>P13</f>
        <v>FT-SUPOILHFO00</v>
      </c>
      <c r="D18" s="253" t="str">
        <f>Q13</f>
        <v>Fuel Tech -Low Sulphur Fuel Oil (SUP)</v>
      </c>
      <c r="E18" s="400" t="str">
        <f>Commodities!D22</f>
        <v>OILHFO</v>
      </c>
      <c r="F18" s="401"/>
      <c r="G18" s="402">
        <v>1</v>
      </c>
      <c r="H18" s="402"/>
      <c r="I18" s="402"/>
      <c r="P18" s="5" t="str">
        <f>"FT-"&amp;Commodities!D88&amp;"00"</f>
        <v>FT-SUPGASNAT00</v>
      </c>
      <c r="Q18" s="5" t="s">
        <v>766</v>
      </c>
      <c r="R18" s="5" t="str">
        <f>General!$B$2</f>
        <v>PJ</v>
      </c>
      <c r="S18" s="5" t="str">
        <f>General!$B$2&amp;"a"</f>
        <v>PJa</v>
      </c>
      <c r="T18" s="5" t="s">
        <v>547</v>
      </c>
    </row>
    <row r="19" spans="2:20" x14ac:dyDescent="0.25">
      <c r="B19" s="403"/>
      <c r="C19" s="403"/>
      <c r="D19" s="403"/>
      <c r="E19" s="404"/>
      <c r="F19" s="405" t="str">
        <f>"SUP"&amp;E18</f>
        <v>SUPOILHFO</v>
      </c>
      <c r="G19" s="406"/>
      <c r="H19" s="407"/>
      <c r="I19" s="407"/>
      <c r="P19" s="5" t="str">
        <f>"FT-"&amp;Commodities!D90&amp;"00"</f>
        <v>FT-SUPBIOLOG00</v>
      </c>
      <c r="Q19" s="5" t="s">
        <v>767</v>
      </c>
      <c r="R19" s="5" t="str">
        <f>General!$B$2</f>
        <v>PJ</v>
      </c>
      <c r="S19" s="5" t="str">
        <f>General!$B$2&amp;"a"</f>
        <v>PJa</v>
      </c>
    </row>
    <row r="20" spans="2:20" x14ac:dyDescent="0.25">
      <c r="B20" s="253"/>
      <c r="C20" s="253" t="str">
        <f>P14</f>
        <v>FT-SUPOILKER00</v>
      </c>
      <c r="D20" s="253" t="str">
        <f>Q14</f>
        <v>Fuel Tech -Kerosene (SUP)</v>
      </c>
      <c r="E20" s="400" t="str">
        <f>Commodities!D23</f>
        <v>OILKER</v>
      </c>
      <c r="F20" s="401"/>
      <c r="G20" s="402">
        <v>1</v>
      </c>
      <c r="H20" s="402"/>
      <c r="I20" s="402"/>
      <c r="P20" s="5" t="str">
        <f>"FT-"&amp;Commodities!D101&amp;"00"</f>
        <v>FT-SUPBIOBGS00</v>
      </c>
      <c r="Q20" s="5" t="s">
        <v>840</v>
      </c>
      <c r="R20" s="5" t="str">
        <f>General!$B$2</f>
        <v>PJ</v>
      </c>
      <c r="S20" s="5" t="str">
        <f>General!$B$2&amp;"a"</f>
        <v>PJa</v>
      </c>
    </row>
    <row r="21" spans="2:20" x14ac:dyDescent="0.25">
      <c r="B21" s="403"/>
      <c r="C21" s="403"/>
      <c r="D21" s="403"/>
      <c r="E21" s="404"/>
      <c r="F21" s="405" t="str">
        <f>"SUP"&amp;E20</f>
        <v>SUPOILKER</v>
      </c>
      <c r="G21" s="406"/>
      <c r="H21" s="407"/>
      <c r="I21" s="407"/>
      <c r="N21" s="5" t="s">
        <v>536</v>
      </c>
      <c r="P21" s="5" t="str">
        <f>"FT-"&amp;Commodities!D109&amp;"00"</f>
        <v>FT-SUPELC00</v>
      </c>
      <c r="Q21" s="5" t="s">
        <v>768</v>
      </c>
      <c r="R21" s="5" t="str">
        <f>General!$B$2</f>
        <v>PJ</v>
      </c>
      <c r="S21" s="5" t="str">
        <f>General!$B$5</f>
        <v>GW</v>
      </c>
      <c r="T21" s="5" t="s">
        <v>291</v>
      </c>
    </row>
    <row r="22" spans="2:20" x14ac:dyDescent="0.25">
      <c r="B22" s="253"/>
      <c r="C22" s="253" t="str">
        <f>P15</f>
        <v>FT-SUPOILNAP00</v>
      </c>
      <c r="D22" s="253" t="str">
        <f>Q15</f>
        <v>Fuel Tech -Naphtha (SUP)</v>
      </c>
      <c r="E22" s="400" t="str">
        <f>Commodities!D24</f>
        <v>OILNAP</v>
      </c>
      <c r="F22" s="401"/>
      <c r="G22" s="402">
        <v>1</v>
      </c>
      <c r="H22" s="402"/>
      <c r="I22" s="402"/>
    </row>
    <row r="23" spans="2:20" x14ac:dyDescent="0.25">
      <c r="B23" s="403"/>
      <c r="C23" s="403"/>
      <c r="D23" s="403"/>
      <c r="E23" s="404"/>
      <c r="F23" s="405" t="str">
        <f>"SUP"&amp;E22</f>
        <v>SUPOILNAP</v>
      </c>
      <c r="G23" s="406"/>
      <c r="H23" s="407"/>
      <c r="I23" s="407"/>
    </row>
    <row r="24" spans="2:20" x14ac:dyDescent="0.25">
      <c r="B24" s="253"/>
      <c r="C24" s="253" t="str">
        <f>P16</f>
        <v>FT-SUPOILPCK00</v>
      </c>
      <c r="D24" s="253" t="str">
        <f>Q16</f>
        <v>Fuel Tech -Petroleum Coke (SUP)</v>
      </c>
      <c r="E24" s="400" t="str">
        <f>Commodities!D25</f>
        <v>OILPCK</v>
      </c>
      <c r="F24" s="401"/>
      <c r="G24" s="402">
        <v>1</v>
      </c>
      <c r="H24" s="402"/>
      <c r="I24" s="402"/>
    </row>
    <row r="25" spans="2:20" x14ac:dyDescent="0.25">
      <c r="B25" s="403"/>
      <c r="C25" s="403"/>
      <c r="D25" s="403"/>
      <c r="E25" s="404"/>
      <c r="F25" s="405" t="str">
        <f>"SUP"&amp;E24</f>
        <v>SUPOILPCK</v>
      </c>
      <c r="G25" s="406"/>
      <c r="H25" s="407"/>
      <c r="I25" s="407"/>
    </row>
    <row r="26" spans="2:20" x14ac:dyDescent="0.25">
      <c r="B26" s="253"/>
      <c r="C26" s="253" t="str">
        <f>P17</f>
        <v>FT-SUPOILOTH00</v>
      </c>
      <c r="D26" s="253" t="str">
        <f>Q17</f>
        <v>Fuel Tech -Other petroleum products (SUP)</v>
      </c>
      <c r="E26" s="400" t="str">
        <f>Commodities!D28</f>
        <v>OILOTH</v>
      </c>
      <c r="F26" s="401"/>
      <c r="G26" s="402">
        <v>1</v>
      </c>
      <c r="H26" s="402"/>
      <c r="I26" s="402"/>
    </row>
    <row r="27" spans="2:20" x14ac:dyDescent="0.25">
      <c r="B27" s="403"/>
      <c r="C27" s="403"/>
      <c r="D27" s="403"/>
      <c r="E27" s="404"/>
      <c r="F27" s="405" t="str">
        <f>"SUP"&amp;E26</f>
        <v>SUPOILOTH</v>
      </c>
      <c r="G27" s="406"/>
      <c r="H27" s="407"/>
      <c r="I27" s="407"/>
    </row>
    <row r="28" spans="2:20" x14ac:dyDescent="0.25">
      <c r="B28" s="253"/>
      <c r="C28" s="253" t="str">
        <f>P18</f>
        <v>FT-SUPGASNAT00</v>
      </c>
      <c r="D28" s="253" t="str">
        <f>Q18</f>
        <v>Fuel Tech -Natural Gas (SUP)</v>
      </c>
      <c r="E28" s="253" t="str">
        <f>Commodities!D157</f>
        <v>GASNAT_HP</v>
      </c>
      <c r="F28" s="401"/>
      <c r="G28" s="402">
        <v>1</v>
      </c>
      <c r="H28" s="402"/>
      <c r="I28" s="402"/>
    </row>
    <row r="29" spans="2:20" x14ac:dyDescent="0.25">
      <c r="B29" s="403"/>
      <c r="C29" s="403"/>
      <c r="D29" s="403"/>
      <c r="E29" s="404"/>
      <c r="F29" s="405" t="str">
        <f>"SUP"&amp;LEFT(E28,6)</f>
        <v>SUPGASNAT</v>
      </c>
      <c r="G29" s="406"/>
      <c r="H29" s="407"/>
      <c r="I29" s="407"/>
    </row>
    <row r="30" spans="2:20" x14ac:dyDescent="0.25">
      <c r="B30" s="253"/>
      <c r="C30" s="253" t="str">
        <f>P19</f>
        <v>FT-SUPBIOLOG00</v>
      </c>
      <c r="D30" s="253" t="str">
        <f>Q19</f>
        <v>Fuel Tech -Wood (SUP)</v>
      </c>
      <c r="E30" s="400" t="str">
        <f>Commodities!D32</f>
        <v>BIOLOG</v>
      </c>
      <c r="F30" s="401"/>
      <c r="G30" s="402">
        <v>1</v>
      </c>
      <c r="H30" s="402"/>
      <c r="I30" s="402"/>
    </row>
    <row r="31" spans="2:20" x14ac:dyDescent="0.25">
      <c r="B31" s="403"/>
      <c r="C31" s="403"/>
      <c r="D31" s="403"/>
      <c r="E31" s="404"/>
      <c r="F31" s="405" t="str">
        <f>"SUP"&amp;E30</f>
        <v>SUPBIOLOG</v>
      </c>
      <c r="G31" s="406"/>
      <c r="H31" s="407"/>
      <c r="I31" s="407"/>
    </row>
    <row r="32" spans="2:20" x14ac:dyDescent="0.25">
      <c r="B32" s="253"/>
      <c r="C32" s="253" t="str">
        <f>P20</f>
        <v>FT-SUPBIOBGS00</v>
      </c>
      <c r="D32" s="253" t="str">
        <f>Q20</f>
        <v>Fuel Tech -Biogas (SUP)</v>
      </c>
      <c r="E32" s="400" t="str">
        <f>Commodities!D48</f>
        <v>BIOBGS</v>
      </c>
      <c r="F32" s="401"/>
      <c r="G32" s="402">
        <v>1</v>
      </c>
      <c r="H32" s="402"/>
      <c r="I32" s="402"/>
    </row>
    <row r="33" spans="2:11" x14ac:dyDescent="0.25">
      <c r="B33" s="403"/>
      <c r="C33" s="403"/>
      <c r="D33" s="403"/>
      <c r="E33" s="404"/>
      <c r="F33" s="405" t="str">
        <f>"SUP"&amp;E32</f>
        <v>SUPBIOBGS</v>
      </c>
      <c r="G33" s="406"/>
      <c r="H33" s="407"/>
      <c r="I33" s="407"/>
    </row>
    <row r="37" spans="2:11" x14ac:dyDescent="0.25">
      <c r="F37" s="261" t="s">
        <v>15</v>
      </c>
      <c r="G37" s="261"/>
      <c r="I37" s="410"/>
    </row>
    <row r="38" spans="2:11" ht="13.8" x14ac:dyDescent="0.25">
      <c r="B38" s="240" t="s">
        <v>35</v>
      </c>
      <c r="C38" s="240" t="s">
        <v>1</v>
      </c>
      <c r="D38" s="240" t="s">
        <v>45</v>
      </c>
      <c r="E38" s="240" t="s">
        <v>7</v>
      </c>
      <c r="F38" s="241" t="s">
        <v>8</v>
      </c>
      <c r="G38" s="94" t="s">
        <v>750</v>
      </c>
      <c r="H38" s="94" t="s">
        <v>17</v>
      </c>
      <c r="I38" s="398" t="s">
        <v>3</v>
      </c>
      <c r="J38" s="398" t="s">
        <v>6</v>
      </c>
      <c r="K38" s="398" t="s">
        <v>544</v>
      </c>
    </row>
    <row r="39" spans="2:11" ht="27" thickBot="1" x14ac:dyDescent="0.3">
      <c r="B39" s="245" t="s">
        <v>107</v>
      </c>
      <c r="C39" s="246" t="s">
        <v>26</v>
      </c>
      <c r="D39" s="246" t="s">
        <v>27</v>
      </c>
      <c r="E39" s="246" t="s">
        <v>37</v>
      </c>
      <c r="F39" s="247" t="s">
        <v>38</v>
      </c>
      <c r="G39" s="246" t="s">
        <v>537</v>
      </c>
      <c r="H39" s="69" t="s">
        <v>39</v>
      </c>
      <c r="I39" s="246" t="s">
        <v>44</v>
      </c>
      <c r="J39" s="246" t="s">
        <v>43</v>
      </c>
      <c r="K39" s="246" t="s">
        <v>538</v>
      </c>
    </row>
    <row r="40" spans="2:11" ht="13.8" x14ac:dyDescent="0.25">
      <c r="B40" s="250" t="s">
        <v>108</v>
      </c>
      <c r="C40" s="250"/>
      <c r="D40" s="251"/>
      <c r="E40" s="251"/>
      <c r="F40" s="399" t="s">
        <v>534</v>
      </c>
      <c r="G40" s="251"/>
      <c r="H40" s="74" t="s">
        <v>556</v>
      </c>
      <c r="I40" s="74" t="str">
        <f>General!$D$14</f>
        <v>$/GJ/a</v>
      </c>
      <c r="J40" s="74" t="str">
        <f>General!$D$15</f>
        <v>$/GJ</v>
      </c>
      <c r="K40" s="251" t="s">
        <v>539</v>
      </c>
    </row>
    <row r="41" spans="2:11" ht="13.8" x14ac:dyDescent="0.25">
      <c r="B41" s="253"/>
      <c r="C41" s="253" t="str">
        <f>P21</f>
        <v>FT-SUPELC00</v>
      </c>
      <c r="D41" s="253" t="str">
        <f>Q21</f>
        <v>Fuel Tech -Electricity (SUP)</v>
      </c>
      <c r="E41" s="253" t="str">
        <f>Commodities!D111</f>
        <v>ELCMLO</v>
      </c>
      <c r="F41" s="401"/>
      <c r="G41" s="402">
        <v>1</v>
      </c>
      <c r="H41" s="35">
        <v>1</v>
      </c>
      <c r="I41" s="402"/>
      <c r="J41" s="402"/>
      <c r="K41" s="402">
        <v>31.536000000000001</v>
      </c>
    </row>
    <row r="42" spans="2:11" ht="13.8" x14ac:dyDescent="0.25">
      <c r="B42" s="8"/>
      <c r="C42" s="8"/>
      <c r="D42" s="8"/>
      <c r="E42" s="8" t="s">
        <v>1012</v>
      </c>
      <c r="F42" s="411"/>
      <c r="G42" s="28">
        <v>0.8</v>
      </c>
      <c r="H42" s="35"/>
      <c r="I42" s="28"/>
      <c r="J42" s="28"/>
      <c r="K42" s="28"/>
    </row>
    <row r="43" spans="2:11" ht="13.8" x14ac:dyDescent="0.25">
      <c r="B43" s="403"/>
      <c r="C43" s="403"/>
      <c r="D43" s="403"/>
      <c r="E43" s="403"/>
      <c r="F43" s="405" t="str">
        <f>Commodities!D109</f>
        <v>SUPELC</v>
      </c>
      <c r="G43" s="403"/>
      <c r="H43" s="88"/>
      <c r="I43" s="403"/>
      <c r="J43" s="403"/>
      <c r="K43" s="403"/>
    </row>
    <row r="49" s="5" customFormat="1" ht="15" customHeight="1" x14ac:dyDescent="0.25"/>
    <row r="57" s="5" customFormat="1" ht="18" customHeight="1" x14ac:dyDescent="0.25"/>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W25"/>
  <sheetViews>
    <sheetView zoomScale="60" zoomScaleNormal="60" workbookViewId="0">
      <selection sqref="A1:XFD1048576"/>
    </sheetView>
  </sheetViews>
  <sheetFormatPr defaultRowHeight="13.2" x14ac:dyDescent="0.25"/>
  <cols>
    <col min="1" max="1" width="8.88671875" style="5"/>
    <col min="2" max="2" width="12.44140625" style="5" bestFit="1" customWidth="1"/>
    <col min="3" max="3" width="12.109375" style="5" bestFit="1" customWidth="1"/>
    <col min="4" max="5" width="11.6640625" style="5" bestFit="1" customWidth="1"/>
    <col min="6" max="6" width="12" style="5" bestFit="1" customWidth="1"/>
    <col min="7" max="7" width="12.88671875" style="5" bestFit="1" customWidth="1"/>
    <col min="8" max="8" width="12" style="5" bestFit="1" customWidth="1"/>
    <col min="9" max="9" width="12.109375" style="5" bestFit="1" customWidth="1"/>
    <col min="10" max="10" width="13.44140625" style="5" bestFit="1" customWidth="1"/>
    <col min="11" max="11" width="12.44140625" style="5" bestFit="1" customWidth="1"/>
    <col min="12" max="15" width="15.6640625" style="5" customWidth="1"/>
    <col min="16" max="16" width="11" style="5" customWidth="1"/>
    <col min="17" max="17" width="17" style="5" customWidth="1"/>
    <col min="18" max="20" width="9.109375" style="5"/>
    <col min="21" max="21" width="108.6640625" style="5" bestFit="1" customWidth="1"/>
    <col min="22" max="22" width="8.88671875" style="5"/>
    <col min="23" max="23" width="14.44140625" style="5" bestFit="1" customWidth="1"/>
    <col min="24" max="16384" width="8.88671875" style="5"/>
  </cols>
  <sheetData>
    <row r="2" spans="1:23" ht="12.75" customHeight="1" x14ac:dyDescent="0.25">
      <c r="B2" s="261" t="s">
        <v>19</v>
      </c>
      <c r="P2" s="403"/>
      <c r="Q2" s="403"/>
    </row>
    <row r="3" spans="1:23" ht="36" customHeight="1" x14ac:dyDescent="0.25">
      <c r="B3" s="412" t="s">
        <v>0</v>
      </c>
      <c r="C3" s="413" t="str">
        <f>SUP_Fuel!F11</f>
        <v>SUPOILRFG</v>
      </c>
      <c r="D3" s="412" t="str">
        <f>SUP_Fuel!F13</f>
        <v>SUPOILDSL</v>
      </c>
      <c r="E3" s="413" t="str">
        <f>SUP_Fuel!F15</f>
        <v>SUPOILGSL</v>
      </c>
      <c r="F3" s="413" t="str">
        <f>SUP_Fuel!F17</f>
        <v>SUPOILLPG</v>
      </c>
      <c r="G3" s="412" t="str">
        <f>SUP_Fuel!F19</f>
        <v>SUPOILHFO</v>
      </c>
      <c r="H3" s="413" t="str">
        <f>SUP_Fuel!F21</f>
        <v>SUPOILKER</v>
      </c>
      <c r="I3" s="413" t="str">
        <f>SUP_Fuel!F25</f>
        <v>SUPOILPCK</v>
      </c>
      <c r="J3" s="413" t="str">
        <f>SUP_Fuel!F29</f>
        <v>SUPGASNAT</v>
      </c>
      <c r="K3" s="413" t="str">
        <f>SUP_Fuel!F31</f>
        <v>SUPBIOLOG</v>
      </c>
      <c r="L3" s="413" t="s">
        <v>244</v>
      </c>
      <c r="M3" s="413" t="str">
        <f>Commodities!D67</f>
        <v>SUPCOABIC</v>
      </c>
      <c r="N3" s="413" t="str">
        <f>Commodities!D69</f>
        <v>SUPCOASUB</v>
      </c>
      <c r="O3" s="413" t="str">
        <f>Commodities!D70</f>
        <v>SUPCOABCO</v>
      </c>
      <c r="P3" s="414" t="str">
        <f>PRI_Gas!E102</f>
        <v>GASFLR</v>
      </c>
      <c r="Q3" s="415" t="str">
        <f>PRI_Coal!E83</f>
        <v>CBEDM</v>
      </c>
      <c r="U3" s="416" t="s">
        <v>669</v>
      </c>
    </row>
    <row r="4" spans="1:23" ht="18" customHeight="1" thickBot="1" x14ac:dyDescent="0.3">
      <c r="B4" s="417" t="s">
        <v>101</v>
      </c>
      <c r="C4" s="418" t="str">
        <f>General!$D$17</f>
        <v>kg/GJ</v>
      </c>
      <c r="D4" s="418" t="str">
        <f>General!$D$17</f>
        <v>kg/GJ</v>
      </c>
      <c r="E4" s="418" t="str">
        <f>General!$D$17</f>
        <v>kg/GJ</v>
      </c>
      <c r="F4" s="418" t="str">
        <f>General!$D$17</f>
        <v>kg/GJ</v>
      </c>
      <c r="G4" s="418" t="str">
        <f>General!$D$17</f>
        <v>kg/GJ</v>
      </c>
      <c r="H4" s="418" t="str">
        <f>General!$D$17</f>
        <v>kg/GJ</v>
      </c>
      <c r="I4" s="418" t="str">
        <f>General!$D$17</f>
        <v>kg/GJ</v>
      </c>
      <c r="J4" s="418" t="str">
        <f>General!$D$17</f>
        <v>kg/GJ</v>
      </c>
      <c r="K4" s="418" t="str">
        <f>General!$D$17</f>
        <v>kg/GJ</v>
      </c>
      <c r="L4" s="418" t="str">
        <f>General!$D$17</f>
        <v>kg/GJ</v>
      </c>
      <c r="M4" s="418" t="str">
        <f>General!$D$17</f>
        <v>kg/GJ</v>
      </c>
      <c r="N4" s="418" t="str">
        <f>General!$D$17</f>
        <v>kg/GJ</v>
      </c>
      <c r="O4" s="418" t="str">
        <f>General!$D$17</f>
        <v>kg/GJ</v>
      </c>
      <c r="P4" s="418" t="str">
        <f>General!$D$17</f>
        <v>kg/GJ</v>
      </c>
      <c r="Q4" s="418" t="str">
        <f>General!$D$17</f>
        <v>kg/GJ</v>
      </c>
      <c r="U4" s="419"/>
    </row>
    <row r="5" spans="1:23" ht="15.75" customHeight="1" x14ac:dyDescent="0.25">
      <c r="B5" s="5" t="str">
        <f>Commodities!O7</f>
        <v>SUPCO2</v>
      </c>
      <c r="C5" s="32">
        <v>74.099999999999994</v>
      </c>
      <c r="D5" s="32">
        <v>74.099999999999994</v>
      </c>
      <c r="E5" s="35">
        <v>72.097999999999999</v>
      </c>
      <c r="F5" s="32">
        <v>63.1</v>
      </c>
      <c r="G5" s="32">
        <v>77.400000000000006</v>
      </c>
      <c r="H5" s="32">
        <v>71.900000000000006</v>
      </c>
      <c r="I5" s="32">
        <v>97.5</v>
      </c>
      <c r="J5" s="32">
        <v>56.1</v>
      </c>
      <c r="K5" s="32">
        <v>0</v>
      </c>
      <c r="L5" s="32">
        <f>G5</f>
        <v>77.400000000000006</v>
      </c>
      <c r="M5" s="32">
        <v>95</v>
      </c>
      <c r="N5" s="32">
        <v>97</v>
      </c>
      <c r="O5" s="32">
        <v>101</v>
      </c>
      <c r="P5" s="420">
        <f>J5</f>
        <v>56.1</v>
      </c>
      <c r="U5" s="32" t="s">
        <v>670</v>
      </c>
    </row>
    <row r="6" spans="1:23" ht="13.8" x14ac:dyDescent="0.25">
      <c r="B6" s="5" t="str">
        <f>Commodities!O8</f>
        <v>SUPCH4</v>
      </c>
      <c r="C6" s="32">
        <f>(10/1000)*28</f>
        <v>0.28000000000000003</v>
      </c>
      <c r="D6" s="32">
        <f>(10/1000)*28</f>
        <v>0.28000000000000003</v>
      </c>
      <c r="E6" s="35">
        <f>(33/1000)*28</f>
        <v>0.92400000000000004</v>
      </c>
      <c r="F6" s="32">
        <f>(5/1000)*28</f>
        <v>0.14000000000000001</v>
      </c>
      <c r="G6" s="32">
        <f>(10/1000)*28</f>
        <v>0.28000000000000003</v>
      </c>
      <c r="H6" s="32">
        <f>(10/1000)*28</f>
        <v>0.28000000000000003</v>
      </c>
      <c r="I6" s="32">
        <f>(3/1000)*28</f>
        <v>8.4000000000000005E-2</v>
      </c>
      <c r="J6" s="32">
        <f>(1/1000)*28</f>
        <v>2.8000000000000001E-2</v>
      </c>
      <c r="K6" s="32">
        <f>(30/1000)*28</f>
        <v>0.84</v>
      </c>
      <c r="L6" s="32">
        <f>(G6)*28</f>
        <v>7.8400000000000007</v>
      </c>
      <c r="M6" s="32">
        <v>2.8000000000000001E-2</v>
      </c>
      <c r="N6" s="32">
        <v>8.4</v>
      </c>
      <c r="O6" s="32">
        <v>8.4</v>
      </c>
      <c r="P6" s="420">
        <f>(J6)</f>
        <v>2.8000000000000001E-2</v>
      </c>
      <c r="Q6" s="421" t="e">
        <f>(887/(('En.Bal-Primary-Transf.'!L4+'En.Bal-Primary-Transf.'!M4)/1000*41.868))*28</f>
        <v>#DIV/0!</v>
      </c>
      <c r="U6" s="5">
        <v>28</v>
      </c>
    </row>
    <row r="7" spans="1:23" ht="13.8" x14ac:dyDescent="0.25">
      <c r="B7" s="5" t="str">
        <f>Commodities!O9</f>
        <v>SUPN2O</v>
      </c>
      <c r="C7" s="32">
        <f>(0.6/1000)*265</f>
        <v>0.15899999999999997</v>
      </c>
      <c r="D7" s="32">
        <f>(0.6/1000)*265</f>
        <v>0.15899999999999997</v>
      </c>
      <c r="E7" s="35">
        <f>(3.2/1000)*265</f>
        <v>0.84800000000000009</v>
      </c>
      <c r="F7" s="32">
        <f>(0.1/1000)*265</f>
        <v>2.6500000000000003E-2</v>
      </c>
      <c r="G7" s="32">
        <f>(0.6/1000)*265</f>
        <v>0.15899999999999997</v>
      </c>
      <c r="H7" s="32">
        <f>(0.6/1000)*265</f>
        <v>0.15899999999999997</v>
      </c>
      <c r="I7" s="32">
        <f>(0.6/1000)*265</f>
        <v>0.15899999999999997</v>
      </c>
      <c r="J7" s="32">
        <f>(0.1/1000)*265</f>
        <v>2.6500000000000003E-2</v>
      </c>
      <c r="K7" s="32">
        <f>(4/1000)*265</f>
        <v>1.06</v>
      </c>
      <c r="L7" s="32">
        <f>(G7)*265</f>
        <v>42.134999999999991</v>
      </c>
      <c r="M7" s="32">
        <v>0.39750000000000002</v>
      </c>
      <c r="N7" s="32">
        <v>0.39750000000000002</v>
      </c>
      <c r="O7" s="32">
        <v>0.39750000000000002</v>
      </c>
      <c r="P7" s="420">
        <f t="shared" ref="P7" si="0">J7</f>
        <v>2.6500000000000003E-2</v>
      </c>
      <c r="U7" s="5">
        <v>265</v>
      </c>
    </row>
    <row r="9" spans="1:23" ht="12.75" customHeight="1" x14ac:dyDescent="0.25"/>
    <row r="10" spans="1:23" ht="19.5" customHeight="1" x14ac:dyDescent="0.25">
      <c r="A10" s="8"/>
      <c r="B10" s="422"/>
      <c r="U10" s="5">
        <v>35</v>
      </c>
    </row>
    <row r="11" spans="1:23" x14ac:dyDescent="0.25">
      <c r="A11" s="8"/>
      <c r="B11" s="9"/>
      <c r="U11" s="5" t="s">
        <v>973</v>
      </c>
    </row>
    <row r="12" spans="1:23" x14ac:dyDescent="0.25">
      <c r="A12" s="8"/>
      <c r="B12" s="8"/>
      <c r="U12" s="5" t="s">
        <v>974</v>
      </c>
    </row>
    <row r="13" spans="1:23" x14ac:dyDescent="0.25">
      <c r="A13" s="8"/>
      <c r="B13" s="8"/>
    </row>
    <row r="14" spans="1:23" x14ac:dyDescent="0.25">
      <c r="A14" s="8"/>
      <c r="B14" s="8"/>
      <c r="U14" s="423">
        <f>1/35/10^6</f>
        <v>2.8571428571428572E-8</v>
      </c>
      <c r="V14" s="5" t="s">
        <v>976</v>
      </c>
    </row>
    <row r="15" spans="1:23" x14ac:dyDescent="0.25">
      <c r="U15" s="423">
        <f>0.554*10^9</f>
        <v>554000000</v>
      </c>
      <c r="V15" s="5" t="s">
        <v>975</v>
      </c>
    </row>
    <row r="16" spans="1:23" x14ac:dyDescent="0.25">
      <c r="U16" s="423">
        <f>U15*U14</f>
        <v>15.828571428571429</v>
      </c>
      <c r="V16" s="5" t="s">
        <v>122</v>
      </c>
      <c r="W16" s="5" t="s">
        <v>977</v>
      </c>
    </row>
    <row r="17" spans="21:23" x14ac:dyDescent="0.25">
      <c r="U17" s="420"/>
    </row>
    <row r="20" spans="21:23" x14ac:dyDescent="0.25">
      <c r="U20" s="423"/>
    </row>
    <row r="21" spans="21:23" x14ac:dyDescent="0.25">
      <c r="U21" s="423"/>
    </row>
    <row r="22" spans="21:23" x14ac:dyDescent="0.25">
      <c r="U22" s="423"/>
    </row>
    <row r="23" spans="21:23" x14ac:dyDescent="0.25">
      <c r="W23" s="423"/>
    </row>
    <row r="24" spans="21:23" x14ac:dyDescent="0.25">
      <c r="U24" s="424"/>
    </row>
    <row r="25" spans="21:23" x14ac:dyDescent="0.25">
      <c r="W25" s="424"/>
    </row>
  </sheetData>
  <phoneticPr fontId="0" type="noConversion"/>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0" tint="-4.9989318521683403E-2"/>
  </sheetPr>
  <dimension ref="A1:N17"/>
  <sheetViews>
    <sheetView zoomScale="85" zoomScaleNormal="85" workbookViewId="0">
      <selection activeCell="A27" sqref="A27"/>
    </sheetView>
  </sheetViews>
  <sheetFormatPr defaultRowHeight="16.5" customHeight="1" x14ac:dyDescent="0.25"/>
  <cols>
    <col min="1" max="1" width="28.44140625" customWidth="1"/>
    <col min="2" max="2" width="28.109375" customWidth="1"/>
    <col min="3" max="3" width="18.44140625" customWidth="1"/>
    <col min="4" max="4" width="11.109375" bestFit="1" customWidth="1"/>
    <col min="5" max="5" width="12.33203125" bestFit="1" customWidth="1"/>
  </cols>
  <sheetData>
    <row r="1" spans="1:14" ht="16.5" customHeight="1" x14ac:dyDescent="0.3">
      <c r="A1" s="7" t="s">
        <v>103</v>
      </c>
      <c r="B1" s="6"/>
      <c r="D1" s="12"/>
      <c r="E1" s="10" t="s">
        <v>557</v>
      </c>
      <c r="F1" s="13" t="str">
        <f>'En.Bal-Primary-Transf.'!F2</f>
        <v>2017</v>
      </c>
      <c r="I1" s="59" t="s">
        <v>705</v>
      </c>
      <c r="J1" s="60"/>
      <c r="K1" s="61"/>
    </row>
    <row r="2" spans="1:14" ht="16.5" customHeight="1" x14ac:dyDescent="0.3">
      <c r="A2" s="10" t="s">
        <v>104</v>
      </c>
      <c r="B2" s="11" t="s">
        <v>80</v>
      </c>
      <c r="E2" s="10" t="s">
        <v>558</v>
      </c>
      <c r="F2" s="10">
        <v>2050</v>
      </c>
      <c r="I2" s="37" t="s">
        <v>706</v>
      </c>
      <c r="J2" s="38">
        <v>5.82</v>
      </c>
      <c r="K2" s="39" t="s">
        <v>707</v>
      </c>
    </row>
    <row r="3" spans="1:14" ht="16.5" customHeight="1" x14ac:dyDescent="0.3">
      <c r="A3" s="10" t="s">
        <v>102</v>
      </c>
      <c r="B3" s="11" t="s">
        <v>969</v>
      </c>
      <c r="I3" s="37" t="s">
        <v>708</v>
      </c>
      <c r="J3" s="38">
        <v>1.0549999999999999</v>
      </c>
      <c r="K3" s="39" t="s">
        <v>707</v>
      </c>
    </row>
    <row r="4" spans="1:14" ht="16.5" customHeight="1" x14ac:dyDescent="0.3">
      <c r="A4" s="10" t="s">
        <v>105</v>
      </c>
      <c r="B4" s="11" t="s">
        <v>100</v>
      </c>
      <c r="I4" s="37" t="s">
        <v>709</v>
      </c>
      <c r="J4" s="38">
        <v>41.868000000000002</v>
      </c>
      <c r="K4" s="39" t="s">
        <v>707</v>
      </c>
    </row>
    <row r="5" spans="1:14" ht="16.5" customHeight="1" x14ac:dyDescent="0.3">
      <c r="A5" s="10" t="s">
        <v>571</v>
      </c>
      <c r="B5" s="11" t="s">
        <v>574</v>
      </c>
      <c r="C5" s="15"/>
      <c r="I5" s="37" t="s">
        <v>710</v>
      </c>
      <c r="J5" s="38">
        <f>J4*1000/1000000</f>
        <v>4.1868000000000002E-2</v>
      </c>
      <c r="K5" s="39" t="s">
        <v>80</v>
      </c>
    </row>
    <row r="6" spans="1:14" ht="16.5" customHeight="1" x14ac:dyDescent="0.25">
      <c r="I6" s="40" t="s">
        <v>711</v>
      </c>
      <c r="J6" s="41">
        <v>3.5999999999999999E-3</v>
      </c>
      <c r="K6" s="42" t="s">
        <v>707</v>
      </c>
    </row>
    <row r="7" spans="1:14" ht="16.5" customHeight="1" x14ac:dyDescent="0.25">
      <c r="I7" s="40" t="s">
        <v>712</v>
      </c>
      <c r="J7" s="55">
        <v>21</v>
      </c>
      <c r="K7" s="42" t="s">
        <v>707</v>
      </c>
      <c r="L7" s="1" t="s">
        <v>1003</v>
      </c>
    </row>
    <row r="8" spans="1:14" ht="16.5" customHeight="1" x14ac:dyDescent="0.3">
      <c r="A8" s="58" t="s">
        <v>559</v>
      </c>
      <c r="B8" s="58"/>
      <c r="I8" s="40" t="s">
        <v>712</v>
      </c>
      <c r="J8" s="55">
        <v>16</v>
      </c>
      <c r="K8" s="42" t="s">
        <v>707</v>
      </c>
      <c r="L8" s="1" t="s">
        <v>1004</v>
      </c>
    </row>
    <row r="9" spans="1:14" ht="16.5" customHeight="1" x14ac:dyDescent="0.25">
      <c r="I9" s="40" t="s">
        <v>712</v>
      </c>
      <c r="J9" s="55">
        <v>11</v>
      </c>
      <c r="K9" s="42" t="s">
        <v>707</v>
      </c>
      <c r="L9" s="1" t="s">
        <v>1005</v>
      </c>
    </row>
    <row r="10" spans="1:14" ht="16.5" customHeight="1" x14ac:dyDescent="0.3">
      <c r="A10" s="7" t="s">
        <v>560</v>
      </c>
      <c r="B10" s="7" t="s">
        <v>561</v>
      </c>
      <c r="C10" s="7" t="s">
        <v>562</v>
      </c>
      <c r="D10" s="7" t="s">
        <v>113</v>
      </c>
      <c r="E10" s="7" t="s">
        <v>563</v>
      </c>
      <c r="H10" s="4"/>
      <c r="I10" s="37" t="s">
        <v>713</v>
      </c>
      <c r="J10" s="43">
        <v>41.84</v>
      </c>
      <c r="K10" s="42" t="s">
        <v>707</v>
      </c>
      <c r="M10" s="4"/>
      <c r="N10" s="4"/>
    </row>
    <row r="11" spans="1:14" ht="16.5" customHeight="1" x14ac:dyDescent="0.3">
      <c r="A11" s="14" t="s">
        <v>564</v>
      </c>
      <c r="B11" s="10" t="s">
        <v>565</v>
      </c>
      <c r="C11" s="10" t="s">
        <v>566</v>
      </c>
      <c r="D11" s="17" t="s">
        <v>122</v>
      </c>
      <c r="E11" s="16"/>
      <c r="I11" s="44" t="s">
        <v>574</v>
      </c>
      <c r="J11" s="45">
        <v>31.536000000000001</v>
      </c>
      <c r="K11" s="46" t="s">
        <v>714</v>
      </c>
      <c r="M11" s="4"/>
      <c r="N11" s="4"/>
    </row>
    <row r="12" spans="1:14" ht="16.5" customHeight="1" x14ac:dyDescent="0.3">
      <c r="A12" s="14" t="s">
        <v>47</v>
      </c>
      <c r="B12" s="10" t="s">
        <v>569</v>
      </c>
      <c r="C12" s="10" t="s">
        <v>567</v>
      </c>
      <c r="D12" s="16" t="s">
        <v>970</v>
      </c>
      <c r="E12" s="16" t="str">
        <f>B3&amp;"/"&amp;B2</f>
        <v>M$/PJ</v>
      </c>
      <c r="I12" s="4"/>
      <c r="J12" s="4">
        <v>0.80300000000000005</v>
      </c>
      <c r="K12" s="4" t="s">
        <v>675</v>
      </c>
      <c r="L12" s="4"/>
    </row>
    <row r="13" spans="1:14" ht="16.5" customHeight="1" x14ac:dyDescent="0.3">
      <c r="A13" s="14" t="s">
        <v>540</v>
      </c>
      <c r="B13" s="10" t="s">
        <v>568</v>
      </c>
      <c r="C13" s="10" t="s">
        <v>566</v>
      </c>
      <c r="D13" s="17" t="str">
        <f>B2&amp;"/year"</f>
        <v>PJ/year</v>
      </c>
      <c r="E13" s="16"/>
    </row>
    <row r="14" spans="1:14" ht="16.5" customHeight="1" x14ac:dyDescent="0.3">
      <c r="A14" s="14" t="s">
        <v>3</v>
      </c>
      <c r="B14" s="10" t="s">
        <v>44</v>
      </c>
      <c r="C14" s="10" t="s">
        <v>566</v>
      </c>
      <c r="D14" s="16" t="s">
        <v>971</v>
      </c>
      <c r="E14" s="16" t="str">
        <f>B3&amp;"/"&amp;B2&amp;"/a"</f>
        <v>M$/PJ/a</v>
      </c>
    </row>
    <row r="15" spans="1:14" ht="16.5" customHeight="1" x14ac:dyDescent="0.3">
      <c r="A15" s="14" t="s">
        <v>6</v>
      </c>
      <c r="B15" s="10" t="s">
        <v>43</v>
      </c>
      <c r="C15" s="10" t="s">
        <v>566</v>
      </c>
      <c r="D15" s="16" t="s">
        <v>970</v>
      </c>
      <c r="E15" s="16" t="str">
        <f>B3&amp;"/"&amp;B2</f>
        <v>M$/PJ</v>
      </c>
    </row>
    <row r="16" spans="1:14" ht="16.5" customHeight="1" x14ac:dyDescent="0.3">
      <c r="A16" s="14" t="s">
        <v>544</v>
      </c>
      <c r="B16" s="10" t="s">
        <v>570</v>
      </c>
      <c r="C16" s="10" t="s">
        <v>566</v>
      </c>
      <c r="D16" s="16" t="s">
        <v>572</v>
      </c>
      <c r="E16" s="16" t="str">
        <f>B2&amp;"/"&amp;B5</f>
        <v>PJ/GW</v>
      </c>
    </row>
    <row r="17" spans="1:5" ht="16.5" customHeight="1" x14ac:dyDescent="0.3">
      <c r="A17" s="14" t="s">
        <v>564</v>
      </c>
      <c r="B17" s="10" t="s">
        <v>565</v>
      </c>
      <c r="C17" s="10" t="s">
        <v>566</v>
      </c>
      <c r="D17" s="16" t="s">
        <v>122</v>
      </c>
      <c r="E17" s="16"/>
    </row>
  </sheetData>
  <mergeCells count="2">
    <mergeCell ref="A8:B8"/>
    <mergeCell ref="I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AL90"/>
  <sheetViews>
    <sheetView topLeftCell="A7" zoomScale="60" zoomScaleNormal="60" workbookViewId="0">
      <selection sqref="A1:XFD1048576"/>
    </sheetView>
  </sheetViews>
  <sheetFormatPr defaultColWidth="9.109375" defaultRowHeight="13.8" x14ac:dyDescent="0.25"/>
  <cols>
    <col min="1" max="1" width="5.88671875" style="32" customWidth="1"/>
    <col min="2" max="2" width="44.88671875" style="32" customWidth="1"/>
    <col min="3" max="3" width="49.88671875" style="32" customWidth="1"/>
    <col min="4" max="4" width="26.5546875" style="32" customWidth="1"/>
    <col min="5" max="5" width="27.6640625" style="32" bestFit="1" customWidth="1"/>
    <col min="6" max="6" width="28.44140625" style="32" customWidth="1"/>
    <col min="7" max="7" width="26.6640625" style="32" bestFit="1" customWidth="1"/>
    <col min="8" max="8" width="25" style="32" bestFit="1" customWidth="1"/>
    <col min="9" max="9" width="31" style="32" customWidth="1"/>
    <col min="10" max="10" width="27.109375" style="32" bestFit="1" customWidth="1"/>
    <col min="11" max="11" width="32.109375" style="32" customWidth="1"/>
    <col min="12" max="12" width="29.33203125" style="32" customWidth="1"/>
    <col min="13" max="13" width="26.6640625" style="32" bestFit="1" customWidth="1"/>
    <col min="14" max="14" width="22" style="32" bestFit="1" customWidth="1"/>
    <col min="15" max="17" width="22" style="32" customWidth="1"/>
    <col min="18" max="18" width="15.6640625" style="35" customWidth="1"/>
    <col min="19" max="19" width="13.6640625" style="32" bestFit="1" customWidth="1"/>
    <col min="20" max="20" width="20.6640625" style="32" bestFit="1" customWidth="1"/>
    <col min="21" max="21" width="33.5546875" style="32" bestFit="1" customWidth="1"/>
    <col min="22" max="22" width="50.88671875" style="32" bestFit="1" customWidth="1"/>
    <col min="23" max="27" width="18.88671875" style="32" bestFit="1" customWidth="1"/>
    <col min="28" max="28" width="9.5546875" style="36" customWidth="1"/>
    <col min="29" max="29" width="18.88671875" style="35" bestFit="1" customWidth="1"/>
    <col min="30" max="30" width="9.109375" style="32"/>
    <col min="31" max="31" width="34.88671875" style="32" bestFit="1" customWidth="1"/>
    <col min="32" max="32" width="71.44140625" style="32" customWidth="1"/>
    <col min="33" max="37" width="9.109375" style="32"/>
    <col min="38" max="38" width="17.6640625" style="32" bestFit="1" customWidth="1"/>
    <col min="39" max="16384" width="9.109375" style="32"/>
  </cols>
  <sheetData>
    <row r="2" spans="2:38" ht="17.399999999999999" x14ac:dyDescent="0.3">
      <c r="B2" s="180" t="s">
        <v>1036</v>
      </c>
    </row>
    <row r="4" spans="2:38" x14ac:dyDescent="0.25">
      <c r="E4" s="64"/>
      <c r="F4" s="64"/>
      <c r="G4" s="64"/>
      <c r="H4" s="64"/>
      <c r="I4" s="64"/>
      <c r="J4" s="64"/>
      <c r="K4" s="64"/>
      <c r="L4" s="64"/>
      <c r="M4" s="64"/>
      <c r="S4" s="31"/>
      <c r="T4" s="31"/>
      <c r="U4" s="31"/>
      <c r="V4" s="31"/>
      <c r="W4" s="31"/>
      <c r="X4" s="31"/>
      <c r="Y4" s="31"/>
      <c r="Z4" s="31"/>
      <c r="AA4" s="31"/>
      <c r="AB4" s="22"/>
    </row>
    <row r="5" spans="2:38" x14ac:dyDescent="0.25">
      <c r="B5" s="64" t="s">
        <v>126</v>
      </c>
      <c r="D5" s="36"/>
      <c r="E5" s="36"/>
      <c r="I5" s="18"/>
      <c r="J5" s="18"/>
      <c r="K5" s="18"/>
      <c r="L5" s="18"/>
      <c r="S5" s="62" t="s">
        <v>42</v>
      </c>
      <c r="T5" s="62"/>
      <c r="U5" s="31"/>
      <c r="V5" s="31"/>
      <c r="W5" s="31"/>
      <c r="X5" s="31"/>
      <c r="Y5" s="31"/>
      <c r="Z5" s="31"/>
      <c r="AA5" s="31"/>
      <c r="AB5" s="22"/>
      <c r="AE5" s="62"/>
      <c r="AF5" s="62"/>
      <c r="AG5" s="62"/>
      <c r="AH5" s="62"/>
      <c r="AI5" s="62"/>
      <c r="AJ5" s="62"/>
      <c r="AK5" s="62"/>
      <c r="AL5" s="62"/>
    </row>
    <row r="6" spans="2:38" x14ac:dyDescent="0.25">
      <c r="D6" s="138" t="s">
        <v>15</v>
      </c>
      <c r="I6" s="137"/>
      <c r="J6" s="137"/>
      <c r="K6" s="137"/>
      <c r="L6" s="137"/>
      <c r="M6" s="137"/>
      <c r="N6" s="137"/>
      <c r="O6" s="137"/>
      <c r="P6" s="137"/>
      <c r="Q6" s="137"/>
      <c r="S6" s="136" t="s">
        <v>20</v>
      </c>
      <c r="T6" s="31"/>
      <c r="U6" s="31"/>
      <c r="V6" s="31"/>
      <c r="W6" s="31"/>
      <c r="X6" s="31"/>
      <c r="Y6" s="31"/>
      <c r="Z6" s="31"/>
      <c r="AA6" s="31"/>
      <c r="AB6" s="22"/>
      <c r="AE6" s="62"/>
      <c r="AF6" s="62"/>
      <c r="AG6" s="62"/>
      <c r="AH6" s="62"/>
      <c r="AI6" s="62"/>
      <c r="AJ6" s="62"/>
      <c r="AK6" s="62"/>
    </row>
    <row r="7" spans="2:38" ht="19.5" customHeight="1" x14ac:dyDescent="0.25">
      <c r="B7" s="92" t="s">
        <v>1</v>
      </c>
      <c r="C7" s="71" t="s">
        <v>45</v>
      </c>
      <c r="D7" s="71" t="s">
        <v>8</v>
      </c>
      <c r="E7" s="141" t="s">
        <v>46</v>
      </c>
      <c r="F7" s="142" t="s">
        <v>47</v>
      </c>
      <c r="G7" s="67" t="str">
        <f>"ACT_BND~UP"</f>
        <v>ACT_BND~UP</v>
      </c>
      <c r="H7" s="67" t="str">
        <f>"ACT_BND~UP~2050"</f>
        <v>ACT_BND~UP~2050</v>
      </c>
      <c r="I7" s="137"/>
      <c r="J7" s="137"/>
      <c r="K7" s="137"/>
      <c r="L7" s="137"/>
      <c r="M7" s="137"/>
      <c r="N7" s="137"/>
      <c r="O7" s="137"/>
      <c r="P7" s="137"/>
      <c r="Q7" s="137"/>
      <c r="S7" s="63" t="s">
        <v>13</v>
      </c>
      <c r="T7" s="63" t="s">
        <v>35</v>
      </c>
      <c r="U7" s="63" t="s">
        <v>1</v>
      </c>
      <c r="V7" s="63" t="s">
        <v>2</v>
      </c>
      <c r="W7" s="63" t="s">
        <v>21</v>
      </c>
      <c r="X7" s="63" t="s">
        <v>22</v>
      </c>
      <c r="Y7" s="63" t="s">
        <v>23</v>
      </c>
      <c r="Z7" s="63" t="s">
        <v>24</v>
      </c>
      <c r="AA7" s="63" t="s">
        <v>25</v>
      </c>
      <c r="AB7" s="23"/>
      <c r="AC7" s="143" t="s">
        <v>128</v>
      </c>
    </row>
    <row r="8" spans="2:38" ht="18" customHeight="1" thickBot="1" x14ac:dyDescent="0.3">
      <c r="B8" s="96" t="s">
        <v>52</v>
      </c>
      <c r="C8" s="69" t="s">
        <v>27</v>
      </c>
      <c r="D8" s="69" t="s">
        <v>38</v>
      </c>
      <c r="E8" s="96" t="s">
        <v>48</v>
      </c>
      <c r="F8" s="144" t="s">
        <v>49</v>
      </c>
      <c r="G8" s="70" t="s">
        <v>109</v>
      </c>
      <c r="H8" s="70" t="s">
        <v>109</v>
      </c>
      <c r="I8" s="137"/>
      <c r="J8" s="137"/>
      <c r="K8" s="137"/>
      <c r="L8" s="137"/>
      <c r="M8" s="137"/>
      <c r="N8" s="137"/>
      <c r="O8" s="137"/>
      <c r="P8" s="137"/>
      <c r="Q8" s="137"/>
      <c r="S8" s="68" t="s">
        <v>51</v>
      </c>
      <c r="T8" s="68" t="s">
        <v>36</v>
      </c>
      <c r="U8" s="68" t="s">
        <v>26</v>
      </c>
      <c r="V8" s="68" t="s">
        <v>27</v>
      </c>
      <c r="W8" s="68" t="s">
        <v>28</v>
      </c>
      <c r="X8" s="68" t="s">
        <v>29</v>
      </c>
      <c r="Y8" s="68" t="s">
        <v>57</v>
      </c>
      <c r="Z8" s="68" t="s">
        <v>56</v>
      </c>
      <c r="AA8" s="68" t="s">
        <v>30</v>
      </c>
      <c r="AB8" s="24"/>
      <c r="AC8" s="145"/>
    </row>
    <row r="9" spans="2:38" x14ac:dyDescent="0.25">
      <c r="B9" s="146"/>
      <c r="C9" s="72"/>
      <c r="D9" s="74" t="s">
        <v>101</v>
      </c>
      <c r="E9" s="74" t="s">
        <v>80</v>
      </c>
      <c r="F9" s="147" t="s">
        <v>106</v>
      </c>
      <c r="G9" s="73" t="str">
        <f>General!$D$13</f>
        <v>PJ/year</v>
      </c>
      <c r="H9" s="73" t="str">
        <f>General!$D$13</f>
        <v>PJ/year</v>
      </c>
      <c r="I9" s="137"/>
      <c r="J9" s="137"/>
      <c r="K9" s="137"/>
      <c r="L9" s="137"/>
      <c r="M9" s="137"/>
      <c r="N9" s="137"/>
      <c r="O9" s="137"/>
      <c r="P9" s="137"/>
      <c r="Q9" s="137"/>
      <c r="S9" s="32" t="str">
        <f>IF(T9="*","*","MIN")</f>
        <v>MIN</v>
      </c>
      <c r="U9" s="32" t="str">
        <f>$S$9&amp;Commodities!D61&amp;1</f>
        <v>MINRSVOILCRD1</v>
      </c>
      <c r="V9" s="32" t="s">
        <v>902</v>
      </c>
      <c r="W9" s="35" t="str">
        <f>General!$B$2</f>
        <v>PJ</v>
      </c>
      <c r="X9" s="35" t="str">
        <f>General!$B$2&amp;"a"</f>
        <v>PJa</v>
      </c>
      <c r="AC9" s="35" t="s">
        <v>209</v>
      </c>
    </row>
    <row r="10" spans="2:38" x14ac:dyDescent="0.25">
      <c r="B10" s="106" t="str">
        <f t="shared" ref="B10:C10" si="0">U9</f>
        <v>MINRSVOILCRD1</v>
      </c>
      <c r="C10" s="36" t="str">
        <f t="shared" si="0"/>
        <v>Oil reserves step1</v>
      </c>
      <c r="D10" s="21" t="str">
        <f t="shared" ref="D10" si="1">AC9</f>
        <v>RSVOILCRD</v>
      </c>
      <c r="E10" s="148"/>
      <c r="F10" s="148"/>
      <c r="G10" s="148"/>
      <c r="H10" s="148"/>
      <c r="I10" s="181"/>
      <c r="J10" s="137"/>
      <c r="K10" s="137"/>
      <c r="L10" s="137"/>
      <c r="M10" s="137"/>
      <c r="N10" s="137"/>
      <c r="O10" s="137"/>
      <c r="P10" s="137"/>
      <c r="Q10" s="137"/>
      <c r="S10" s="32" t="str">
        <f>IF(T10="*","*","MIN")</f>
        <v>MIN</v>
      </c>
      <c r="U10" s="32" t="str">
        <f>$S$9&amp;Commodities!D61&amp;2</f>
        <v>MINRSVOILCRD2</v>
      </c>
      <c r="V10" s="32" t="s">
        <v>903</v>
      </c>
      <c r="W10" s="35" t="str">
        <f>General!$B$2</f>
        <v>PJ</v>
      </c>
      <c r="X10" s="35" t="str">
        <f>General!$B$2&amp;"a"</f>
        <v>PJa</v>
      </c>
      <c r="AC10" s="35" t="s">
        <v>209</v>
      </c>
    </row>
    <row r="11" spans="2:38" x14ac:dyDescent="0.25">
      <c r="B11" s="106" t="str">
        <f t="shared" ref="B11:B12" si="2">U10</f>
        <v>MINRSVOILCRD2</v>
      </c>
      <c r="C11" s="36" t="str">
        <f t="shared" ref="C11:C15" si="3">V10</f>
        <v>Oil reserves step2</v>
      </c>
      <c r="D11" s="21" t="str">
        <f>D10</f>
        <v>RSVOILCRD</v>
      </c>
      <c r="E11" s="149"/>
      <c r="F11" s="150"/>
      <c r="G11" s="150"/>
      <c r="H11" s="182"/>
      <c r="I11" s="181"/>
      <c r="J11" s="137"/>
      <c r="K11" s="137"/>
      <c r="L11" s="137"/>
      <c r="M11" s="137"/>
      <c r="N11" s="137"/>
      <c r="O11" s="137"/>
      <c r="P11" s="137"/>
      <c r="Q11" s="137"/>
      <c r="S11" s="32" t="str">
        <f>IF(T11="*","*","MIN")</f>
        <v>MIN</v>
      </c>
      <c r="U11" s="32" t="str">
        <f>$S$9&amp;Commodities!D61&amp;3</f>
        <v>MINRSVOILCRD3</v>
      </c>
      <c r="V11" s="32" t="s">
        <v>904</v>
      </c>
      <c r="W11" s="35" t="str">
        <f>General!$B$2</f>
        <v>PJ</v>
      </c>
      <c r="X11" s="35" t="str">
        <f>General!$B$2&amp;"a"</f>
        <v>PJa</v>
      </c>
      <c r="AC11" s="35" t="s">
        <v>209</v>
      </c>
    </row>
    <row r="12" spans="2:38" x14ac:dyDescent="0.25">
      <c r="B12" s="110" t="str">
        <f t="shared" si="2"/>
        <v>MINRSVOILCRD3</v>
      </c>
      <c r="C12" s="88" t="str">
        <f t="shared" si="3"/>
        <v>Oil reserves step3</v>
      </c>
      <c r="D12" s="151" t="str">
        <f>D11</f>
        <v>RSVOILCRD</v>
      </c>
      <c r="E12" s="152"/>
      <c r="F12" s="89"/>
      <c r="G12" s="89"/>
      <c r="H12" s="183"/>
      <c r="I12" s="181"/>
      <c r="J12" s="137"/>
      <c r="K12" s="137"/>
      <c r="L12" s="137"/>
      <c r="M12" s="137"/>
      <c r="N12" s="137"/>
      <c r="O12" s="137"/>
      <c r="P12" s="137"/>
      <c r="Q12" s="137"/>
      <c r="S12" s="32" t="str">
        <f t="shared" ref="S12:S14" si="4">IF(T12="*","*","MIN")</f>
        <v>MIN</v>
      </c>
      <c r="U12" s="32" t="str">
        <f>$S$9&amp;Commodities!D15&amp;1</f>
        <v>MINOILNGL1</v>
      </c>
      <c r="V12" s="32" t="s">
        <v>923</v>
      </c>
      <c r="W12" s="35" t="str">
        <f>General!$B$2</f>
        <v>PJ</v>
      </c>
      <c r="X12" s="35" t="str">
        <f>General!$B$2&amp;"a"</f>
        <v>PJa</v>
      </c>
      <c r="AB12" s="32"/>
      <c r="AC12" s="35" t="s">
        <v>168</v>
      </c>
    </row>
    <row r="13" spans="2:38" x14ac:dyDescent="0.25">
      <c r="B13" s="106" t="str">
        <f>U12</f>
        <v>MINOILNGL1</v>
      </c>
      <c r="C13" s="36" t="str">
        <f t="shared" si="3"/>
        <v>Natural gas liquids reserves step1</v>
      </c>
      <c r="D13" s="21" t="str">
        <f>Commodities!D15</f>
        <v>OILNGL</v>
      </c>
      <c r="E13" s="149"/>
      <c r="F13" s="150"/>
      <c r="G13" s="150"/>
      <c r="H13" s="182"/>
      <c r="I13" s="181"/>
      <c r="J13" s="137"/>
      <c r="K13" s="137"/>
      <c r="L13" s="137"/>
      <c r="M13" s="137"/>
      <c r="N13" s="137"/>
      <c r="O13" s="137"/>
      <c r="P13" s="137"/>
      <c r="Q13" s="137"/>
      <c r="S13" s="32" t="str">
        <f t="shared" si="4"/>
        <v>MIN</v>
      </c>
      <c r="U13" s="32" t="str">
        <f>$S$9&amp;Commodities!D15&amp;2</f>
        <v>MINOILNGL2</v>
      </c>
      <c r="V13" s="32" t="s">
        <v>924</v>
      </c>
      <c r="W13" s="35" t="str">
        <f>General!$B$2</f>
        <v>PJ</v>
      </c>
      <c r="X13" s="35" t="str">
        <f>General!$B$2&amp;"a"</f>
        <v>PJa</v>
      </c>
      <c r="AB13" s="32"/>
      <c r="AC13" s="35" t="s">
        <v>168</v>
      </c>
    </row>
    <row r="14" spans="2:38" x14ac:dyDescent="0.25">
      <c r="B14" s="106" t="str">
        <f t="shared" ref="B14:B15" si="5">U13</f>
        <v>MINOILNGL2</v>
      </c>
      <c r="C14" s="36" t="str">
        <f t="shared" si="3"/>
        <v>Natural gas liquids reserves step2</v>
      </c>
      <c r="D14" s="21" t="str">
        <f>D13</f>
        <v>OILNGL</v>
      </c>
      <c r="E14" s="149"/>
      <c r="F14" s="150"/>
      <c r="G14" s="150"/>
      <c r="H14" s="182"/>
      <c r="I14" s="181"/>
      <c r="J14" s="137"/>
      <c r="K14" s="137"/>
      <c r="L14" s="137"/>
      <c r="M14" s="137"/>
      <c r="N14" s="137"/>
      <c r="O14" s="137"/>
      <c r="P14" s="137"/>
      <c r="Q14" s="137"/>
      <c r="S14" s="32" t="str">
        <f t="shared" si="4"/>
        <v>MIN</v>
      </c>
      <c r="U14" s="32" t="str">
        <f>$S$9&amp;Commodities!D15&amp;3</f>
        <v>MINOILNGL3</v>
      </c>
      <c r="V14" s="32" t="s">
        <v>925</v>
      </c>
      <c r="W14" s="35" t="str">
        <f>General!$B$2</f>
        <v>PJ</v>
      </c>
      <c r="X14" s="35" t="str">
        <f>General!$B$2&amp;"a"</f>
        <v>PJa</v>
      </c>
      <c r="AB14" s="32"/>
      <c r="AC14" s="35" t="s">
        <v>168</v>
      </c>
    </row>
    <row r="15" spans="2:38" x14ac:dyDescent="0.25">
      <c r="B15" s="110" t="str">
        <f t="shared" si="5"/>
        <v>MINOILNGL3</v>
      </c>
      <c r="C15" s="88" t="str">
        <f t="shared" si="3"/>
        <v>Natural gas liquids reserves step3</v>
      </c>
      <c r="D15" s="151" t="str">
        <f>D14</f>
        <v>OILNGL</v>
      </c>
      <c r="E15" s="152"/>
      <c r="F15" s="89"/>
      <c r="G15" s="89"/>
      <c r="H15" s="183"/>
      <c r="I15" s="181"/>
      <c r="J15" s="137"/>
      <c r="K15" s="137"/>
      <c r="L15" s="137"/>
      <c r="M15" s="137"/>
      <c r="N15" s="137"/>
      <c r="O15" s="137"/>
      <c r="P15" s="137"/>
      <c r="Q15" s="137"/>
      <c r="S15" s="32" t="str">
        <f t="shared" ref="S15:S16" si="6">IF(T15="*","*","IMP")</f>
        <v>IMP</v>
      </c>
      <c r="U15" s="32" t="str">
        <f t="shared" ref="U15:U26" si="7">$S15&amp;AC15&amp;"_E01"</f>
        <v>IMPOILCRD_E01</v>
      </c>
      <c r="V15" s="32" t="s">
        <v>789</v>
      </c>
      <c r="W15" s="35" t="str">
        <f>General!$B$2</f>
        <v>PJ</v>
      </c>
      <c r="X15" s="35" t="str">
        <f>General!$B$2&amp;"a"</f>
        <v>PJa</v>
      </c>
      <c r="AC15" s="35" t="s">
        <v>526</v>
      </c>
    </row>
    <row r="16" spans="2:38" x14ac:dyDescent="0.25">
      <c r="J16" s="137"/>
      <c r="K16" s="137"/>
      <c r="L16" s="137"/>
      <c r="M16" s="137"/>
      <c r="N16" s="137"/>
      <c r="O16" s="137"/>
      <c r="P16" s="137"/>
      <c r="Q16" s="137"/>
      <c r="S16" s="32" t="str">
        <f t="shared" si="6"/>
        <v>IMP</v>
      </c>
      <c r="U16" s="32" t="str">
        <f t="shared" si="7"/>
        <v>IMPOILDSL_E01</v>
      </c>
      <c r="V16" s="32" t="s">
        <v>790</v>
      </c>
      <c r="W16" s="35" t="str">
        <f>General!$B$2</f>
        <v>PJ</v>
      </c>
      <c r="X16" s="35" t="str">
        <f>General!$B$2&amp;"a"</f>
        <v>PJa</v>
      </c>
      <c r="AC16" s="35" t="s">
        <v>171</v>
      </c>
    </row>
    <row r="17" spans="1:29" x14ac:dyDescent="0.25">
      <c r="A17" s="36"/>
      <c r="B17" s="36"/>
      <c r="C17" s="36"/>
      <c r="D17" s="36"/>
      <c r="E17" s="36"/>
      <c r="F17" s="36"/>
      <c r="G17" s="36"/>
      <c r="H17" s="36"/>
      <c r="I17" s="36"/>
      <c r="J17" s="138"/>
      <c r="K17" s="137"/>
      <c r="L17" s="137"/>
      <c r="M17" s="137"/>
      <c r="N17" s="137"/>
      <c r="O17" s="137"/>
      <c r="P17" s="137"/>
      <c r="Q17" s="137"/>
      <c r="S17" s="32" t="str">
        <f>IF(T17="*","*","IMP")</f>
        <v>IMP</v>
      </c>
      <c r="U17" s="32" t="str">
        <f t="shared" si="7"/>
        <v>IMPOILGSL_E01</v>
      </c>
      <c r="V17" s="32" t="s">
        <v>791</v>
      </c>
      <c r="W17" s="35" t="str">
        <f>General!$B$2</f>
        <v>PJ</v>
      </c>
      <c r="X17" s="35" t="str">
        <f>General!$B$2&amp;"a"</f>
        <v>PJa</v>
      </c>
      <c r="AC17" s="35" t="s">
        <v>172</v>
      </c>
    </row>
    <row r="18" spans="1:29" x14ac:dyDescent="0.25">
      <c r="A18" s="18"/>
      <c r="B18" s="36"/>
      <c r="C18" s="36"/>
      <c r="D18" s="36"/>
      <c r="E18" s="36"/>
      <c r="F18" s="138" t="s">
        <v>15</v>
      </c>
      <c r="G18" s="36"/>
      <c r="H18" s="36"/>
      <c r="I18" s="88"/>
      <c r="J18" s="88"/>
      <c r="K18" s="88"/>
      <c r="L18" s="88"/>
      <c r="M18" s="88"/>
      <c r="N18" s="88"/>
      <c r="O18" s="19"/>
      <c r="P18" s="137"/>
      <c r="Q18" s="137"/>
      <c r="S18" s="32" t="str">
        <f t="shared" ref="S18:S23" si="8">IF(T18="*","*","IMP")</f>
        <v>IMP</v>
      </c>
      <c r="U18" s="32" t="str">
        <f t="shared" si="7"/>
        <v>IMPOILLPG_E01</v>
      </c>
      <c r="V18" s="32" t="s">
        <v>788</v>
      </c>
      <c r="W18" s="35" t="str">
        <f>General!$B$2</f>
        <v>PJ</v>
      </c>
      <c r="X18" s="35" t="str">
        <f>General!$B$2&amp;"a"</f>
        <v>PJa</v>
      </c>
      <c r="AC18" s="35" t="s">
        <v>174</v>
      </c>
    </row>
    <row r="19" spans="1:29" x14ac:dyDescent="0.25">
      <c r="A19" s="18"/>
      <c r="B19" s="92" t="s">
        <v>1</v>
      </c>
      <c r="C19" s="71" t="s">
        <v>45</v>
      </c>
      <c r="D19" s="71" t="s">
        <v>7</v>
      </c>
      <c r="E19" s="71" t="s">
        <v>542</v>
      </c>
      <c r="F19" s="93" t="s">
        <v>8</v>
      </c>
      <c r="G19" s="94" t="s">
        <v>584</v>
      </c>
      <c r="H19" s="94" t="s">
        <v>673</v>
      </c>
      <c r="I19" s="94" t="s">
        <v>17</v>
      </c>
      <c r="J19" s="94" t="s">
        <v>120</v>
      </c>
      <c r="K19" s="94" t="s">
        <v>18</v>
      </c>
      <c r="L19" s="94" t="s">
        <v>3</v>
      </c>
      <c r="M19" s="94" t="s">
        <v>6</v>
      </c>
      <c r="N19" s="94" t="s">
        <v>659</v>
      </c>
      <c r="O19" s="95" t="s">
        <v>543</v>
      </c>
      <c r="P19" s="137"/>
      <c r="Q19" s="137"/>
      <c r="S19" s="32" t="str">
        <f t="shared" si="8"/>
        <v>IMP</v>
      </c>
      <c r="U19" s="32" t="str">
        <f t="shared" si="7"/>
        <v>IMPOILHFO_E01</v>
      </c>
      <c r="V19" s="32" t="s">
        <v>793</v>
      </c>
      <c r="W19" s="35" t="str">
        <f>General!$B$2</f>
        <v>PJ</v>
      </c>
      <c r="X19" s="35" t="str">
        <f>General!$B$2&amp;"a"</f>
        <v>PJa</v>
      </c>
      <c r="AC19" s="35" t="s">
        <v>769</v>
      </c>
    </row>
    <row r="20" spans="1:29" ht="14.4" thickBot="1" x14ac:dyDescent="0.3">
      <c r="A20" s="18"/>
      <c r="B20" s="96" t="s">
        <v>52</v>
      </c>
      <c r="C20" s="69" t="s">
        <v>27</v>
      </c>
      <c r="D20" s="69" t="s">
        <v>37</v>
      </c>
      <c r="E20" s="97" t="s">
        <v>629</v>
      </c>
      <c r="F20" s="70" t="s">
        <v>38</v>
      </c>
      <c r="G20" s="153" t="s">
        <v>662</v>
      </c>
      <c r="H20" s="154" t="s">
        <v>582</v>
      </c>
      <c r="I20" s="101" t="s">
        <v>39</v>
      </c>
      <c r="J20" s="101" t="s">
        <v>40</v>
      </c>
      <c r="K20" s="101" t="s">
        <v>41</v>
      </c>
      <c r="L20" s="101" t="s">
        <v>44</v>
      </c>
      <c r="M20" s="101" t="s">
        <v>43</v>
      </c>
      <c r="N20" s="101" t="s">
        <v>660</v>
      </c>
      <c r="O20" s="102" t="s">
        <v>715</v>
      </c>
      <c r="P20" s="137"/>
      <c r="Q20" s="137"/>
      <c r="S20" s="32" t="str">
        <f t="shared" si="8"/>
        <v>IMP</v>
      </c>
      <c r="U20" s="32" t="str">
        <f t="shared" si="7"/>
        <v>IMPOILKER_E01</v>
      </c>
      <c r="V20" s="32" t="s">
        <v>1011</v>
      </c>
      <c r="W20" s="35" t="str">
        <f>General!$B$2</f>
        <v>PJ</v>
      </c>
      <c r="X20" s="35" t="str">
        <f>General!$B$2&amp;"a"</f>
        <v>PJa</v>
      </c>
      <c r="AC20" s="35" t="s">
        <v>175</v>
      </c>
    </row>
    <row r="21" spans="1:29" x14ac:dyDescent="0.25">
      <c r="A21" s="18"/>
      <c r="B21" s="98"/>
      <c r="C21" s="99"/>
      <c r="D21" s="74" t="s">
        <v>101</v>
      </c>
      <c r="E21" s="74"/>
      <c r="F21" s="73"/>
      <c r="G21" s="128" t="s">
        <v>661</v>
      </c>
      <c r="H21" s="128" t="s">
        <v>583</v>
      </c>
      <c r="I21" s="123" t="s">
        <v>556</v>
      </c>
      <c r="J21" s="123" t="s">
        <v>831</v>
      </c>
      <c r="K21" s="123" t="s">
        <v>556</v>
      </c>
      <c r="L21" s="123" t="s">
        <v>573</v>
      </c>
      <c r="M21" s="123" t="s">
        <v>106</v>
      </c>
      <c r="N21" s="123"/>
      <c r="O21" s="127" t="s">
        <v>716</v>
      </c>
      <c r="P21" s="137"/>
      <c r="Q21" s="137"/>
      <c r="S21" s="32" t="str">
        <f t="shared" si="8"/>
        <v>IMP</v>
      </c>
      <c r="U21" s="32" t="str">
        <f t="shared" si="7"/>
        <v>IMPOILPCK_E01</v>
      </c>
      <c r="V21" s="32" t="s">
        <v>794</v>
      </c>
      <c r="W21" s="35" t="str">
        <f>General!$B$2</f>
        <v>PJ</v>
      </c>
      <c r="X21" s="35" t="str">
        <f>General!$B$2&amp;"a"</f>
        <v>PJa</v>
      </c>
      <c r="AC21" s="35" t="s">
        <v>177</v>
      </c>
    </row>
    <row r="22" spans="1:29" x14ac:dyDescent="0.25">
      <c r="A22" s="18"/>
      <c r="B22" s="103" t="str">
        <f>U40</f>
        <v>SPR_OILCRD_EXTR</v>
      </c>
      <c r="C22" s="75" t="str">
        <f>V40</f>
        <v>Extraction &amp; Processing of Crude Oil</v>
      </c>
      <c r="D22" s="104" t="str">
        <f>D10</f>
        <v>RSVOILCRD</v>
      </c>
      <c r="E22" s="75"/>
      <c r="F22" s="112"/>
      <c r="G22" s="52"/>
      <c r="H22" s="75"/>
      <c r="I22" s="53">
        <v>1</v>
      </c>
      <c r="J22" s="52">
        <f>'En.Bal-Primary-Transf.'!W4/1000*41.868*1.2</f>
        <v>564.86630880000007</v>
      </c>
      <c r="K22" s="53">
        <v>1</v>
      </c>
      <c r="L22" s="53"/>
      <c r="M22" s="53"/>
      <c r="N22" s="53"/>
      <c r="O22" s="54">
        <v>1</v>
      </c>
      <c r="S22" s="32" t="str">
        <f t="shared" si="8"/>
        <v>IMP</v>
      </c>
      <c r="U22" s="32" t="str">
        <f t="shared" si="7"/>
        <v>IMPOILBIT_E01</v>
      </c>
      <c r="V22" s="32" t="s">
        <v>795</v>
      </c>
      <c r="W22" s="35" t="str">
        <f>General!$B$2</f>
        <v>PJ</v>
      </c>
      <c r="X22" s="35" t="str">
        <f>General!$B$2&amp;"a"</f>
        <v>PJa</v>
      </c>
      <c r="AC22" s="35" t="s">
        <v>178</v>
      </c>
    </row>
    <row r="23" spans="1:29" x14ac:dyDescent="0.25">
      <c r="A23" s="18"/>
      <c r="B23" s="106"/>
      <c r="C23" s="36"/>
      <c r="D23" s="36"/>
      <c r="E23" s="36" t="str">
        <f>Commodities!D88</f>
        <v>SUPGASNAT</v>
      </c>
      <c r="F23" s="113"/>
      <c r="G23" s="51">
        <f>'En.Bal-Primary-Transf.'!AU120/5/'En.Bal-Primary-Transf.'!X4</f>
        <v>3.4951456310679613E-2</v>
      </c>
      <c r="H23" s="36"/>
      <c r="I23" s="36"/>
      <c r="J23" s="49"/>
      <c r="K23" s="49"/>
      <c r="L23" s="49"/>
      <c r="M23" s="49"/>
      <c r="N23" s="49"/>
      <c r="O23" s="50"/>
      <c r="S23" s="32" t="str">
        <f t="shared" si="8"/>
        <v>IMP</v>
      </c>
      <c r="U23" s="32" t="str">
        <f t="shared" si="7"/>
        <v>IMPOILLUB_E01</v>
      </c>
      <c r="V23" s="32" t="s">
        <v>796</v>
      </c>
      <c r="W23" s="35" t="str">
        <f>General!$B$2</f>
        <v>PJ</v>
      </c>
      <c r="X23" s="35" t="str">
        <f>General!$B$2&amp;"a"</f>
        <v>PJa</v>
      </c>
      <c r="AC23" s="35" t="s">
        <v>179</v>
      </c>
    </row>
    <row r="24" spans="1:29" ht="15.75" customHeight="1" x14ac:dyDescent="0.3">
      <c r="A24" s="18"/>
      <c r="B24" s="106"/>
      <c r="C24" s="36"/>
      <c r="D24" s="36"/>
      <c r="E24" s="21" t="str">
        <f>PRI_Gas!G29</f>
        <v>PITGASNAT</v>
      </c>
      <c r="F24" s="113"/>
      <c r="G24" s="56">
        <f>'En.Bal-Primary-Transf.'!AT16/'En.Bal-Primary-Transf.'!X4</f>
        <v>0</v>
      </c>
      <c r="H24" s="36"/>
      <c r="I24" s="36"/>
      <c r="J24" s="49"/>
      <c r="K24" s="49"/>
      <c r="L24" s="49"/>
      <c r="M24" s="49"/>
      <c r="N24" s="49"/>
      <c r="O24" s="50"/>
      <c r="S24" s="32" t="str">
        <f t="shared" ref="S24:S26" si="9">IF(T24="*","*","EXP")</f>
        <v>EXP</v>
      </c>
      <c r="U24" s="32" t="str">
        <f t="shared" si="7"/>
        <v>EXPOILDSL_E01</v>
      </c>
      <c r="V24" s="36" t="s">
        <v>797</v>
      </c>
      <c r="W24" s="35" t="str">
        <f>General!$B$2</f>
        <v>PJ</v>
      </c>
      <c r="X24" s="35" t="str">
        <f>General!$B$2&amp;"a"</f>
        <v>PJa</v>
      </c>
      <c r="AC24" s="35" t="s">
        <v>171</v>
      </c>
    </row>
    <row r="25" spans="1:29" x14ac:dyDescent="0.25">
      <c r="A25" s="18"/>
      <c r="B25" s="106"/>
      <c r="C25" s="36"/>
      <c r="D25" s="36"/>
      <c r="E25" s="36" t="str">
        <f>Commodities!D110</f>
        <v>SUPHTH</v>
      </c>
      <c r="F25" s="113"/>
      <c r="G25" s="51">
        <f>'En.Bal-Primary-Transf.'!BW120/4*3/'En.Bal-Primary-Transf.'!X4</f>
        <v>0</v>
      </c>
      <c r="H25" s="36"/>
      <c r="I25" s="49"/>
      <c r="J25" s="49"/>
      <c r="K25" s="49"/>
      <c r="L25" s="49"/>
      <c r="M25" s="49"/>
      <c r="N25" s="49"/>
      <c r="O25" s="50"/>
      <c r="S25" s="32" t="str">
        <f t="shared" si="9"/>
        <v>EXP</v>
      </c>
      <c r="U25" s="32" t="str">
        <f t="shared" si="7"/>
        <v>EXPOILHFO_E01</v>
      </c>
      <c r="V25" s="36" t="s">
        <v>798</v>
      </c>
      <c r="W25" s="35" t="str">
        <f>General!$B$2</f>
        <v>PJ</v>
      </c>
      <c r="X25" s="35" t="str">
        <f>General!$B$2&amp;"a"</f>
        <v>PJa</v>
      </c>
      <c r="AC25" s="35" t="s">
        <v>769</v>
      </c>
    </row>
    <row r="26" spans="1:29" x14ac:dyDescent="0.25">
      <c r="B26" s="106"/>
      <c r="C26" s="36"/>
      <c r="D26" s="36"/>
      <c r="E26" s="36"/>
      <c r="F26" s="113" t="str">
        <f>AC15</f>
        <v>OILCRD</v>
      </c>
      <c r="G26" s="36"/>
      <c r="H26" s="108">
        <v>1</v>
      </c>
      <c r="I26" s="36"/>
      <c r="J26" s="36"/>
      <c r="K26" s="36"/>
      <c r="L26" s="36"/>
      <c r="M26" s="36"/>
      <c r="N26" s="19"/>
      <c r="O26" s="109"/>
      <c r="S26" s="32" t="str">
        <f t="shared" si="9"/>
        <v>EXP</v>
      </c>
      <c r="U26" s="32" t="str">
        <f t="shared" si="7"/>
        <v>EXPOILCRD_E01</v>
      </c>
      <c r="V26" s="36" t="s">
        <v>935</v>
      </c>
      <c r="W26" s="35" t="str">
        <f>General!$B$2</f>
        <v>PJ</v>
      </c>
      <c r="X26" s="35" t="str">
        <f>General!$B$2&amp;"a"</f>
        <v>PJa</v>
      </c>
      <c r="AC26" s="35" t="s">
        <v>526</v>
      </c>
    </row>
    <row r="27" spans="1:29" x14ac:dyDescent="0.25">
      <c r="B27" s="110"/>
      <c r="C27" s="88"/>
      <c r="D27" s="88"/>
      <c r="E27" s="88" t="str">
        <f>Commodities!D109</f>
        <v>SUPELC</v>
      </c>
      <c r="F27" s="114"/>
      <c r="G27" s="88"/>
      <c r="H27" s="88"/>
      <c r="I27" s="88"/>
      <c r="J27" s="88"/>
      <c r="K27" s="88"/>
      <c r="L27" s="88"/>
      <c r="M27" s="88"/>
      <c r="N27" s="88"/>
      <c r="O27" s="111"/>
      <c r="S27" s="32" t="str">
        <f t="shared" ref="S27:S28" si="10">IF(T27="*","*","EXP")</f>
        <v>EXP</v>
      </c>
      <c r="U27" s="32" t="str">
        <f t="shared" ref="U27:U28" si="11">$S27&amp;AC27&amp;"_E01"</f>
        <v>EXPOILLPG_E01</v>
      </c>
      <c r="V27" s="36" t="s">
        <v>936</v>
      </c>
      <c r="W27" s="35" t="str">
        <f>General!$B$2</f>
        <v>PJ</v>
      </c>
      <c r="X27" s="35" t="str">
        <f>General!$B$2&amp;"a"</f>
        <v>PJa</v>
      </c>
      <c r="AB27" s="32"/>
      <c r="AC27" s="35" t="s">
        <v>174</v>
      </c>
    </row>
    <row r="28" spans="1:29" x14ac:dyDescent="0.25">
      <c r="B28" s="103" t="str">
        <f>U41</f>
        <v>SPR_OILCRD_EXTR-EN</v>
      </c>
      <c r="C28" s="75" t="str">
        <f>V41</f>
        <v>Extraction &amp; Processing of Crude Oil (Enhanced)</v>
      </c>
      <c r="D28" s="104" t="str">
        <f>D22</f>
        <v>RSVOILCRD</v>
      </c>
      <c r="E28" s="75"/>
      <c r="F28" s="112"/>
      <c r="G28" s="52"/>
      <c r="H28" s="75"/>
      <c r="I28" s="53">
        <v>1</v>
      </c>
      <c r="J28" s="52"/>
      <c r="K28" s="53">
        <v>1</v>
      </c>
      <c r="L28" s="53"/>
      <c r="M28" s="53"/>
      <c r="N28" s="53"/>
      <c r="O28" s="54">
        <v>1</v>
      </c>
      <c r="S28" s="32" t="str">
        <f t="shared" si="10"/>
        <v>EXP</v>
      </c>
      <c r="U28" s="32" t="str">
        <f t="shared" si="11"/>
        <v>EXPOILGSL_E01</v>
      </c>
      <c r="V28" s="36" t="s">
        <v>937</v>
      </c>
      <c r="W28" s="35" t="str">
        <f>General!$B$2</f>
        <v>PJ</v>
      </c>
      <c r="X28" s="35" t="str">
        <f>General!$B$2&amp;"a"</f>
        <v>PJa</v>
      </c>
      <c r="AB28" s="32"/>
      <c r="AC28" s="35" t="s">
        <v>172</v>
      </c>
    </row>
    <row r="29" spans="1:29" x14ac:dyDescent="0.25">
      <c r="B29" s="106"/>
      <c r="C29" s="36"/>
      <c r="D29" s="36"/>
      <c r="E29" s="36" t="str">
        <f>E23</f>
        <v>SUPGASNAT</v>
      </c>
      <c r="F29" s="113"/>
      <c r="G29" s="51">
        <f>G23</f>
        <v>3.4951456310679613E-2</v>
      </c>
      <c r="H29" s="36"/>
      <c r="I29" s="36"/>
      <c r="J29" s="49"/>
      <c r="K29" s="49"/>
      <c r="L29" s="49"/>
      <c r="M29" s="49"/>
      <c r="N29" s="49"/>
      <c r="O29" s="50"/>
      <c r="S29" s="32" t="str">
        <f t="shared" ref="S29" si="12">IF(T29="*","*","EXP")</f>
        <v>EXP</v>
      </c>
      <c r="U29" s="32" t="str">
        <f>$S29&amp;AC29&amp;"_E01"</f>
        <v>EXPOILNGL_E01</v>
      </c>
      <c r="V29" s="36" t="s">
        <v>938</v>
      </c>
      <c r="W29" s="35" t="str">
        <f>General!$B$2</f>
        <v>PJ</v>
      </c>
      <c r="X29" s="35" t="str">
        <f>General!$B$2&amp;"a"</f>
        <v>PJa</v>
      </c>
      <c r="AB29" s="32"/>
      <c r="AC29" s="35" t="str">
        <f>E66</f>
        <v>OILNGL</v>
      </c>
    </row>
    <row r="30" spans="1:29" ht="14.4" x14ac:dyDescent="0.3">
      <c r="B30" s="106"/>
      <c r="C30" s="36"/>
      <c r="D30" s="36"/>
      <c r="E30" s="21" t="str">
        <f>PRI_Gas!G29</f>
        <v>PITGASNAT</v>
      </c>
      <c r="F30" s="113"/>
      <c r="G30" s="56">
        <f>G24*1.2</f>
        <v>0</v>
      </c>
      <c r="H30" s="36"/>
      <c r="I30" s="36"/>
      <c r="J30" s="49"/>
      <c r="K30" s="49"/>
      <c r="L30" s="49"/>
      <c r="M30" s="49"/>
      <c r="N30" s="49"/>
      <c r="O30" s="50"/>
      <c r="S30" s="32" t="str">
        <f t="shared" ref="S30:S31" si="13">IF(T30="*","*","EXP")</f>
        <v>EXP</v>
      </c>
      <c r="U30" s="32" t="str">
        <f>$S30&amp;AC30&amp;"_E01"</f>
        <v>EXPOILKER_E01</v>
      </c>
      <c r="V30" s="36" t="s">
        <v>986</v>
      </c>
      <c r="W30" s="35" t="str">
        <f>General!$B$2</f>
        <v>PJ</v>
      </c>
      <c r="X30" s="35" t="str">
        <f>General!$B$2&amp;"a"</f>
        <v>PJa</v>
      </c>
      <c r="AB30" s="32"/>
      <c r="AC30" s="35" t="str">
        <f>Commodities!D23</f>
        <v>OILKER</v>
      </c>
    </row>
    <row r="31" spans="1:29" x14ac:dyDescent="0.25">
      <c r="B31" s="106"/>
      <c r="C31" s="36"/>
      <c r="D31" s="36"/>
      <c r="E31" s="36" t="str">
        <f>E25</f>
        <v>SUPHTH</v>
      </c>
      <c r="F31" s="113"/>
      <c r="G31" s="51">
        <f>G25</f>
        <v>0</v>
      </c>
      <c r="H31" s="36"/>
      <c r="I31" s="49"/>
      <c r="J31" s="49"/>
      <c r="K31" s="49"/>
      <c r="L31" s="49"/>
      <c r="M31" s="49"/>
      <c r="N31" s="49"/>
      <c r="O31" s="50"/>
      <c r="S31" s="32" t="str">
        <f t="shared" si="13"/>
        <v>EXP</v>
      </c>
      <c r="U31" s="32" t="str">
        <f>$S31&amp;AC31&amp;"_E01"</f>
        <v>EXPOILLUB_E01</v>
      </c>
      <c r="V31" s="36" t="s">
        <v>987</v>
      </c>
      <c r="W31" s="35" t="str">
        <f>General!$B$2</f>
        <v>PJ</v>
      </c>
      <c r="X31" s="35" t="str">
        <f>General!$B$2&amp;"a"</f>
        <v>PJa</v>
      </c>
      <c r="AB31" s="32"/>
      <c r="AC31" s="35" t="str">
        <f>Commodities!D27</f>
        <v>OILLUB</v>
      </c>
    </row>
    <row r="32" spans="1:29" x14ac:dyDescent="0.25">
      <c r="B32" s="106"/>
      <c r="C32" s="36"/>
      <c r="D32" s="36"/>
      <c r="E32" s="36"/>
      <c r="F32" s="113" t="str">
        <f>F26</f>
        <v>OILCRD</v>
      </c>
      <c r="G32" s="36"/>
      <c r="H32" s="108">
        <f>H26</f>
        <v>1</v>
      </c>
      <c r="I32" s="36"/>
      <c r="J32" s="36"/>
      <c r="K32" s="36"/>
      <c r="L32" s="36"/>
      <c r="M32" s="36"/>
      <c r="N32" s="19"/>
      <c r="O32" s="109"/>
      <c r="S32" s="32" t="str">
        <f t="shared" ref="S32" si="14">IF(T32="*","*","EXP")</f>
        <v>EXP</v>
      </c>
      <c r="U32" s="32" t="str">
        <f>$S32&amp;AC32&amp;"_E01"</f>
        <v>EXPOILBIT_E01</v>
      </c>
      <c r="V32" s="36" t="s">
        <v>988</v>
      </c>
      <c r="W32" s="35" t="str">
        <f>General!$B$2</f>
        <v>PJ</v>
      </c>
      <c r="X32" s="35" t="str">
        <f>General!$B$2&amp;"a"</f>
        <v>PJa</v>
      </c>
      <c r="AB32" s="32"/>
      <c r="AC32" s="35" t="str">
        <f>Commodities!D26</f>
        <v>OILBIT</v>
      </c>
    </row>
    <row r="33" spans="1:29" x14ac:dyDescent="0.25">
      <c r="B33" s="110"/>
      <c r="C33" s="88"/>
      <c r="D33" s="88"/>
      <c r="E33" s="88" t="str">
        <f>E27</f>
        <v>SUPELC</v>
      </c>
      <c r="F33" s="114"/>
      <c r="G33" s="88"/>
      <c r="H33" s="88"/>
      <c r="I33" s="88"/>
      <c r="J33" s="88"/>
      <c r="K33" s="88"/>
      <c r="L33" s="88"/>
      <c r="M33" s="88"/>
      <c r="N33" s="88"/>
      <c r="O33" s="111"/>
      <c r="S33" s="32" t="s">
        <v>684</v>
      </c>
      <c r="U33" s="32" t="str">
        <f t="shared" ref="U33" si="15">"SPRSTCK"&amp;AC33</f>
        <v>SPRSTCKOILCRD</v>
      </c>
      <c r="V33" s="36" t="s">
        <v>799</v>
      </c>
      <c r="W33" s="35" t="str">
        <f>General!$B$2</f>
        <v>PJ</v>
      </c>
      <c r="X33" s="35" t="str">
        <f>General!$B$2&amp;"a"</f>
        <v>PJa</v>
      </c>
      <c r="AC33" s="35" t="s">
        <v>526</v>
      </c>
    </row>
    <row r="34" spans="1:29" x14ac:dyDescent="0.25">
      <c r="S34" s="32" t="s">
        <v>684</v>
      </c>
      <c r="U34" s="32" t="str">
        <f>"SPRSTCK"&amp;AC34</f>
        <v>SPRSTCKOILDSL</v>
      </c>
      <c r="V34" s="36" t="s">
        <v>804</v>
      </c>
      <c r="W34" s="35" t="str">
        <f>General!$B$2</f>
        <v>PJ</v>
      </c>
      <c r="X34" s="35" t="str">
        <f>General!$B$2&amp;"a"</f>
        <v>PJa</v>
      </c>
      <c r="AC34" s="35" t="s">
        <v>171</v>
      </c>
    </row>
    <row r="35" spans="1:29" x14ac:dyDescent="0.25">
      <c r="S35" s="32" t="str">
        <f t="shared" ref="S35:S39" si="16">IF(T35="*","*","MIN")</f>
        <v>MIN</v>
      </c>
      <c r="U35" s="32" t="str">
        <f>"SPRSTCK"&amp;AC35</f>
        <v>SPRSTCKOILGSL</v>
      </c>
      <c r="V35" s="36" t="s">
        <v>800</v>
      </c>
      <c r="W35" s="35" t="str">
        <f>General!$B$2</f>
        <v>PJ</v>
      </c>
      <c r="X35" s="35" t="str">
        <f>General!$B$2&amp;"a"</f>
        <v>PJa</v>
      </c>
      <c r="AC35" s="35" t="s">
        <v>172</v>
      </c>
    </row>
    <row r="36" spans="1:29" x14ac:dyDescent="0.25">
      <c r="G36" s="65" t="s">
        <v>690</v>
      </c>
      <c r="H36" s="66"/>
      <c r="I36" s="66"/>
      <c r="J36" s="67"/>
      <c r="K36" s="66"/>
      <c r="L36" s="65" t="s">
        <v>691</v>
      </c>
      <c r="M36" s="66"/>
      <c r="N36" s="66"/>
      <c r="O36" s="66"/>
      <c r="S36" s="32" t="str">
        <f t="shared" si="16"/>
        <v>MIN</v>
      </c>
      <c r="U36" s="32" t="str">
        <f>"SPRSTCK"&amp;AC36</f>
        <v>SPRSTCKOILLPG</v>
      </c>
      <c r="V36" s="36" t="s">
        <v>802</v>
      </c>
      <c r="W36" s="35" t="str">
        <f>General!$B$2</f>
        <v>PJ</v>
      </c>
      <c r="X36" s="35" t="str">
        <f>General!$B$2&amp;"a"</f>
        <v>PJa</v>
      </c>
      <c r="AC36" s="35" t="s">
        <v>174</v>
      </c>
    </row>
    <row r="37" spans="1:29" ht="14.4" thickBot="1" x14ac:dyDescent="0.3">
      <c r="B37" s="64" t="s">
        <v>577</v>
      </c>
      <c r="E37" s="155" t="s">
        <v>578</v>
      </c>
      <c r="F37" s="156" t="e">
        <f>(SUM(F42:F51)/41.868*1000)/SUM('En.Bal-Primary-Transf.'!X12:AS12)</f>
        <v>#DIV/0!</v>
      </c>
      <c r="G37" s="69">
        <v>1.3</v>
      </c>
      <c r="H37" s="69">
        <v>5</v>
      </c>
      <c r="I37" s="69">
        <v>5</v>
      </c>
      <c r="J37" s="70">
        <v>5</v>
      </c>
      <c r="K37" s="69">
        <v>0</v>
      </c>
      <c r="L37" s="69">
        <v>0</v>
      </c>
      <c r="M37" s="69">
        <v>0</v>
      </c>
      <c r="N37" s="69">
        <v>0</v>
      </c>
      <c r="O37" s="69">
        <v>0</v>
      </c>
      <c r="S37" s="32" t="str">
        <f t="shared" si="16"/>
        <v>MIN</v>
      </c>
      <c r="U37" s="32" t="str">
        <f>"SPRSTCK"&amp;AC37</f>
        <v>SPRSTCKOILHFO</v>
      </c>
      <c r="V37" s="36" t="s">
        <v>792</v>
      </c>
      <c r="W37" s="35" t="str">
        <f>General!$B$2</f>
        <v>PJ</v>
      </c>
      <c r="X37" s="35" t="str">
        <f>General!$B$2&amp;"a"</f>
        <v>PJa</v>
      </c>
      <c r="AC37" s="35" t="s">
        <v>769</v>
      </c>
    </row>
    <row r="38" spans="1:29" x14ac:dyDescent="0.25">
      <c r="D38" s="137" t="s">
        <v>15</v>
      </c>
      <c r="E38" s="137"/>
      <c r="F38" s="31"/>
      <c r="G38" s="31"/>
      <c r="O38" s="35"/>
      <c r="S38" s="32" t="str">
        <f t="shared" si="16"/>
        <v>MIN</v>
      </c>
      <c r="U38" s="32" t="str">
        <f>"SPRSTCK"&amp;AC38</f>
        <v>SPRSTCKOILKER</v>
      </c>
      <c r="V38" s="36" t="s">
        <v>801</v>
      </c>
      <c r="W38" s="35" t="str">
        <f>General!$B$2</f>
        <v>PJ</v>
      </c>
      <c r="X38" s="35" t="str">
        <f>General!$B$2&amp;"a"</f>
        <v>PJa</v>
      </c>
      <c r="AB38" s="32"/>
      <c r="AC38" s="35" t="s">
        <v>175</v>
      </c>
    </row>
    <row r="39" spans="1:29" x14ac:dyDescent="0.25">
      <c r="B39" s="92" t="s">
        <v>1</v>
      </c>
      <c r="C39" s="71" t="s">
        <v>45</v>
      </c>
      <c r="D39" s="67" t="s">
        <v>8</v>
      </c>
      <c r="E39" s="66" t="s">
        <v>47</v>
      </c>
      <c r="F39" s="67" t="s">
        <v>541</v>
      </c>
      <c r="G39" s="66" t="s">
        <v>1008</v>
      </c>
      <c r="H39" s="66" t="s">
        <v>692</v>
      </c>
      <c r="I39" s="66" t="s">
        <v>694</v>
      </c>
      <c r="J39" s="67" t="s">
        <v>695</v>
      </c>
      <c r="K39" s="66" t="s">
        <v>703</v>
      </c>
      <c r="L39" s="66" t="s">
        <v>1013</v>
      </c>
      <c r="M39" s="66" t="s">
        <v>697</v>
      </c>
      <c r="N39" s="66" t="s">
        <v>698</v>
      </c>
      <c r="O39" s="66" t="s">
        <v>699</v>
      </c>
      <c r="S39" s="32" t="str">
        <f t="shared" si="16"/>
        <v>MIN</v>
      </c>
      <c r="U39" s="32" t="str">
        <f t="shared" ref="U39" si="17">"SPRSTCK"&amp;AC39</f>
        <v>SPRSTCKOILPCK</v>
      </c>
      <c r="V39" s="36" t="s">
        <v>803</v>
      </c>
      <c r="W39" s="35" t="str">
        <f>General!$B$2</f>
        <v>PJ</v>
      </c>
      <c r="X39" s="35" t="str">
        <f>General!$B$2&amp;"a"</f>
        <v>PJa</v>
      </c>
      <c r="AB39" s="32"/>
      <c r="AC39" s="35" t="s">
        <v>177</v>
      </c>
    </row>
    <row r="40" spans="1:29" ht="14.4" thickBot="1" x14ac:dyDescent="0.3">
      <c r="B40" s="96" t="s">
        <v>52</v>
      </c>
      <c r="C40" s="69" t="s">
        <v>27</v>
      </c>
      <c r="D40" s="70" t="s">
        <v>38</v>
      </c>
      <c r="E40" s="101" t="s">
        <v>116</v>
      </c>
      <c r="F40" s="102" t="s">
        <v>117</v>
      </c>
      <c r="G40" s="69" t="s">
        <v>117</v>
      </c>
      <c r="H40" s="69" t="s">
        <v>117</v>
      </c>
      <c r="I40" s="69" t="s">
        <v>117</v>
      </c>
      <c r="J40" s="70" t="s">
        <v>117</v>
      </c>
      <c r="K40" s="69" t="s">
        <v>678</v>
      </c>
      <c r="L40" s="69" t="s">
        <v>678</v>
      </c>
      <c r="M40" s="69" t="s">
        <v>678</v>
      </c>
      <c r="N40" s="69" t="s">
        <v>678</v>
      </c>
      <c r="O40" s="69" t="s">
        <v>678</v>
      </c>
      <c r="S40" s="32" t="s">
        <v>111</v>
      </c>
      <c r="T40" s="32" t="s">
        <v>787</v>
      </c>
      <c r="U40" s="32" t="s">
        <v>807</v>
      </c>
      <c r="V40" s="36" t="s">
        <v>808</v>
      </c>
      <c r="W40" s="35" t="s">
        <v>80</v>
      </c>
      <c r="X40" s="35" t="s">
        <v>806</v>
      </c>
      <c r="AB40" s="32"/>
      <c r="AC40" s="32"/>
    </row>
    <row r="41" spans="1:29" x14ac:dyDescent="0.25">
      <c r="B41" s="146"/>
      <c r="C41" s="72"/>
      <c r="D41" s="73" t="s">
        <v>101</v>
      </c>
      <c r="E41" s="127" t="str">
        <f>General!$D$12</f>
        <v>$/GJ</v>
      </c>
      <c r="F41" s="127" t="str">
        <f>General!$D$13</f>
        <v>PJ/year</v>
      </c>
      <c r="G41" s="74" t="str">
        <f>General!$D$13</f>
        <v>PJ/year</v>
      </c>
      <c r="H41" s="74" t="str">
        <f>General!$D$13</f>
        <v>PJ/year</v>
      </c>
      <c r="I41" s="74" t="str">
        <f>General!$D$13</f>
        <v>PJ/year</v>
      </c>
      <c r="J41" s="73" t="str">
        <f>General!$D$13</f>
        <v>PJ/year</v>
      </c>
      <c r="K41" s="74" t="str">
        <f>General!$D$13</f>
        <v>PJ/year</v>
      </c>
      <c r="L41" s="74" t="str">
        <f>General!$D$13</f>
        <v>PJ/year</v>
      </c>
      <c r="M41" s="74" t="str">
        <f>General!$D$13</f>
        <v>PJ/year</v>
      </c>
      <c r="N41" s="74" t="str">
        <f>General!$D$13</f>
        <v>PJ/year</v>
      </c>
      <c r="O41" s="74" t="str">
        <f>General!$D$13</f>
        <v>PJ/year</v>
      </c>
      <c r="S41" s="32" t="s">
        <v>111</v>
      </c>
      <c r="T41" s="32" t="s">
        <v>787</v>
      </c>
      <c r="U41" s="32" t="s">
        <v>949</v>
      </c>
      <c r="V41" s="36" t="s">
        <v>950</v>
      </c>
      <c r="W41" s="35" t="s">
        <v>80</v>
      </c>
      <c r="X41" s="35" t="s">
        <v>806</v>
      </c>
    </row>
    <row r="42" spans="1:29" x14ac:dyDescent="0.25">
      <c r="B42" s="106" t="str">
        <f t="shared" ref="B42" si="18">U15</f>
        <v>IMPOILCRD_E01</v>
      </c>
      <c r="C42" s="36" t="str">
        <f t="shared" ref="C42" si="19">V15</f>
        <v>Import of Crude Oil</v>
      </c>
      <c r="D42" s="107" t="str">
        <f t="shared" ref="D42" si="20">AC15</f>
        <v>OILCRD</v>
      </c>
      <c r="E42" s="109">
        <v>8.6999999999999993</v>
      </c>
      <c r="F42" s="157">
        <f>('En.Bal-Primary-Transf.'!X12)*(1/1000*41.868)</f>
        <v>0</v>
      </c>
      <c r="G42" s="158">
        <f t="shared" ref="G42:G43" si="21">$F42*G$37</f>
        <v>0</v>
      </c>
      <c r="H42" s="158">
        <v>0</v>
      </c>
      <c r="I42" s="158">
        <f>H42</f>
        <v>0</v>
      </c>
      <c r="J42" s="184">
        <f>I42</f>
        <v>0</v>
      </c>
      <c r="K42" s="157"/>
      <c r="L42" s="159"/>
      <c r="M42" s="159"/>
      <c r="N42" s="159"/>
      <c r="O42" s="157"/>
      <c r="V42" s="36"/>
      <c r="W42" s="35"/>
      <c r="X42" s="35"/>
    </row>
    <row r="43" spans="1:29" x14ac:dyDescent="0.25">
      <c r="B43" s="106" t="str">
        <f t="shared" ref="B43:C50" si="22">U16</f>
        <v>IMPOILDSL_E01</v>
      </c>
      <c r="C43" s="36" t="str">
        <f t="shared" si="22"/>
        <v>Import of Diesel</v>
      </c>
      <c r="D43" s="107" t="str">
        <f t="shared" ref="D43:D50" si="23">AC16</f>
        <v>OILDSL</v>
      </c>
      <c r="E43" s="109">
        <v>6.1</v>
      </c>
      <c r="F43" s="157">
        <f>('En.Bal-Primary-Transf.'!AL12)*(1/1000*41.868)</f>
        <v>0</v>
      </c>
      <c r="G43" s="158">
        <f t="shared" si="21"/>
        <v>0</v>
      </c>
      <c r="H43" s="158">
        <v>0</v>
      </c>
      <c r="I43" s="158">
        <f>H43</f>
        <v>0</v>
      </c>
      <c r="J43" s="184">
        <f>I43</f>
        <v>0</v>
      </c>
      <c r="K43" s="157"/>
      <c r="L43" s="159"/>
      <c r="M43" s="159"/>
      <c r="N43" s="159"/>
      <c r="O43" s="157"/>
      <c r="V43" s="36"/>
      <c r="W43" s="35"/>
      <c r="X43" s="35"/>
    </row>
    <row r="44" spans="1:29" ht="14.4" x14ac:dyDescent="0.3">
      <c r="A44" s="80"/>
      <c r="B44" s="160" t="str">
        <f t="shared" si="22"/>
        <v>IMPOILGSL_E01</v>
      </c>
      <c r="C44" s="80" t="str">
        <f t="shared" si="22"/>
        <v>Import of Gasoline</v>
      </c>
      <c r="D44" s="161" t="str">
        <f t="shared" si="23"/>
        <v>OILGSL</v>
      </c>
      <c r="E44" s="162">
        <v>6.1</v>
      </c>
      <c r="F44" s="163">
        <f>('En.Bal-Primary-Transf.'!AF12)*(1/1000*41.868)</f>
        <v>0</v>
      </c>
      <c r="G44" s="164">
        <f>$F44*0.5</f>
        <v>0</v>
      </c>
      <c r="H44" s="164">
        <v>0</v>
      </c>
      <c r="I44" s="164">
        <f t="shared" ref="I44:J44" si="24">H44</f>
        <v>0</v>
      </c>
      <c r="J44" s="164">
        <f t="shared" si="24"/>
        <v>0</v>
      </c>
      <c r="K44" s="163"/>
      <c r="L44" s="165"/>
      <c r="M44" s="166"/>
      <c r="N44" s="166"/>
      <c r="O44" s="163"/>
      <c r="P44" s="80"/>
      <c r="Q44" s="80" t="s">
        <v>1006</v>
      </c>
      <c r="V44" s="36"/>
      <c r="W44" s="35"/>
      <c r="X44" s="35"/>
    </row>
    <row r="45" spans="1:29" x14ac:dyDescent="0.25">
      <c r="B45" s="106" t="str">
        <f t="shared" si="22"/>
        <v>IMPOILLPG_E01</v>
      </c>
      <c r="C45" s="36" t="str">
        <f t="shared" si="22"/>
        <v>Import of Liquified petroleum gas</v>
      </c>
      <c r="D45" s="107" t="str">
        <f t="shared" si="23"/>
        <v>OILLPG</v>
      </c>
      <c r="E45" s="109">
        <v>11.03</v>
      </c>
      <c r="F45" s="157">
        <f>('En.Bal-Primary-Transf.'!AE12)*(1/1000*41.868)</f>
        <v>0</v>
      </c>
      <c r="G45" s="158">
        <f>$F45*G$37</f>
        <v>0</v>
      </c>
      <c r="H45" s="158">
        <v>0</v>
      </c>
      <c r="I45" s="158">
        <f>H45</f>
        <v>0</v>
      </c>
      <c r="J45" s="184">
        <f>I45</f>
        <v>0</v>
      </c>
      <c r="K45" s="157"/>
      <c r="L45" s="159"/>
      <c r="M45" s="159"/>
      <c r="N45" s="159"/>
      <c r="O45" s="157"/>
      <c r="AB45" s="32"/>
      <c r="AC45" s="32"/>
    </row>
    <row r="46" spans="1:29" x14ac:dyDescent="0.25">
      <c r="B46" s="106" t="str">
        <f t="shared" si="22"/>
        <v>IMPOILHFO_E01</v>
      </c>
      <c r="C46" s="36" t="str">
        <f t="shared" si="22"/>
        <v>Import of Fuel Oil</v>
      </c>
      <c r="D46" s="107" t="str">
        <f t="shared" si="23"/>
        <v>OILHFO</v>
      </c>
      <c r="E46" s="109">
        <v>12.2</v>
      </c>
      <c r="F46" s="157">
        <f>('En.Bal-Primary-Transf.'!AM12)*(1/1000*41.868)</f>
        <v>0</v>
      </c>
      <c r="G46" s="158">
        <f>$F46*G$37</f>
        <v>0</v>
      </c>
      <c r="H46" s="158">
        <v>0</v>
      </c>
      <c r="I46" s="158">
        <f t="shared" ref="I46:J50" si="25">H46</f>
        <v>0</v>
      </c>
      <c r="J46" s="184">
        <f>I46</f>
        <v>0</v>
      </c>
      <c r="K46" s="157"/>
      <c r="L46" s="159"/>
      <c r="M46" s="159"/>
      <c r="N46" s="159"/>
      <c r="O46" s="157"/>
      <c r="AB46" s="32"/>
      <c r="AC46" s="32"/>
    </row>
    <row r="47" spans="1:29" ht="14.4" x14ac:dyDescent="0.3">
      <c r="B47" s="106" t="str">
        <f t="shared" si="22"/>
        <v>IMPOILKER_E01</v>
      </c>
      <c r="C47" s="36" t="str">
        <f t="shared" si="22"/>
        <v>Import of Kerosene</v>
      </c>
      <c r="D47" s="107" t="str">
        <f t="shared" si="23"/>
        <v>OILKER</v>
      </c>
      <c r="E47" s="167">
        <v>11.9</v>
      </c>
      <c r="F47" s="157">
        <f>('En.Bal-Primary-Transf.'!AI12)*(1/1000*41.868)</f>
        <v>0</v>
      </c>
      <c r="G47" s="168">
        <f>$F47*G$37</f>
        <v>0</v>
      </c>
      <c r="H47" s="168">
        <f>G47</f>
        <v>0</v>
      </c>
      <c r="I47" s="168">
        <f>H47</f>
        <v>0</v>
      </c>
      <c r="J47" s="185">
        <f>I47</f>
        <v>0</v>
      </c>
      <c r="K47" s="157"/>
      <c r="L47" s="159"/>
      <c r="M47" s="159"/>
      <c r="N47" s="159"/>
      <c r="O47" s="157"/>
      <c r="AB47" s="32"/>
      <c r="AC47" s="32"/>
    </row>
    <row r="48" spans="1:29" x14ac:dyDescent="0.25">
      <c r="B48" s="106" t="str">
        <f t="shared" si="22"/>
        <v>IMPOILPCK_E01</v>
      </c>
      <c r="C48" s="36" t="str">
        <f t="shared" si="22"/>
        <v>Import of Petroleum Coke</v>
      </c>
      <c r="D48" s="107" t="str">
        <f t="shared" si="23"/>
        <v>OILPCK</v>
      </c>
      <c r="E48" s="109">
        <v>9.8000000000000007</v>
      </c>
      <c r="F48" s="157">
        <f>('En.Bal-Primary-Transf.'!AQ12+'En.Bal-Primary-Transf.'!AQ13)*(1/1000*41.868)</f>
        <v>0</v>
      </c>
      <c r="G48" s="158">
        <f>$F48*G$37</f>
        <v>0</v>
      </c>
      <c r="H48" s="158">
        <v>0</v>
      </c>
      <c r="I48" s="158">
        <f t="shared" si="25"/>
        <v>0</v>
      </c>
      <c r="J48" s="184">
        <f t="shared" si="25"/>
        <v>0</v>
      </c>
      <c r="K48" s="157"/>
      <c r="L48" s="159"/>
      <c r="M48" s="159"/>
      <c r="N48" s="159"/>
      <c r="O48" s="157"/>
      <c r="AB48" s="32"/>
      <c r="AC48" s="32"/>
    </row>
    <row r="49" spans="2:29" x14ac:dyDescent="0.25">
      <c r="B49" s="106" t="str">
        <f t="shared" si="22"/>
        <v>IMPOILBIT_E01</v>
      </c>
      <c r="C49" s="36" t="str">
        <f t="shared" si="22"/>
        <v>Import of Bitumen</v>
      </c>
      <c r="D49" s="107" t="str">
        <f t="shared" si="23"/>
        <v>OILBIT</v>
      </c>
      <c r="E49" s="109">
        <v>6.1</v>
      </c>
      <c r="F49" s="157">
        <f>('En.Bal-Primary-Transf.'!AP12)*(1/1000*41.868)</f>
        <v>0</v>
      </c>
      <c r="G49" s="158">
        <f>$F49*G$37*2</f>
        <v>0</v>
      </c>
      <c r="H49" s="158">
        <v>0</v>
      </c>
      <c r="I49" s="158">
        <f t="shared" si="25"/>
        <v>0</v>
      </c>
      <c r="J49" s="184">
        <f t="shared" si="25"/>
        <v>0</v>
      </c>
      <c r="K49" s="157"/>
      <c r="L49" s="159"/>
      <c r="M49" s="159"/>
      <c r="N49" s="159"/>
      <c r="O49" s="157"/>
      <c r="AB49" s="32"/>
      <c r="AC49" s="32"/>
    </row>
    <row r="50" spans="2:29" x14ac:dyDescent="0.25">
      <c r="B50" s="106" t="str">
        <f t="shared" si="22"/>
        <v>IMPOILLUB_E01</v>
      </c>
      <c r="C50" s="36" t="str">
        <f t="shared" si="22"/>
        <v>Import of Lubricants</v>
      </c>
      <c r="D50" s="107" t="str">
        <f t="shared" si="23"/>
        <v>OILLUB</v>
      </c>
      <c r="E50" s="109">
        <v>6.1</v>
      </c>
      <c r="F50" s="157">
        <f>('En.Bal-Primary-Transf.'!AO12)*(1/1000*41.868)</f>
        <v>0</v>
      </c>
      <c r="G50" s="158">
        <f>$F50*G$37*2</f>
        <v>0</v>
      </c>
      <c r="H50" s="158">
        <v>0</v>
      </c>
      <c r="I50" s="158">
        <f t="shared" si="25"/>
        <v>0</v>
      </c>
      <c r="J50" s="184">
        <f t="shared" si="25"/>
        <v>0</v>
      </c>
      <c r="K50" s="157"/>
      <c r="L50" s="159"/>
      <c r="M50" s="159"/>
      <c r="N50" s="159"/>
      <c r="O50" s="157"/>
      <c r="R50" s="32"/>
      <c r="AB50" s="32"/>
      <c r="AC50" s="32"/>
    </row>
    <row r="51" spans="2:29" x14ac:dyDescent="0.25">
      <c r="B51" s="110"/>
      <c r="C51" s="88"/>
      <c r="D51" s="169"/>
      <c r="E51" s="170"/>
      <c r="F51" s="171"/>
      <c r="G51" s="139"/>
      <c r="H51" s="172"/>
      <c r="I51" s="172"/>
      <c r="J51" s="173"/>
      <c r="K51" s="173"/>
      <c r="L51" s="172"/>
      <c r="M51" s="172"/>
      <c r="N51" s="172"/>
      <c r="O51" s="173"/>
      <c r="R51" s="32"/>
      <c r="AB51" s="32"/>
      <c r="AC51" s="32"/>
    </row>
    <row r="52" spans="2:29" x14ac:dyDescent="0.25">
      <c r="R52" s="32"/>
      <c r="AB52" s="32"/>
      <c r="AC52" s="32"/>
    </row>
    <row r="53" spans="2:29" x14ac:dyDescent="0.25">
      <c r="R53" s="32"/>
      <c r="AB53" s="32"/>
      <c r="AC53" s="32"/>
    </row>
    <row r="54" spans="2:29" x14ac:dyDescent="0.25">
      <c r="H54" s="65" t="s">
        <v>690</v>
      </c>
      <c r="I54" s="66"/>
      <c r="J54" s="66"/>
      <c r="K54" s="67"/>
      <c r="L54" s="66"/>
      <c r="M54" s="65" t="s">
        <v>691</v>
      </c>
      <c r="N54" s="66"/>
      <c r="O54" s="66"/>
      <c r="P54" s="66"/>
      <c r="AB54" s="32"/>
    </row>
    <row r="55" spans="2:29" ht="14.4" thickBot="1" x14ac:dyDescent="0.3">
      <c r="B55" s="64" t="s">
        <v>579</v>
      </c>
      <c r="F55" s="155" t="s">
        <v>578</v>
      </c>
      <c r="G55" s="156">
        <f>(SUM(G60:G62)/41.868*1000)/SUM('En.Bal-Primary-Transf.'!X14:AS14)</f>
        <v>0.74091441969519345</v>
      </c>
      <c r="H55" s="69">
        <v>1.1000000000000001</v>
      </c>
      <c r="I55" s="69">
        <v>1.2</v>
      </c>
      <c r="J55" s="69">
        <v>1.3</v>
      </c>
      <c r="K55" s="70">
        <v>2</v>
      </c>
      <c r="L55" s="69">
        <v>0.6</v>
      </c>
      <c r="M55" s="69">
        <v>0.5</v>
      </c>
      <c r="N55" s="69">
        <v>0</v>
      </c>
      <c r="O55" s="69">
        <v>0</v>
      </c>
      <c r="P55" s="69">
        <v>0</v>
      </c>
      <c r="AB55" s="32"/>
    </row>
    <row r="56" spans="2:29" x14ac:dyDescent="0.25">
      <c r="E56" s="137" t="s">
        <v>15</v>
      </c>
      <c r="F56" s="137"/>
      <c r="G56" s="31"/>
      <c r="H56" s="31"/>
      <c r="P56" s="35"/>
      <c r="AB56" s="32"/>
    </row>
    <row r="57" spans="2:29" x14ac:dyDescent="0.25">
      <c r="B57" s="92" t="s">
        <v>1</v>
      </c>
      <c r="C57" s="71" t="s">
        <v>45</v>
      </c>
      <c r="D57" s="94" t="s">
        <v>542</v>
      </c>
      <c r="E57" s="66" t="s">
        <v>7</v>
      </c>
      <c r="F57" s="66" t="s">
        <v>47</v>
      </c>
      <c r="G57" s="66" t="s">
        <v>541</v>
      </c>
      <c r="H57" s="66" t="s">
        <v>692</v>
      </c>
      <c r="I57" s="66" t="s">
        <v>693</v>
      </c>
      <c r="J57" s="66" t="s">
        <v>694</v>
      </c>
      <c r="K57" s="66" t="s">
        <v>695</v>
      </c>
      <c r="L57" s="66" t="s">
        <v>703</v>
      </c>
      <c r="M57" s="66" t="s">
        <v>696</v>
      </c>
      <c r="N57" s="66" t="s">
        <v>697</v>
      </c>
      <c r="O57" s="66" t="s">
        <v>698</v>
      </c>
      <c r="P57" s="66" t="s">
        <v>699</v>
      </c>
      <c r="Q57" s="67" t="s">
        <v>119</v>
      </c>
      <c r="AB57" s="32"/>
    </row>
    <row r="58" spans="2:29" ht="27.6" x14ac:dyDescent="0.25">
      <c r="B58" s="153" t="s">
        <v>52</v>
      </c>
      <c r="C58" s="123" t="s">
        <v>27</v>
      </c>
      <c r="D58" s="123" t="s">
        <v>629</v>
      </c>
      <c r="E58" s="123" t="s">
        <v>38</v>
      </c>
      <c r="F58" s="123" t="s">
        <v>162</v>
      </c>
      <c r="G58" s="123" t="s">
        <v>163</v>
      </c>
      <c r="H58" s="123" t="s">
        <v>117</v>
      </c>
      <c r="I58" s="123" t="s">
        <v>117</v>
      </c>
      <c r="J58" s="123" t="s">
        <v>117</v>
      </c>
      <c r="K58" s="123" t="s">
        <v>117</v>
      </c>
      <c r="L58" s="123" t="s">
        <v>678</v>
      </c>
      <c r="M58" s="123" t="s">
        <v>678</v>
      </c>
      <c r="N58" s="123" t="s">
        <v>678</v>
      </c>
      <c r="O58" s="123" t="s">
        <v>678</v>
      </c>
      <c r="P58" s="123" t="s">
        <v>678</v>
      </c>
      <c r="Q58" s="127" t="s">
        <v>112</v>
      </c>
      <c r="AB58" s="32"/>
    </row>
    <row r="59" spans="2:29" x14ac:dyDescent="0.25">
      <c r="B59" s="125"/>
      <c r="C59" s="126"/>
      <c r="D59" s="123"/>
      <c r="E59" s="123" t="s">
        <v>101</v>
      </c>
      <c r="F59" s="123" t="str">
        <f>General!$D$12</f>
        <v>$/GJ</v>
      </c>
      <c r="G59" s="123" t="str">
        <f>General!$D$13</f>
        <v>PJ/year</v>
      </c>
      <c r="H59" s="123" t="str">
        <f>General!$D$13</f>
        <v>PJ/year</v>
      </c>
      <c r="I59" s="123" t="str">
        <f>General!$D$13</f>
        <v>PJ/year</v>
      </c>
      <c r="J59" s="123" t="str">
        <f>General!$D$13</f>
        <v>PJ/year</v>
      </c>
      <c r="K59" s="123" t="str">
        <f>General!$D$13</f>
        <v>PJ/year</v>
      </c>
      <c r="L59" s="123" t="str">
        <f>General!$D$13</f>
        <v>PJ/year</v>
      </c>
      <c r="M59" s="123" t="str">
        <f>General!$D$13</f>
        <v>PJ/year</v>
      </c>
      <c r="N59" s="123" t="str">
        <f>General!$D$13</f>
        <v>PJ/year</v>
      </c>
      <c r="O59" s="123" t="str">
        <f>General!$D$13</f>
        <v>PJ/year</v>
      </c>
      <c r="P59" s="123" t="str">
        <f>General!$D$13</f>
        <v>PJ/year</v>
      </c>
      <c r="Q59" s="127"/>
      <c r="AB59" s="32"/>
    </row>
    <row r="60" spans="2:29" x14ac:dyDescent="0.25">
      <c r="B60" s="106" t="str">
        <f t="shared" ref="B60:C62" si="26">U24</f>
        <v>EXPOILDSL_E01</v>
      </c>
      <c r="C60" s="36" t="str">
        <f t="shared" si="26"/>
        <v>Export of Diesel</v>
      </c>
      <c r="D60" s="36"/>
      <c r="E60" s="36" t="str">
        <f>AC24</f>
        <v>OILDSL</v>
      </c>
      <c r="F60" s="174">
        <f>E43*0.98</f>
        <v>5.9779999999999998</v>
      </c>
      <c r="G60" s="174">
        <f>'En.Bal-Primary-Transf.'!AL14/1000*41.868</f>
        <v>29.307600000000001</v>
      </c>
      <c r="H60" s="174"/>
      <c r="I60" s="174"/>
      <c r="J60" s="174"/>
      <c r="K60" s="174">
        <f>G60*$K$55</f>
        <v>58.615200000000002</v>
      </c>
      <c r="L60" s="174">
        <f t="shared" ref="L60:P61" si="27">$G60*L$55</f>
        <v>17.58456</v>
      </c>
      <c r="M60" s="174">
        <f t="shared" si="27"/>
        <v>14.6538</v>
      </c>
      <c r="N60" s="174">
        <f t="shared" si="27"/>
        <v>0</v>
      </c>
      <c r="O60" s="174">
        <f t="shared" si="27"/>
        <v>0</v>
      </c>
      <c r="P60" s="174">
        <f t="shared" si="27"/>
        <v>0</v>
      </c>
      <c r="Q60" s="175"/>
      <c r="AB60" s="32"/>
    </row>
    <row r="61" spans="2:29" x14ac:dyDescent="0.25">
      <c r="B61" s="106" t="str">
        <f t="shared" si="26"/>
        <v>EXPOILHFO_E01</v>
      </c>
      <c r="C61" s="36" t="str">
        <f t="shared" si="26"/>
        <v>Export of Fuel Oil</v>
      </c>
      <c r="D61" s="36"/>
      <c r="E61" s="36" t="str">
        <f>AC25</f>
        <v>OILHFO</v>
      </c>
      <c r="F61" s="174">
        <f>E46*0.98</f>
        <v>11.956</v>
      </c>
      <c r="G61" s="174">
        <f>'En.Bal-Primary-Transf.'!AM14/1000*41.868</f>
        <v>31.819680000000002</v>
      </c>
      <c r="H61" s="174"/>
      <c r="I61" s="174"/>
      <c r="J61" s="174"/>
      <c r="K61" s="174">
        <f>G61*$K$55</f>
        <v>63.639360000000003</v>
      </c>
      <c r="L61" s="174">
        <f t="shared" si="27"/>
        <v>19.091808</v>
      </c>
      <c r="M61" s="174">
        <f t="shared" si="27"/>
        <v>15.909840000000001</v>
      </c>
      <c r="N61" s="174">
        <f t="shared" si="27"/>
        <v>0</v>
      </c>
      <c r="O61" s="174">
        <f t="shared" si="27"/>
        <v>0</v>
      </c>
      <c r="P61" s="174">
        <f t="shared" si="27"/>
        <v>0</v>
      </c>
      <c r="Q61" s="175"/>
      <c r="AB61" s="32"/>
    </row>
    <row r="62" spans="2:29" x14ac:dyDescent="0.25">
      <c r="B62" s="106" t="str">
        <f t="shared" si="26"/>
        <v>EXPOILCRD_E01</v>
      </c>
      <c r="C62" s="36" t="str">
        <f t="shared" si="26"/>
        <v>Export of Crude Oil</v>
      </c>
      <c r="D62" s="36"/>
      <c r="E62" s="36" t="str">
        <f>Commodities!D14</f>
        <v>OILCRD</v>
      </c>
      <c r="F62" s="174">
        <f>E42*0.98</f>
        <v>8.5259999999999998</v>
      </c>
      <c r="G62" s="174">
        <f>'En.Bal-Primary-Transf.'!X14/1000*41.868</f>
        <v>71.175600000000003</v>
      </c>
      <c r="H62" s="174">
        <f>G62*H55</f>
        <v>78.293160000000015</v>
      </c>
      <c r="I62" s="174"/>
      <c r="J62" s="174"/>
      <c r="K62" s="174">
        <f>G62*$K$55</f>
        <v>142.35120000000001</v>
      </c>
      <c r="L62" s="174"/>
      <c r="M62" s="174"/>
      <c r="N62" s="174"/>
      <c r="O62" s="174"/>
      <c r="P62" s="174"/>
      <c r="Q62" s="175"/>
      <c r="AB62" s="32"/>
    </row>
    <row r="63" spans="2:29" x14ac:dyDescent="0.25">
      <c r="B63" s="106"/>
      <c r="C63" s="36"/>
      <c r="D63" s="36" t="str">
        <f>PRI_Oil!$E$29</f>
        <v>SUPGASNAT</v>
      </c>
      <c r="E63" s="36"/>
      <c r="F63" s="174"/>
      <c r="G63" s="174"/>
      <c r="H63" s="174"/>
      <c r="I63" s="174"/>
      <c r="J63" s="174"/>
      <c r="K63" s="174"/>
      <c r="L63" s="174"/>
      <c r="M63" s="174"/>
      <c r="N63" s="174"/>
      <c r="O63" s="174"/>
      <c r="P63" s="174"/>
      <c r="Q63" s="176">
        <f>PRI_Gas!I44</f>
        <v>7.2227766980091403E-3</v>
      </c>
      <c r="AB63" s="32"/>
    </row>
    <row r="64" spans="2:29" x14ac:dyDescent="0.25">
      <c r="B64" s="106" t="str">
        <f t="shared" ref="B64:C66" si="28">U27</f>
        <v>EXPOILLPG_E01</v>
      </c>
      <c r="C64" s="36" t="str">
        <f t="shared" si="28"/>
        <v>Export of LPG</v>
      </c>
      <c r="D64" s="36"/>
      <c r="E64" s="36" t="str">
        <f>Commodities!D21</f>
        <v>OILLPG</v>
      </c>
      <c r="F64" s="174">
        <f>E45*0.98</f>
        <v>10.809399999999998</v>
      </c>
      <c r="G64" s="174">
        <f>'En.Bal-Primary-Transf.'!AE14/1000*41.868</f>
        <v>0</v>
      </c>
      <c r="H64" s="174"/>
      <c r="I64" s="174"/>
      <c r="J64" s="174"/>
      <c r="K64" s="174">
        <f t="shared" ref="K64:K69" si="29">G64*$K$55</f>
        <v>0</v>
      </c>
      <c r="L64" s="174"/>
      <c r="M64" s="174"/>
      <c r="N64" s="174"/>
      <c r="O64" s="174"/>
      <c r="P64" s="174"/>
      <c r="Q64" s="175"/>
      <c r="AB64" s="32"/>
    </row>
    <row r="65" spans="2:28" x14ac:dyDescent="0.25">
      <c r="B65" s="106" t="str">
        <f t="shared" si="28"/>
        <v>EXPOILGSL_E01</v>
      </c>
      <c r="C65" s="36" t="str">
        <f t="shared" si="28"/>
        <v>Export of Gasoline</v>
      </c>
      <c r="D65" s="36"/>
      <c r="E65" s="36" t="str">
        <f>Commodities!D19</f>
        <v>OILGSL</v>
      </c>
      <c r="F65" s="174">
        <f>E44*0.98</f>
        <v>5.9779999999999998</v>
      </c>
      <c r="G65" s="174">
        <f>'En.Bal-Primary-Transf.'!AF14/1000*41.868</f>
        <v>46.264140000000005</v>
      </c>
      <c r="H65" s="174"/>
      <c r="I65" s="174"/>
      <c r="J65" s="174"/>
      <c r="K65" s="174">
        <f t="shared" si="29"/>
        <v>92.528280000000009</v>
      </c>
      <c r="L65" s="174">
        <f t="shared" ref="L65:P65" si="30">$G65*L$55</f>
        <v>27.758484000000003</v>
      </c>
      <c r="M65" s="174">
        <f t="shared" si="30"/>
        <v>23.132070000000002</v>
      </c>
      <c r="N65" s="174">
        <f t="shared" si="30"/>
        <v>0</v>
      </c>
      <c r="O65" s="174">
        <f t="shared" si="30"/>
        <v>0</v>
      </c>
      <c r="P65" s="174">
        <f t="shared" si="30"/>
        <v>0</v>
      </c>
      <c r="Q65" s="175"/>
      <c r="AB65" s="32"/>
    </row>
    <row r="66" spans="2:28" x14ac:dyDescent="0.25">
      <c r="B66" s="106" t="str">
        <f t="shared" si="28"/>
        <v>EXPOILNGL_E01</v>
      </c>
      <c r="C66" s="36" t="str">
        <f t="shared" si="28"/>
        <v>Export of Natural gas liquids</v>
      </c>
      <c r="D66" s="36"/>
      <c r="E66" s="36" t="str">
        <f>Commodities!D15</f>
        <v>OILNGL</v>
      </c>
      <c r="F66" s="174">
        <f>F65</f>
        <v>5.9779999999999998</v>
      </c>
      <c r="G66" s="174">
        <f>'En.Bal-Primary-Transf.'!Y14/1000*41.868</f>
        <v>0</v>
      </c>
      <c r="H66" s="174">
        <f>G66</f>
        <v>0</v>
      </c>
      <c r="I66" s="174"/>
      <c r="J66" s="174"/>
      <c r="K66" s="174">
        <f t="shared" si="29"/>
        <v>0</v>
      </c>
      <c r="L66" s="174"/>
      <c r="M66" s="174"/>
      <c r="N66" s="174"/>
      <c r="O66" s="174"/>
      <c r="P66" s="174"/>
      <c r="Q66" s="175"/>
      <c r="AB66" s="32"/>
    </row>
    <row r="67" spans="2:28" ht="14.4" x14ac:dyDescent="0.3">
      <c r="B67" s="106" t="str">
        <f t="shared" ref="B67:B68" si="31">U30</f>
        <v>EXPOILKER_E01</v>
      </c>
      <c r="C67" s="36" t="str">
        <f t="shared" ref="C67:C68" si="32">V30</f>
        <v>Export of Kerosene</v>
      </c>
      <c r="D67" s="36"/>
      <c r="E67" s="36" t="str">
        <f>AC30</f>
        <v>OILKER</v>
      </c>
      <c r="F67" s="174">
        <f>F66</f>
        <v>5.9779999999999998</v>
      </c>
      <c r="G67" s="177">
        <f>'En.Bal-Primary-Transf.'!AI14/1000*41.868</f>
        <v>0</v>
      </c>
      <c r="H67" s="174"/>
      <c r="I67" s="174"/>
      <c r="J67" s="174"/>
      <c r="K67" s="174">
        <f t="shared" si="29"/>
        <v>0</v>
      </c>
      <c r="L67" s="174"/>
      <c r="M67" s="174"/>
      <c r="N67" s="174"/>
      <c r="O67" s="174"/>
      <c r="P67" s="174"/>
      <c r="Q67" s="175"/>
      <c r="AB67" s="32"/>
    </row>
    <row r="68" spans="2:28" ht="14.4" x14ac:dyDescent="0.3">
      <c r="B68" s="106" t="str">
        <f t="shared" si="31"/>
        <v>EXPOILLUB_E01</v>
      </c>
      <c r="C68" s="36" t="str">
        <f t="shared" si="32"/>
        <v>Export of Lubrificants</v>
      </c>
      <c r="D68" s="36"/>
      <c r="E68" s="36" t="str">
        <f>AC31</f>
        <v>OILLUB</v>
      </c>
      <c r="F68" s="174">
        <f>F67</f>
        <v>5.9779999999999998</v>
      </c>
      <c r="G68" s="177">
        <f>'En.Bal-Primary-Transf.'!AO14/1000*41.868</f>
        <v>0</v>
      </c>
      <c r="H68" s="174"/>
      <c r="I68" s="174"/>
      <c r="J68" s="174"/>
      <c r="K68" s="174">
        <f t="shared" si="29"/>
        <v>0</v>
      </c>
      <c r="L68" s="174"/>
      <c r="M68" s="174"/>
      <c r="N68" s="174"/>
      <c r="O68" s="174"/>
      <c r="P68" s="174"/>
      <c r="Q68" s="175"/>
      <c r="AB68" s="32"/>
    </row>
    <row r="69" spans="2:28" ht="14.4" x14ac:dyDescent="0.3">
      <c r="B69" s="110" t="str">
        <f t="shared" ref="B69" si="33">U32</f>
        <v>EXPOILBIT_E01</v>
      </c>
      <c r="C69" s="88" t="str">
        <f t="shared" ref="C69" si="34">V32</f>
        <v>Export of Bitumen</v>
      </c>
      <c r="D69" s="88"/>
      <c r="E69" s="88" t="str">
        <f>AC32</f>
        <v>OILBIT</v>
      </c>
      <c r="F69" s="178">
        <f>F68</f>
        <v>5.9779999999999998</v>
      </c>
      <c r="G69" s="179">
        <f>'En.Bal-Primary-Transf.'!AP14/1000*41.868</f>
        <v>0</v>
      </c>
      <c r="H69" s="88"/>
      <c r="I69" s="88"/>
      <c r="J69" s="88"/>
      <c r="K69" s="178">
        <f t="shared" si="29"/>
        <v>0</v>
      </c>
      <c r="L69" s="88"/>
      <c r="M69" s="88"/>
      <c r="N69" s="88"/>
      <c r="O69" s="88"/>
      <c r="P69" s="88"/>
      <c r="Q69" s="111"/>
      <c r="AB69" s="32"/>
    </row>
    <row r="70" spans="2:28" x14ac:dyDescent="0.25">
      <c r="AB70" s="32"/>
    </row>
    <row r="71" spans="2:28" x14ac:dyDescent="0.25">
      <c r="B71" s="64" t="s">
        <v>704</v>
      </c>
      <c r="AB71" s="32"/>
    </row>
    <row r="72" spans="2:28" x14ac:dyDescent="0.25">
      <c r="D72" s="137" t="s">
        <v>15</v>
      </c>
    </row>
    <row r="73" spans="2:28" x14ac:dyDescent="0.25">
      <c r="B73" s="71" t="s">
        <v>1</v>
      </c>
      <c r="C73" s="71" t="s">
        <v>45</v>
      </c>
      <c r="D73" s="71" t="s">
        <v>8</v>
      </c>
      <c r="E73" s="67" t="str">
        <f>"ACT_BND"</f>
        <v>ACT_BND</v>
      </c>
    </row>
    <row r="74" spans="2:28" ht="14.4" thickBot="1" x14ac:dyDescent="0.3">
      <c r="B74" s="69" t="s">
        <v>52</v>
      </c>
      <c r="C74" s="69" t="s">
        <v>27</v>
      </c>
      <c r="D74" s="69" t="s">
        <v>38</v>
      </c>
      <c r="E74" s="70" t="s">
        <v>109</v>
      </c>
    </row>
    <row r="75" spans="2:28" x14ac:dyDescent="0.25">
      <c r="B75" s="72"/>
      <c r="C75" s="72"/>
      <c r="D75" s="73" t="s">
        <v>101</v>
      </c>
      <c r="E75" s="73" t="str">
        <f>General!$D$13</f>
        <v>PJ/year</v>
      </c>
    </row>
    <row r="76" spans="2:28" x14ac:dyDescent="0.25">
      <c r="B76" s="103" t="str">
        <f t="shared" ref="B76:C82" si="35">U33</f>
        <v>SPRSTCKOILCRD</v>
      </c>
      <c r="C76" s="75" t="str">
        <f t="shared" si="35"/>
        <v>BY Stocks of Diesel</v>
      </c>
      <c r="D76" s="105" t="str">
        <f t="shared" ref="D76:D82" si="36">AC33</f>
        <v>OILCRD</v>
      </c>
      <c r="E76" s="150">
        <f>IF('En.Bal-Primary-Transf.'!$X$13&lt;0,0,'En.Bal-Primary-Transf.'!$X$13/1000*41.868)</f>
        <v>0</v>
      </c>
    </row>
    <row r="77" spans="2:28" x14ac:dyDescent="0.25">
      <c r="B77" s="106" t="str">
        <f t="shared" si="35"/>
        <v>SPRSTCKOILDSL</v>
      </c>
      <c r="C77" s="36" t="str">
        <f t="shared" si="35"/>
        <v>BY Stocks of Crude Oil</v>
      </c>
      <c r="D77" s="107" t="str">
        <f t="shared" si="36"/>
        <v>OILDSL</v>
      </c>
      <c r="E77" s="150">
        <f>IF('En.Bal-Primary-Transf.'!$AL$13&lt;0,0,'En.Bal-Primary-Transf.'!$AL$13/1000*41.868)</f>
        <v>0</v>
      </c>
    </row>
    <row r="78" spans="2:28" x14ac:dyDescent="0.25">
      <c r="B78" s="106" t="str">
        <f t="shared" si="35"/>
        <v>SPRSTCKOILGSL</v>
      </c>
      <c r="C78" s="36" t="str">
        <f t="shared" si="35"/>
        <v>BY Stocks of Gasoline</v>
      </c>
      <c r="D78" s="107" t="str">
        <f t="shared" si="36"/>
        <v>OILGSL</v>
      </c>
      <c r="E78" s="150">
        <f>IF('En.Bal-Primary-Transf.'!$AF$13&lt;0,0,'En.Bal-Primary-Transf.'!$AF$13/1000*41.868)</f>
        <v>0</v>
      </c>
    </row>
    <row r="79" spans="2:28" x14ac:dyDescent="0.25">
      <c r="B79" s="106" t="str">
        <f t="shared" si="35"/>
        <v>SPRSTCKOILLPG</v>
      </c>
      <c r="C79" s="36" t="str">
        <f t="shared" si="35"/>
        <v>BY Stocks of LPG</v>
      </c>
      <c r="D79" s="107" t="str">
        <f t="shared" si="36"/>
        <v>OILLPG</v>
      </c>
      <c r="E79" s="150">
        <f>IF('En.Bal-Primary-Transf.'!$AE$13&lt;0,0,'En.Bal-Primary-Transf.'!$AE$13/1000*41.868)</f>
        <v>0</v>
      </c>
    </row>
    <row r="80" spans="2:28" x14ac:dyDescent="0.25">
      <c r="B80" s="106" t="str">
        <f t="shared" si="35"/>
        <v>SPRSTCKOILHFO</v>
      </c>
      <c r="C80" s="36" t="str">
        <f t="shared" si="35"/>
        <v>BY Stocks of HFO</v>
      </c>
      <c r="D80" s="107" t="str">
        <f t="shared" si="36"/>
        <v>OILHFO</v>
      </c>
      <c r="E80" s="150">
        <f>IF('En.Bal-Primary-Transf.'!$AM$13&lt;0,0,'En.Bal-Primary-Transf.'!$AM$13/1000*41.868)</f>
        <v>0</v>
      </c>
    </row>
    <row r="81" spans="2:29" x14ac:dyDescent="0.25">
      <c r="B81" s="106" t="str">
        <f t="shared" si="35"/>
        <v>SPRSTCKOILKER</v>
      </c>
      <c r="C81" s="36" t="str">
        <f t="shared" si="35"/>
        <v>BY Stocks of Kerosene</v>
      </c>
      <c r="D81" s="107" t="str">
        <f t="shared" si="36"/>
        <v>OILKER</v>
      </c>
      <c r="E81" s="150">
        <f>IF('En.Bal-Primary-Transf.'!$AI$13&lt;0,0,'En.Bal-Primary-Transf.'!$AI$13/1000*41.868)</f>
        <v>0</v>
      </c>
    </row>
    <row r="82" spans="2:29" x14ac:dyDescent="0.25">
      <c r="B82" s="110" t="str">
        <f t="shared" si="35"/>
        <v>SPRSTCKOILPCK</v>
      </c>
      <c r="C82" s="88" t="str">
        <f t="shared" si="35"/>
        <v>BY Stocks of PetCoke</v>
      </c>
      <c r="D82" s="111" t="str">
        <f t="shared" si="36"/>
        <v>OILPCK</v>
      </c>
      <c r="E82" s="89">
        <f>IF('En.Bal-Primary-Transf.'!$AQ$13&lt;0,0,'En.Bal-Primary-Transf.'!$AQ$13/1000*41.868)</f>
        <v>0</v>
      </c>
    </row>
    <row r="87" spans="2:29" ht="16.5" customHeight="1" x14ac:dyDescent="0.25"/>
    <row r="90" spans="2:29" x14ac:dyDescent="0.25">
      <c r="Q90" s="35"/>
      <c r="R90" s="32"/>
      <c r="AA90" s="36"/>
      <c r="AB90" s="35"/>
      <c r="AC90" s="32"/>
    </row>
  </sheetData>
  <pageMargins left="0.75" right="0.75" top="1" bottom="1" header="0.5" footer="0.5"/>
  <pageSetup orientation="portrait" horizont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2:AH103"/>
  <sheetViews>
    <sheetView topLeftCell="B41" zoomScale="60" zoomScaleNormal="60" workbookViewId="0">
      <selection sqref="A1:XFD1048576"/>
    </sheetView>
  </sheetViews>
  <sheetFormatPr defaultColWidth="9.109375" defaultRowHeight="13.8" x14ac:dyDescent="0.25"/>
  <cols>
    <col min="1" max="1" width="5.88671875" style="32" customWidth="1"/>
    <col min="2" max="2" width="23.6640625" style="32" customWidth="1"/>
    <col min="3" max="3" width="31" style="32" customWidth="1"/>
    <col min="4" max="4" width="51.5546875" style="32" customWidth="1"/>
    <col min="5" max="5" width="17.6640625" style="32" bestFit="1" customWidth="1"/>
    <col min="6" max="6" width="20.6640625" style="32" customWidth="1"/>
    <col min="7" max="7" width="21.109375" style="32" bestFit="1" customWidth="1"/>
    <col min="8" max="8" width="26.6640625" style="32" bestFit="1" customWidth="1"/>
    <col min="9" max="9" width="25" style="32" bestFit="1" customWidth="1"/>
    <col min="10" max="10" width="29" style="32" customWidth="1"/>
    <col min="11" max="11" width="27.109375" style="32" bestFit="1" customWidth="1"/>
    <col min="12" max="12" width="24.5546875" style="32" customWidth="1"/>
    <col min="13" max="13" width="22" style="32" bestFit="1" customWidth="1"/>
    <col min="14" max="14" width="26.6640625" style="32" bestFit="1" customWidth="1"/>
    <col min="15" max="16" width="27.6640625" style="32" customWidth="1"/>
    <col min="17" max="17" width="25.88671875" style="32" customWidth="1"/>
    <col min="18" max="18" width="21.6640625" style="32" customWidth="1"/>
    <col min="19" max="19" width="34.6640625" style="32" bestFit="1" customWidth="1"/>
    <col min="20" max="20" width="62.109375" style="32" customWidth="1"/>
    <col min="21" max="23" width="25.33203125" style="32" customWidth="1"/>
    <col min="24" max="24" width="25.33203125" style="35" customWidth="1"/>
    <col min="25" max="25" width="28.6640625" style="32" customWidth="1"/>
    <col min="26" max="26" width="16" style="36" customWidth="1"/>
    <col min="27" max="27" width="26" style="32" customWidth="1"/>
    <col min="28" max="28" width="31.6640625" style="32" customWidth="1"/>
    <col min="29" max="33" width="9.109375" style="32"/>
    <col min="34" max="34" width="17.6640625" style="32" bestFit="1" customWidth="1"/>
    <col min="35" max="16384" width="9.109375" style="32"/>
  </cols>
  <sheetData>
    <row r="2" spans="1:34" ht="17.399999999999999" x14ac:dyDescent="0.3">
      <c r="B2" s="180" t="s">
        <v>1037</v>
      </c>
    </row>
    <row r="4" spans="1:34" x14ac:dyDescent="0.25">
      <c r="B4" s="32" t="s">
        <v>55</v>
      </c>
      <c r="F4" s="64"/>
      <c r="G4" s="64"/>
      <c r="H4" s="64"/>
      <c r="I4" s="64"/>
      <c r="J4" s="64"/>
      <c r="K4" s="64"/>
      <c r="L4" s="64"/>
      <c r="M4" s="64"/>
      <c r="N4" s="64"/>
      <c r="Q4" s="31"/>
      <c r="R4" s="31"/>
      <c r="S4" s="31"/>
      <c r="T4" s="31"/>
      <c r="U4" s="31"/>
      <c r="V4" s="31"/>
      <c r="W4" s="31"/>
      <c r="Y4" s="31"/>
      <c r="Z4" s="22"/>
    </row>
    <row r="5" spans="1:34" x14ac:dyDescent="0.25">
      <c r="B5" s="186" t="s">
        <v>127</v>
      </c>
      <c r="C5" s="18"/>
      <c r="D5" s="30"/>
      <c r="F5" s="18"/>
      <c r="G5" s="18"/>
      <c r="H5" s="187">
        <v>0.1</v>
      </c>
      <c r="I5" s="18"/>
      <c r="J5" s="64"/>
      <c r="K5" s="64"/>
      <c r="L5" s="18"/>
      <c r="M5" s="18"/>
      <c r="Q5" s="62" t="s">
        <v>42</v>
      </c>
      <c r="R5" s="62"/>
      <c r="S5" s="31"/>
      <c r="T5" s="31"/>
      <c r="U5" s="31"/>
      <c r="V5" s="31"/>
      <c r="W5" s="31"/>
      <c r="Y5" s="31"/>
      <c r="Z5" s="22"/>
      <c r="AA5" s="62"/>
      <c r="AB5" s="62"/>
      <c r="AC5" s="62"/>
      <c r="AD5" s="62"/>
      <c r="AE5" s="62"/>
      <c r="AF5" s="62"/>
      <c r="AG5" s="62"/>
    </row>
    <row r="6" spans="1:34" x14ac:dyDescent="0.25">
      <c r="B6" s="188"/>
      <c r="C6" s="75"/>
      <c r="D6" s="75"/>
      <c r="E6" s="231" t="s">
        <v>15</v>
      </c>
      <c r="F6" s="231"/>
      <c r="G6" s="231"/>
      <c r="H6" s="140"/>
      <c r="I6" s="137"/>
      <c r="J6" s="64"/>
      <c r="K6" s="64"/>
      <c r="L6" s="137"/>
      <c r="M6" s="137"/>
      <c r="N6" s="137"/>
      <c r="O6" s="137"/>
      <c r="P6" s="137"/>
      <c r="Q6" s="136" t="s">
        <v>20</v>
      </c>
      <c r="R6" s="136"/>
      <c r="S6" s="31"/>
      <c r="T6" s="31"/>
      <c r="U6" s="31"/>
      <c r="V6" s="31"/>
      <c r="W6" s="31"/>
      <c r="Y6" s="31"/>
      <c r="Z6" s="22"/>
      <c r="AA6" s="62"/>
      <c r="AB6" s="62"/>
      <c r="AC6" s="62"/>
      <c r="AD6" s="62"/>
      <c r="AE6" s="62"/>
      <c r="AF6" s="62"/>
      <c r="AG6" s="62"/>
      <c r="AH6" s="62"/>
    </row>
    <row r="7" spans="1:34" ht="19.5" customHeight="1" x14ac:dyDescent="0.25">
      <c r="B7" s="92" t="s">
        <v>35</v>
      </c>
      <c r="C7" s="71" t="s">
        <v>1</v>
      </c>
      <c r="D7" s="71" t="s">
        <v>45</v>
      </c>
      <c r="E7" s="71" t="s">
        <v>8</v>
      </c>
      <c r="F7" s="141" t="s">
        <v>46</v>
      </c>
      <c r="G7" s="142" t="s">
        <v>47</v>
      </c>
      <c r="H7" s="67" t="str">
        <f>"ACT_BND"</f>
        <v>ACT_BND</v>
      </c>
      <c r="I7" s="67" t="str">
        <f>"ACT_BND~UP~2050"</f>
        <v>ACT_BND~UP~2050</v>
      </c>
      <c r="J7" s="64"/>
      <c r="K7" s="64"/>
      <c r="L7" s="137"/>
      <c r="M7" s="137"/>
      <c r="N7" s="137"/>
      <c r="O7" s="137"/>
      <c r="P7" s="137"/>
      <c r="Q7" s="63" t="s">
        <v>13</v>
      </c>
      <c r="R7" s="63" t="s">
        <v>35</v>
      </c>
      <c r="S7" s="63" t="s">
        <v>1</v>
      </c>
      <c r="T7" s="63" t="s">
        <v>2</v>
      </c>
      <c r="U7" s="63" t="s">
        <v>21</v>
      </c>
      <c r="V7" s="63" t="s">
        <v>22</v>
      </c>
      <c r="W7" s="63" t="s">
        <v>23</v>
      </c>
      <c r="X7" s="143" t="s">
        <v>24</v>
      </c>
      <c r="Y7" s="63" t="s">
        <v>25</v>
      </c>
      <c r="Z7" s="23"/>
    </row>
    <row r="8" spans="1:34" ht="31.5" customHeight="1" thickBot="1" x14ac:dyDescent="0.3">
      <c r="B8" s="189" t="s">
        <v>107</v>
      </c>
      <c r="C8" s="69" t="s">
        <v>52</v>
      </c>
      <c r="D8" s="69" t="s">
        <v>27</v>
      </c>
      <c r="E8" s="69" t="s">
        <v>38</v>
      </c>
      <c r="F8" s="96" t="s">
        <v>48</v>
      </c>
      <c r="G8" s="144" t="s">
        <v>630</v>
      </c>
      <c r="H8" s="70" t="s">
        <v>109</v>
      </c>
      <c r="I8" s="70" t="s">
        <v>109</v>
      </c>
      <c r="J8" s="64"/>
      <c r="K8" s="64"/>
      <c r="L8" s="137"/>
      <c r="M8" s="137"/>
      <c r="N8" s="137"/>
      <c r="O8" s="137"/>
      <c r="P8" s="137"/>
      <c r="Q8" s="190" t="s">
        <v>51</v>
      </c>
      <c r="R8" s="190" t="s">
        <v>36</v>
      </c>
      <c r="S8" s="190" t="s">
        <v>26</v>
      </c>
      <c r="T8" s="190" t="s">
        <v>27</v>
      </c>
      <c r="U8" s="190" t="s">
        <v>28</v>
      </c>
      <c r="V8" s="190" t="s">
        <v>29</v>
      </c>
      <c r="W8" s="190" t="s">
        <v>57</v>
      </c>
      <c r="X8" s="191" t="s">
        <v>56</v>
      </c>
      <c r="Y8" s="190" t="s">
        <v>30</v>
      </c>
      <c r="Z8" s="24"/>
    </row>
    <row r="9" spans="1:34" x14ac:dyDescent="0.25">
      <c r="B9" s="146" t="s">
        <v>108</v>
      </c>
      <c r="C9" s="72"/>
      <c r="D9" s="72"/>
      <c r="E9" s="192"/>
      <c r="F9" s="74" t="s">
        <v>575</v>
      </c>
      <c r="G9" s="147" t="s">
        <v>576</v>
      </c>
      <c r="H9" s="73" t="str">
        <f>General!$D$13</f>
        <v>PJ/year</v>
      </c>
      <c r="I9" s="73" t="str">
        <f>General!$D$13</f>
        <v>PJ/year</v>
      </c>
      <c r="J9" s="64"/>
      <c r="K9" s="64"/>
      <c r="L9" s="18"/>
      <c r="M9" s="18"/>
      <c r="Q9" s="36" t="str">
        <f>IF(R9="*","*","MIN")</f>
        <v>MIN</v>
      </c>
      <c r="R9" s="36"/>
      <c r="S9" s="36" t="s">
        <v>905</v>
      </c>
      <c r="T9" s="36" t="s">
        <v>906</v>
      </c>
      <c r="U9" s="49" t="str">
        <f>General!$B$2</f>
        <v>PJ</v>
      </c>
      <c r="V9" s="49" t="str">
        <f>General!$B$2&amp;"a"</f>
        <v>PJa</v>
      </c>
      <c r="W9" s="49"/>
      <c r="X9" s="49"/>
      <c r="Y9" s="36"/>
    </row>
    <row r="10" spans="1:34" x14ac:dyDescent="0.25">
      <c r="B10" s="106"/>
      <c r="C10" s="36" t="str">
        <f t="shared" ref="C10:D10" si="0">S9</f>
        <v>MINRSVGASNAT1</v>
      </c>
      <c r="D10" s="36" t="str">
        <f t="shared" si="0"/>
        <v>Natural Gas Reserves step1</v>
      </c>
      <c r="E10" s="104" t="str">
        <f>Commodities!D63</f>
        <v>RSVGASNAT</v>
      </c>
      <c r="F10" s="193"/>
      <c r="G10" s="194"/>
      <c r="H10" s="195"/>
      <c r="I10" s="196"/>
      <c r="J10" s="64"/>
      <c r="K10" s="64"/>
      <c r="L10" s="137"/>
      <c r="M10" s="137"/>
      <c r="N10" s="137"/>
      <c r="O10" s="137"/>
      <c r="P10" s="137"/>
      <c r="Q10" s="36"/>
      <c r="R10" s="36"/>
      <c r="S10" s="36" t="s">
        <v>909</v>
      </c>
      <c r="T10" s="36" t="s">
        <v>907</v>
      </c>
      <c r="U10" s="49" t="str">
        <f>General!$B$2</f>
        <v>PJ</v>
      </c>
      <c r="V10" s="49" t="str">
        <f>General!$B$2&amp;"a"</f>
        <v>PJa</v>
      </c>
      <c r="W10" s="49"/>
      <c r="X10" s="49"/>
      <c r="Y10" s="36"/>
    </row>
    <row r="11" spans="1:34" x14ac:dyDescent="0.25">
      <c r="A11" s="137"/>
      <c r="B11" s="106"/>
      <c r="C11" s="36" t="str">
        <f t="shared" ref="C11:C12" si="1">S10</f>
        <v>MINRSVGASNAT2</v>
      </c>
      <c r="D11" s="36" t="str">
        <f t="shared" ref="D11:D15" si="2">T10</f>
        <v>Natural Gas Reserves step2</v>
      </c>
      <c r="E11" s="36" t="str">
        <f>E10</f>
        <v>RSVGASNAT</v>
      </c>
      <c r="F11" s="194"/>
      <c r="G11" s="194"/>
      <c r="H11" s="194"/>
      <c r="I11" s="194"/>
      <c r="J11" s="137"/>
      <c r="K11" s="137"/>
      <c r="L11" s="18"/>
      <c r="M11" s="18"/>
      <c r="Q11" s="36"/>
      <c r="R11" s="36"/>
      <c r="S11" s="36" t="s">
        <v>910</v>
      </c>
      <c r="T11" s="36" t="s">
        <v>908</v>
      </c>
      <c r="U11" s="49" t="str">
        <f>General!$B$2</f>
        <v>PJ</v>
      </c>
      <c r="V11" s="49" t="str">
        <f>General!$B$2&amp;"a"</f>
        <v>PJa</v>
      </c>
      <c r="W11" s="49"/>
      <c r="X11" s="49"/>
      <c r="Y11" s="36"/>
    </row>
    <row r="12" spans="1:34" x14ac:dyDescent="0.25">
      <c r="A12" s="137"/>
      <c r="B12" s="106"/>
      <c r="C12" s="36" t="str">
        <f t="shared" si="1"/>
        <v>MINRSVGASNAT3</v>
      </c>
      <c r="D12" s="36" t="str">
        <f t="shared" si="2"/>
        <v>Natural Gas Reserves step3</v>
      </c>
      <c r="E12" s="36" t="str">
        <f>E11</f>
        <v>RSVGASNAT</v>
      </c>
      <c r="F12" s="194"/>
      <c r="G12" s="194"/>
      <c r="H12" s="194"/>
      <c r="I12" s="194"/>
      <c r="J12" s="137"/>
      <c r="K12" s="137"/>
      <c r="L12" s="18"/>
      <c r="M12" s="18"/>
      <c r="Q12" s="36"/>
      <c r="R12" s="36"/>
      <c r="S12" s="36" t="str">
        <f>"MIN"&amp;Commodities!D176&amp;1</f>
        <v>MINRSVGASNAA1</v>
      </c>
      <c r="T12" s="36" t="s">
        <v>912</v>
      </c>
      <c r="U12" s="49" t="str">
        <f>General!$B$2</f>
        <v>PJ</v>
      </c>
      <c r="V12" s="49" t="str">
        <f>General!$B$2&amp;"a"</f>
        <v>PJa</v>
      </c>
      <c r="W12" s="49"/>
      <c r="X12" s="49"/>
      <c r="Y12" s="36"/>
    </row>
    <row r="13" spans="1:34" x14ac:dyDescent="0.25">
      <c r="A13" s="137"/>
      <c r="B13" s="106"/>
      <c r="C13" s="36" t="str">
        <f>S12</f>
        <v>MINRSVGASNAA1</v>
      </c>
      <c r="D13" s="36" t="str">
        <f t="shared" si="2"/>
        <v>Associated Natural Gas Reserves step1</v>
      </c>
      <c r="E13" s="36" t="str">
        <f>Commodities!D176</f>
        <v>RSVGASNAA</v>
      </c>
      <c r="F13" s="194"/>
      <c r="G13" s="194"/>
      <c r="H13" s="194"/>
      <c r="I13" s="194"/>
      <c r="J13" s="137"/>
      <c r="K13" s="137"/>
      <c r="L13" s="18"/>
      <c r="M13" s="18"/>
      <c r="Q13" s="36"/>
      <c r="R13" s="36"/>
      <c r="S13" s="36" t="str">
        <f>"MIN"&amp;Commodities!D176&amp;2</f>
        <v>MINRSVGASNAA2</v>
      </c>
      <c r="T13" s="36" t="s">
        <v>913</v>
      </c>
      <c r="U13" s="49" t="str">
        <f>General!$B$2</f>
        <v>PJ</v>
      </c>
      <c r="V13" s="49" t="str">
        <f>General!$B$2&amp;"a"</f>
        <v>PJa</v>
      </c>
      <c r="W13" s="49"/>
      <c r="X13" s="49"/>
      <c r="Y13" s="36"/>
    </row>
    <row r="14" spans="1:34" x14ac:dyDescent="0.25">
      <c r="A14" s="137"/>
      <c r="B14" s="106"/>
      <c r="C14" s="36" t="str">
        <f t="shared" ref="C14:C15" si="3">S13</f>
        <v>MINRSVGASNAA2</v>
      </c>
      <c r="D14" s="36" t="str">
        <f t="shared" si="2"/>
        <v>Associated Natural Gas Reserves step2</v>
      </c>
      <c r="E14" s="36" t="str">
        <f>E13</f>
        <v>RSVGASNAA</v>
      </c>
      <c r="F14" s="194"/>
      <c r="G14" s="194"/>
      <c r="H14" s="194"/>
      <c r="I14" s="194"/>
      <c r="J14" s="137"/>
      <c r="K14" s="137"/>
      <c r="L14" s="18"/>
      <c r="M14" s="18"/>
      <c r="Q14" s="36"/>
      <c r="R14" s="36"/>
      <c r="S14" s="36" t="str">
        <f>"MIN"&amp;Commodities!D176&amp;3</f>
        <v>MINRSVGASNAA3</v>
      </c>
      <c r="T14" s="36" t="s">
        <v>914</v>
      </c>
      <c r="U14" s="49" t="str">
        <f>General!$B$2</f>
        <v>PJ</v>
      </c>
      <c r="V14" s="49" t="str">
        <f>General!$B$2&amp;"a"</f>
        <v>PJa</v>
      </c>
      <c r="W14" s="49"/>
      <c r="X14" s="49"/>
      <c r="Y14" s="36"/>
    </row>
    <row r="15" spans="1:34" x14ac:dyDescent="0.25">
      <c r="A15" s="137"/>
      <c r="B15" s="110"/>
      <c r="C15" s="88" t="str">
        <f t="shared" si="3"/>
        <v>MINRSVGASNAA3</v>
      </c>
      <c r="D15" s="88" t="str">
        <f t="shared" si="2"/>
        <v>Associated Natural Gas Reserves step3</v>
      </c>
      <c r="E15" s="88" t="str">
        <f>E14</f>
        <v>RSVGASNAA</v>
      </c>
      <c r="F15" s="197"/>
      <c r="G15" s="197"/>
      <c r="H15" s="197"/>
      <c r="I15" s="197"/>
      <c r="J15" s="137"/>
      <c r="K15" s="137"/>
      <c r="L15" s="137"/>
      <c r="M15" s="137"/>
      <c r="N15" s="137"/>
      <c r="O15" s="137"/>
      <c r="P15" s="137"/>
      <c r="Q15" s="36" t="s">
        <v>111</v>
      </c>
      <c r="R15" s="36"/>
      <c r="S15" s="36" t="s">
        <v>814</v>
      </c>
      <c r="T15" s="36" t="s">
        <v>809</v>
      </c>
      <c r="U15" s="49" t="str">
        <f>General!$B$2</f>
        <v>PJ</v>
      </c>
      <c r="V15" s="49" t="str">
        <f>General!$B$2&amp;"a"</f>
        <v>PJa</v>
      </c>
      <c r="W15" s="49" t="s">
        <v>547</v>
      </c>
      <c r="X15" s="49"/>
      <c r="Y15" s="36"/>
    </row>
    <row r="16" spans="1:34" x14ac:dyDescent="0.25">
      <c r="A16" s="137"/>
      <c r="B16" s="137"/>
      <c r="C16" s="137"/>
      <c r="D16" s="137"/>
      <c r="E16" s="137"/>
      <c r="F16" s="137"/>
      <c r="G16" s="137"/>
      <c r="H16" s="137"/>
      <c r="I16" s="137"/>
      <c r="J16" s="137"/>
      <c r="K16" s="137"/>
      <c r="L16" s="137"/>
      <c r="M16" s="137"/>
      <c r="N16" s="137"/>
      <c r="O16" s="137"/>
      <c r="P16" s="137"/>
      <c r="Q16" s="36" t="s">
        <v>111</v>
      </c>
      <c r="R16" s="36"/>
      <c r="S16" s="36" t="s">
        <v>915</v>
      </c>
      <c r="T16" s="36" t="s">
        <v>916</v>
      </c>
      <c r="U16" s="49" t="str">
        <f>General!$B$2</f>
        <v>PJ</v>
      </c>
      <c r="V16" s="49" t="str">
        <f>General!$B$2&amp;"a"</f>
        <v>PJa</v>
      </c>
      <c r="W16" s="49" t="s">
        <v>547</v>
      </c>
      <c r="X16" s="49"/>
      <c r="Y16" s="36"/>
    </row>
    <row r="17" spans="1:25" x14ac:dyDescent="0.25">
      <c r="J17" s="137"/>
      <c r="K17" s="137"/>
      <c r="Q17" s="36" t="s">
        <v>115</v>
      </c>
      <c r="R17" s="36"/>
      <c r="S17" s="36" t="s">
        <v>917</v>
      </c>
      <c r="T17" s="36" t="s">
        <v>918</v>
      </c>
      <c r="U17" s="49" t="str">
        <f>General!$B$2</f>
        <v>PJ</v>
      </c>
      <c r="V17" s="49" t="str">
        <f>General!$B$2&amp;"a"</f>
        <v>PJa</v>
      </c>
      <c r="W17" s="49" t="s">
        <v>547</v>
      </c>
      <c r="X17" s="49"/>
      <c r="Y17" s="36"/>
    </row>
    <row r="18" spans="1:25" x14ac:dyDescent="0.25">
      <c r="B18" s="18" t="s">
        <v>110</v>
      </c>
      <c r="C18" s="36"/>
      <c r="D18" s="36"/>
      <c r="E18" s="36"/>
      <c r="F18" s="36"/>
      <c r="G18" s="36"/>
      <c r="H18" s="36"/>
      <c r="I18" s="36"/>
      <c r="J18" s="138"/>
      <c r="K18" s="138"/>
      <c r="L18" s="36"/>
      <c r="M18" s="36"/>
      <c r="Q18" s="36" t="s">
        <v>111</v>
      </c>
      <c r="R18" s="36"/>
      <c r="S18" s="36" t="s">
        <v>815</v>
      </c>
      <c r="T18" s="36" t="s">
        <v>810</v>
      </c>
      <c r="U18" s="49" t="str">
        <f>General!$B$2</f>
        <v>PJ</v>
      </c>
      <c r="V18" s="49" t="str">
        <f>General!$B$2&amp;"a"</f>
        <v>PJa</v>
      </c>
      <c r="W18" s="49" t="s">
        <v>547</v>
      </c>
      <c r="X18" s="49"/>
      <c r="Y18" s="36"/>
    </row>
    <row r="19" spans="1:25" x14ac:dyDescent="0.25">
      <c r="B19" s="18"/>
      <c r="C19" s="36"/>
      <c r="D19" s="36"/>
      <c r="E19" s="36"/>
      <c r="F19" s="36"/>
      <c r="G19" s="138" t="s">
        <v>15</v>
      </c>
      <c r="H19" s="36"/>
      <c r="I19" s="36"/>
      <c r="J19" s="138"/>
      <c r="K19" s="138"/>
      <c r="L19" s="36"/>
      <c r="M19" s="36"/>
      <c r="Q19" s="36"/>
      <c r="R19" s="36"/>
      <c r="S19" s="36" t="s">
        <v>816</v>
      </c>
      <c r="T19" s="36" t="s">
        <v>811</v>
      </c>
      <c r="U19" s="49" t="str">
        <f>General!$B$2</f>
        <v>PJ</v>
      </c>
      <c r="V19" s="49" t="str">
        <f>General!$B$2&amp;"a"</f>
        <v>PJa</v>
      </c>
      <c r="W19" s="49" t="s">
        <v>547</v>
      </c>
      <c r="X19" s="49"/>
      <c r="Y19" s="36"/>
    </row>
    <row r="20" spans="1:25" ht="16.5" customHeight="1" x14ac:dyDescent="0.25">
      <c r="B20" s="116" t="s">
        <v>35</v>
      </c>
      <c r="C20" s="117" t="s">
        <v>1</v>
      </c>
      <c r="D20" s="117" t="s">
        <v>45</v>
      </c>
      <c r="E20" s="117" t="s">
        <v>7</v>
      </c>
      <c r="F20" s="71" t="s">
        <v>542</v>
      </c>
      <c r="G20" s="118" t="s">
        <v>8</v>
      </c>
      <c r="H20" s="94" t="s">
        <v>119</v>
      </c>
      <c r="I20" s="94" t="s">
        <v>17</v>
      </c>
      <c r="J20" s="119" t="s">
        <v>673</v>
      </c>
      <c r="K20" s="119" t="s">
        <v>674</v>
      </c>
      <c r="L20" s="119" t="s">
        <v>120</v>
      </c>
      <c r="M20" s="119" t="s">
        <v>18</v>
      </c>
      <c r="N20" s="119" t="s">
        <v>125</v>
      </c>
      <c r="O20" s="95" t="s">
        <v>543</v>
      </c>
      <c r="Q20" s="36"/>
      <c r="R20" s="36"/>
      <c r="S20" s="36" t="s">
        <v>817</v>
      </c>
      <c r="T20" s="36" t="s">
        <v>812</v>
      </c>
      <c r="U20" s="49" t="str">
        <f>General!$B$2</f>
        <v>PJ</v>
      </c>
      <c r="V20" s="49" t="str">
        <f>General!$B$2&amp;"a"</f>
        <v>PJa</v>
      </c>
      <c r="W20" s="49" t="s">
        <v>547</v>
      </c>
      <c r="X20" s="49"/>
      <c r="Y20" s="36"/>
    </row>
    <row r="21" spans="1:25" ht="19.5" customHeight="1" thickBot="1" x14ac:dyDescent="0.3">
      <c r="B21" s="189" t="s">
        <v>107</v>
      </c>
      <c r="C21" s="69" t="s">
        <v>26</v>
      </c>
      <c r="D21" s="69" t="s">
        <v>27</v>
      </c>
      <c r="E21" s="69" t="s">
        <v>37</v>
      </c>
      <c r="F21" s="97" t="s">
        <v>629</v>
      </c>
      <c r="G21" s="70" t="s">
        <v>38</v>
      </c>
      <c r="H21" s="101" t="s">
        <v>112</v>
      </c>
      <c r="I21" s="154" t="s">
        <v>39</v>
      </c>
      <c r="J21" s="154" t="s">
        <v>582</v>
      </c>
      <c r="K21" s="154" t="s">
        <v>582</v>
      </c>
      <c r="L21" s="101" t="s">
        <v>40</v>
      </c>
      <c r="M21" s="101" t="s">
        <v>41</v>
      </c>
      <c r="N21" s="101" t="s">
        <v>124</v>
      </c>
      <c r="O21" s="102" t="s">
        <v>715</v>
      </c>
      <c r="Q21" s="36" t="str">
        <f>IF(R21="*","*","MIN")</f>
        <v>MIN</v>
      </c>
      <c r="R21" s="36"/>
      <c r="S21" s="36" t="s">
        <v>818</v>
      </c>
      <c r="T21" s="36" t="s">
        <v>813</v>
      </c>
      <c r="U21" s="49" t="str">
        <f>General!$B$2</f>
        <v>PJ</v>
      </c>
      <c r="V21" s="49" t="str">
        <f>General!$B$2&amp;"a"</f>
        <v>PJa</v>
      </c>
      <c r="W21" s="49"/>
      <c r="X21" s="49"/>
      <c r="Y21" s="36"/>
    </row>
    <row r="22" spans="1:25" x14ac:dyDescent="0.25">
      <c r="B22" s="98" t="s">
        <v>108</v>
      </c>
      <c r="C22" s="198"/>
      <c r="D22" s="99"/>
      <c r="E22" s="74" t="s">
        <v>101</v>
      </c>
      <c r="F22" s="74"/>
      <c r="G22" s="73"/>
      <c r="H22" s="153"/>
      <c r="I22" s="128" t="s">
        <v>556</v>
      </c>
      <c r="J22" s="128" t="s">
        <v>583</v>
      </c>
      <c r="K22" s="128" t="s">
        <v>583</v>
      </c>
      <c r="L22" s="123" t="str">
        <f>General!$D$13</f>
        <v>PJ/year</v>
      </c>
      <c r="M22" s="123" t="s">
        <v>556</v>
      </c>
      <c r="N22" s="123"/>
      <c r="O22" s="127" t="str">
        <f>General!$E$14</f>
        <v>M$/PJ/a</v>
      </c>
      <c r="Q22" s="36" t="s">
        <v>111</v>
      </c>
      <c r="R22" s="36"/>
      <c r="S22" s="36" t="s">
        <v>929</v>
      </c>
      <c r="T22" s="36" t="s">
        <v>928</v>
      </c>
      <c r="U22" s="49" t="str">
        <f>General!$B$2</f>
        <v>PJ</v>
      </c>
      <c r="V22" s="49" t="str">
        <f>General!$B$2&amp;"a"</f>
        <v>PJa</v>
      </c>
      <c r="W22" s="49"/>
      <c r="X22" s="49"/>
      <c r="Y22" s="36"/>
    </row>
    <row r="23" spans="1:25" x14ac:dyDescent="0.25">
      <c r="B23" s="103"/>
      <c r="C23" s="75" t="str">
        <f>S15</f>
        <v>SPRGASNAT_EXTR</v>
      </c>
      <c r="D23" s="75" t="str">
        <f>T15</f>
        <v>Extraction &amp; Processing of Natural Gas</v>
      </c>
      <c r="E23" s="36" t="str">
        <f>Commodities!D63</f>
        <v>RSVGASNAT</v>
      </c>
      <c r="F23" s="36"/>
      <c r="G23" s="112"/>
      <c r="H23" s="19"/>
      <c r="I23" s="52">
        <v>1</v>
      </c>
      <c r="L23" s="19">
        <f>'En.Bal-Primary-Transf.'!AU4/1000*41.868*1.1-U83-V83</f>
        <v>2183.1590679999999</v>
      </c>
      <c r="M23" s="49">
        <v>1</v>
      </c>
      <c r="N23" s="49">
        <v>50</v>
      </c>
      <c r="O23" s="50">
        <v>1</v>
      </c>
      <c r="Q23" s="36" t="s">
        <v>118</v>
      </c>
      <c r="R23" s="36"/>
      <c r="S23" s="36" t="s">
        <v>943</v>
      </c>
      <c r="T23" s="36" t="s">
        <v>944</v>
      </c>
      <c r="U23" s="49" t="str">
        <f>General!$B$2</f>
        <v>PJ</v>
      </c>
      <c r="V23" s="49" t="str">
        <f>General!$B$2&amp;"a"</f>
        <v>PJa</v>
      </c>
      <c r="W23" s="49" t="s">
        <v>547</v>
      </c>
      <c r="X23" s="49"/>
      <c r="Y23" s="36"/>
    </row>
    <row r="24" spans="1:25" x14ac:dyDescent="0.25">
      <c r="B24" s="106" t="s">
        <v>108</v>
      </c>
      <c r="C24" s="36"/>
      <c r="D24" s="36"/>
      <c r="E24" s="36"/>
      <c r="F24" s="36" t="str">
        <f>Commodities!D109</f>
        <v>SUPELC</v>
      </c>
      <c r="G24" s="113"/>
      <c r="H24" s="131"/>
      <c r="I24" s="35"/>
      <c r="L24" s="49"/>
      <c r="M24" s="49"/>
      <c r="N24" s="49"/>
      <c r="O24" s="107"/>
      <c r="S24" s="36" t="s">
        <v>1023</v>
      </c>
      <c r="T24" s="36" t="s">
        <v>1022</v>
      </c>
      <c r="U24" s="49" t="str">
        <f>General!$B$2</f>
        <v>PJ</v>
      </c>
      <c r="V24" s="49" t="str">
        <f>General!$B$2&amp;"a"</f>
        <v>PJa</v>
      </c>
      <c r="W24" s="49" t="s">
        <v>547</v>
      </c>
      <c r="X24" s="49"/>
      <c r="Y24" s="36"/>
    </row>
    <row r="25" spans="1:25" x14ac:dyDescent="0.25">
      <c r="B25" s="106"/>
      <c r="C25" s="36"/>
      <c r="D25" s="36"/>
      <c r="E25" s="36"/>
      <c r="F25" s="36" t="str">
        <f>Commodities!$D$88</f>
        <v>SUPGASNAT</v>
      </c>
      <c r="G25" s="113"/>
      <c r="H25" s="131">
        <f>'En.Bal-Primary-Transf.'!AU120/5*4/'En.Bal-Primary-Transf.'!AU4</f>
        <v>2.1964612568639415E-2</v>
      </c>
      <c r="I25" s="35"/>
      <c r="L25" s="36"/>
      <c r="M25" s="36"/>
      <c r="N25" s="36"/>
      <c r="O25" s="107"/>
    </row>
    <row r="26" spans="1:25" x14ac:dyDescent="0.25">
      <c r="B26" s="106"/>
      <c r="C26" s="36"/>
      <c r="D26" s="36"/>
      <c r="E26" s="36"/>
      <c r="F26" s="36" t="str">
        <f>Commodities!$D$110</f>
        <v>SUPHTH</v>
      </c>
      <c r="G26" s="113"/>
      <c r="H26" s="131">
        <f>'En.Bal-Primary-Transf.'!BW120/4*1/'En.Bal-Primary-Transf.'!AU4</f>
        <v>0</v>
      </c>
      <c r="I26" s="35"/>
      <c r="L26" s="36"/>
      <c r="M26" s="36"/>
      <c r="N26" s="36"/>
      <c r="O26" s="107"/>
    </row>
    <row r="27" spans="1:25" x14ac:dyDescent="0.25">
      <c r="B27" s="106"/>
      <c r="C27" s="36"/>
      <c r="D27" s="36"/>
      <c r="E27" s="36"/>
      <c r="F27" s="36"/>
      <c r="G27" s="113" t="str">
        <f>Commodities!D179</f>
        <v>PTEGASNAT1</v>
      </c>
      <c r="H27" s="19"/>
      <c r="I27" s="35"/>
      <c r="J27" s="199">
        <v>1</v>
      </c>
      <c r="K27" s="199"/>
      <c r="L27" s="36"/>
      <c r="M27" s="36"/>
      <c r="N27" s="36"/>
      <c r="O27" s="107"/>
    </row>
    <row r="28" spans="1:25" x14ac:dyDescent="0.25">
      <c r="B28" s="106"/>
      <c r="C28" s="36"/>
      <c r="D28" s="36"/>
      <c r="E28" s="36"/>
      <c r="F28" s="36"/>
      <c r="G28" s="113" t="str">
        <f>Commodities!D180</f>
        <v>PTEGASNAT2</v>
      </c>
      <c r="H28" s="19"/>
      <c r="I28" s="35"/>
      <c r="J28" s="199">
        <v>1</v>
      </c>
      <c r="K28" s="199"/>
      <c r="L28" s="36"/>
      <c r="M28" s="36"/>
      <c r="N28" s="36"/>
      <c r="O28" s="107"/>
    </row>
    <row r="29" spans="1:25" x14ac:dyDescent="0.25">
      <c r="B29" s="110"/>
      <c r="C29" s="88"/>
      <c r="D29" s="88"/>
      <c r="E29" s="88"/>
      <c r="F29" s="88"/>
      <c r="G29" s="114" t="str">
        <f>Commodities!$D$62</f>
        <v>PITGASNAT</v>
      </c>
      <c r="H29" s="88"/>
      <c r="I29" s="135"/>
      <c r="J29" s="170">
        <v>1</v>
      </c>
      <c r="K29" s="170"/>
      <c r="L29" s="88"/>
      <c r="M29" s="88"/>
      <c r="N29" s="88"/>
      <c r="O29" s="111"/>
    </row>
    <row r="30" spans="1:25" x14ac:dyDescent="0.25">
      <c r="A30" s="36"/>
      <c r="B30" s="106"/>
      <c r="C30" s="36" t="str">
        <f>S16</f>
        <v>SPRGASNAA_EXTR</v>
      </c>
      <c r="D30" s="36" t="str">
        <f>T16</f>
        <v>Extraction &amp; Processing of Associated Natural Gas</v>
      </c>
      <c r="E30" s="36" t="str">
        <f>E13</f>
        <v>RSVGASNAA</v>
      </c>
      <c r="F30" s="36"/>
      <c r="G30" s="113"/>
      <c r="H30" s="19"/>
      <c r="I30" s="199">
        <v>1</v>
      </c>
      <c r="L30" s="36"/>
      <c r="M30" s="36">
        <v>1</v>
      </c>
      <c r="N30" s="36"/>
      <c r="O30" s="107"/>
    </row>
    <row r="31" spans="1:25" x14ac:dyDescent="0.25">
      <c r="A31" s="36"/>
      <c r="B31" s="106"/>
      <c r="C31" s="36"/>
      <c r="D31" s="36"/>
      <c r="E31" s="36"/>
      <c r="F31" s="36"/>
      <c r="G31" s="113" t="str">
        <f>Commodities!D177</f>
        <v>GASFLR</v>
      </c>
      <c r="H31" s="19"/>
      <c r="J31" s="35"/>
      <c r="K31" s="232">
        <v>5.0000000000000002E-5</v>
      </c>
      <c r="L31" s="36"/>
      <c r="M31" s="36"/>
      <c r="N31" s="36"/>
      <c r="O31" s="107"/>
      <c r="Q31" s="200"/>
    </row>
    <row r="32" spans="1:25" x14ac:dyDescent="0.25">
      <c r="A32" s="36"/>
      <c r="B32" s="106"/>
      <c r="C32" s="36"/>
      <c r="D32" s="36"/>
      <c r="E32" s="36"/>
      <c r="F32" s="36"/>
      <c r="G32" s="113" t="str">
        <f>Commodities!D21</f>
        <v>OILLPG</v>
      </c>
      <c r="H32" s="19"/>
      <c r="J32" s="233">
        <v>2.5000000000000001E-2</v>
      </c>
      <c r="K32" s="233">
        <v>0</v>
      </c>
      <c r="L32" s="36"/>
      <c r="M32" s="36"/>
      <c r="N32" s="36"/>
      <c r="O32" s="107"/>
      <c r="P32" s="36"/>
    </row>
    <row r="33" spans="1:16" x14ac:dyDescent="0.25">
      <c r="A33" s="36"/>
      <c r="B33" s="106"/>
      <c r="C33" s="36"/>
      <c r="D33" s="36"/>
      <c r="E33" s="36"/>
      <c r="F33" s="36"/>
      <c r="G33" s="113" t="str">
        <f>G27</f>
        <v>PTEGASNAT1</v>
      </c>
      <c r="H33" s="19"/>
      <c r="J33" s="233">
        <v>1</v>
      </c>
      <c r="K33" s="233"/>
      <c r="L33" s="36"/>
      <c r="M33" s="36"/>
      <c r="N33" s="36"/>
      <c r="O33" s="107"/>
      <c r="P33" s="36"/>
    </row>
    <row r="34" spans="1:16" x14ac:dyDescent="0.25">
      <c r="A34" s="36"/>
      <c r="B34" s="106"/>
      <c r="C34" s="36"/>
      <c r="D34" s="36"/>
      <c r="E34" s="36"/>
      <c r="F34" s="36"/>
      <c r="G34" s="113" t="str">
        <f>G28</f>
        <v>PTEGASNAT2</v>
      </c>
      <c r="H34" s="19"/>
      <c r="J34" s="233">
        <v>1</v>
      </c>
      <c r="K34" s="233"/>
      <c r="L34" s="36"/>
      <c r="M34" s="36"/>
      <c r="N34" s="36"/>
      <c r="O34" s="107"/>
      <c r="P34" s="36"/>
    </row>
    <row r="35" spans="1:16" x14ac:dyDescent="0.25">
      <c r="A35" s="36"/>
      <c r="B35" s="110"/>
      <c r="C35" s="88"/>
      <c r="D35" s="88"/>
      <c r="E35" s="88"/>
      <c r="F35" s="88"/>
      <c r="G35" s="114" t="str">
        <f>G29</f>
        <v>PITGASNAT</v>
      </c>
      <c r="H35" s="88"/>
      <c r="I35" s="88"/>
      <c r="J35" s="234">
        <v>1</v>
      </c>
      <c r="K35" s="234"/>
      <c r="L35" s="88"/>
      <c r="M35" s="88"/>
      <c r="N35" s="88"/>
      <c r="O35" s="111"/>
      <c r="P35" s="36"/>
    </row>
    <row r="37" spans="1:16" x14ac:dyDescent="0.25">
      <c r="B37" s="64" t="s">
        <v>585</v>
      </c>
    </row>
    <row r="38" spans="1:16" x14ac:dyDescent="0.25">
      <c r="B38" s="115"/>
      <c r="C38" s="75"/>
      <c r="D38" s="75"/>
      <c r="E38" s="75"/>
      <c r="F38" s="231"/>
      <c r="G38" s="231" t="s">
        <v>15</v>
      </c>
      <c r="H38" s="75"/>
      <c r="I38" s="75"/>
      <c r="J38" s="75"/>
      <c r="K38" s="75"/>
      <c r="L38" s="75"/>
      <c r="M38" s="80"/>
      <c r="N38" s="80"/>
      <c r="O38" s="80"/>
    </row>
    <row r="39" spans="1:16" x14ac:dyDescent="0.25">
      <c r="B39" s="116" t="s">
        <v>35</v>
      </c>
      <c r="C39" s="117" t="s">
        <v>1</v>
      </c>
      <c r="D39" s="117" t="s">
        <v>45</v>
      </c>
      <c r="E39" s="117" t="s">
        <v>7</v>
      </c>
      <c r="F39" s="71" t="s">
        <v>542</v>
      </c>
      <c r="G39" s="118" t="s">
        <v>8</v>
      </c>
      <c r="H39" s="94" t="s">
        <v>673</v>
      </c>
      <c r="I39" s="94" t="s">
        <v>119</v>
      </c>
      <c r="J39" s="119" t="s">
        <v>17</v>
      </c>
      <c r="K39" s="119" t="s">
        <v>120</v>
      </c>
      <c r="L39" s="119" t="s">
        <v>18</v>
      </c>
      <c r="M39" s="94" t="s">
        <v>6</v>
      </c>
      <c r="N39" s="94" t="s">
        <v>125</v>
      </c>
      <c r="O39" s="95" t="s">
        <v>972</v>
      </c>
    </row>
    <row r="40" spans="1:16" ht="27.6" x14ac:dyDescent="0.25">
      <c r="B40" s="121" t="s">
        <v>107</v>
      </c>
      <c r="C40" s="97" t="s">
        <v>26</v>
      </c>
      <c r="D40" s="97" t="s">
        <v>27</v>
      </c>
      <c r="E40" s="97" t="s">
        <v>37</v>
      </c>
      <c r="F40" s="97" t="s">
        <v>629</v>
      </c>
      <c r="G40" s="122" t="s">
        <v>38</v>
      </c>
      <c r="H40" s="154" t="s">
        <v>582</v>
      </c>
      <c r="I40" s="101" t="s">
        <v>112</v>
      </c>
      <c r="J40" s="101" t="s">
        <v>39</v>
      </c>
      <c r="K40" s="101" t="s">
        <v>40</v>
      </c>
      <c r="L40" s="101" t="s">
        <v>41</v>
      </c>
      <c r="M40" s="123" t="s">
        <v>43</v>
      </c>
      <c r="N40" s="123" t="s">
        <v>124</v>
      </c>
      <c r="O40" s="127"/>
    </row>
    <row r="41" spans="1:16" x14ac:dyDescent="0.25">
      <c r="B41" s="125" t="s">
        <v>108</v>
      </c>
      <c r="C41" s="126"/>
      <c r="D41" s="123"/>
      <c r="E41" s="123" t="s">
        <v>101</v>
      </c>
      <c r="F41" s="123"/>
      <c r="G41" s="127"/>
      <c r="H41" s="128" t="s">
        <v>583</v>
      </c>
      <c r="I41" s="123"/>
      <c r="J41" s="123" t="s">
        <v>556</v>
      </c>
      <c r="K41" s="123" t="str">
        <f>General!$D$13</f>
        <v>PJ/year</v>
      </c>
      <c r="L41" s="123" t="s">
        <v>556</v>
      </c>
      <c r="M41" s="128" t="str">
        <f>General!$D$15</f>
        <v>$/GJ</v>
      </c>
      <c r="N41" s="128"/>
      <c r="O41" s="201" t="s">
        <v>100</v>
      </c>
    </row>
    <row r="42" spans="1:16" x14ac:dyDescent="0.25">
      <c r="B42" s="103"/>
      <c r="C42" s="75" t="str">
        <f>S18</f>
        <v>SPRGASNAT_TRN_E01</v>
      </c>
      <c r="D42" s="75" t="str">
        <f>T18</f>
        <v>Existing transportation network of natural gas</v>
      </c>
      <c r="E42" s="75" t="str">
        <f>Commodities!$D$62</f>
        <v>PITGASNAT</v>
      </c>
      <c r="F42" s="75"/>
      <c r="G42" s="112"/>
      <c r="H42" s="104"/>
      <c r="I42" s="52"/>
      <c r="J42" s="235">
        <f>1-'En.Bal-Primary-Transf.'!AU135/'En.Bal-Primary-Transf.'!AU17</f>
        <v>0.94846568282970245</v>
      </c>
      <c r="K42" s="130">
        <f>'En.Bal-Primary-Transf.'!AT17/1000*41.868*1.1-U83</f>
        <v>738.03970600000002</v>
      </c>
      <c r="L42" s="53">
        <v>1</v>
      </c>
      <c r="M42" s="202"/>
      <c r="N42" s="203">
        <v>100</v>
      </c>
      <c r="O42" s="204">
        <f>'En.Bal-Primary-Transf.'!AU135/1000*41.868*Emissions_table!U16*28/1000</f>
        <v>20.411487360000006</v>
      </c>
    </row>
    <row r="43" spans="1:16" x14ac:dyDescent="0.25">
      <c r="B43" s="106"/>
      <c r="C43" s="36"/>
      <c r="D43" s="36"/>
      <c r="E43" s="36"/>
      <c r="F43" s="36" t="str">
        <f>Commodities!$D$109</f>
        <v>SUPELC</v>
      </c>
      <c r="G43" s="113"/>
      <c r="H43" s="19"/>
      <c r="I43" s="131">
        <f>'En.Bal-Primary-Transf.'!BX136/SUM('En.Bal-Primary-Transf.'!$X$17,'En.Bal-Primary-Transf.'!$X$14,'En.Bal-Primary-Transf.'!$Y$17,'En.Bal-Primary-Transf.'!$Y$14,'En.Bal-Primary-Transf.'!$AU$17,'En.Bal-Primary-Transf.'!$AU$14)</f>
        <v>0</v>
      </c>
      <c r="J43" s="36"/>
      <c r="K43" s="36"/>
      <c r="L43" s="36"/>
      <c r="M43" s="36"/>
      <c r="N43" s="36"/>
      <c r="O43" s="107"/>
    </row>
    <row r="44" spans="1:16" x14ac:dyDescent="0.25">
      <c r="B44" s="106"/>
      <c r="C44" s="36"/>
      <c r="D44" s="36"/>
      <c r="E44" s="36"/>
      <c r="F44" s="36" t="str">
        <f>Commodities!$D$88</f>
        <v>SUPGASNAT</v>
      </c>
      <c r="G44" s="113"/>
      <c r="H44" s="19"/>
      <c r="I44" s="131">
        <f>'En.Bal-Primary-Transf.'!AU136/SUM('En.Bal-Primary-Transf.'!$X$17,'En.Bal-Primary-Transf.'!$X$14,'En.Bal-Primary-Transf.'!$Y$17,'En.Bal-Primary-Transf.'!$Y$14,'En.Bal-Primary-Transf.'!$AU$17,'En.Bal-Primary-Transf.'!$AU$14)</f>
        <v>7.2227766980091403E-3</v>
      </c>
      <c r="J44" s="36"/>
      <c r="K44" s="36"/>
      <c r="L44" s="36"/>
      <c r="M44" s="36"/>
      <c r="N44" s="36"/>
      <c r="O44" s="107"/>
    </row>
    <row r="45" spans="1:16" x14ac:dyDescent="0.25">
      <c r="B45" s="110"/>
      <c r="C45" s="88"/>
      <c r="D45" s="88"/>
      <c r="E45" s="88"/>
      <c r="F45" s="88"/>
      <c r="G45" s="114" t="str">
        <f>Commodities!$D$157</f>
        <v>GASNAT_HP</v>
      </c>
      <c r="H45" s="170">
        <v>1</v>
      </c>
      <c r="I45" s="88"/>
      <c r="J45" s="135"/>
      <c r="K45" s="205"/>
      <c r="L45" s="135"/>
      <c r="M45" s="135"/>
      <c r="N45" s="135"/>
      <c r="O45" s="206"/>
    </row>
    <row r="49" spans="2:13" x14ac:dyDescent="0.25">
      <c r="B49" s="64" t="s">
        <v>676</v>
      </c>
    </row>
    <row r="50" spans="2:13" x14ac:dyDescent="0.25">
      <c r="B50" s="115"/>
      <c r="C50" s="75"/>
      <c r="D50" s="75"/>
      <c r="E50" s="75"/>
      <c r="F50" s="75"/>
      <c r="G50" s="231" t="s">
        <v>15</v>
      </c>
      <c r="H50" s="75"/>
      <c r="I50" s="75"/>
      <c r="J50" s="75"/>
      <c r="K50" s="75"/>
      <c r="L50" s="75"/>
      <c r="M50" s="75"/>
    </row>
    <row r="51" spans="2:13" x14ac:dyDescent="0.25">
      <c r="B51" s="116" t="s">
        <v>35</v>
      </c>
      <c r="C51" s="117" t="s">
        <v>1</v>
      </c>
      <c r="D51" s="117" t="s">
        <v>45</v>
      </c>
      <c r="E51" s="117" t="s">
        <v>7</v>
      </c>
      <c r="F51" s="71" t="s">
        <v>542</v>
      </c>
      <c r="G51" s="118" t="s">
        <v>8</v>
      </c>
      <c r="H51" s="141" t="s">
        <v>119</v>
      </c>
      <c r="I51" s="119" t="s">
        <v>17</v>
      </c>
      <c r="J51" s="119" t="s">
        <v>120</v>
      </c>
      <c r="K51" s="119" t="s">
        <v>18</v>
      </c>
      <c r="L51" s="94" t="s">
        <v>6</v>
      </c>
      <c r="M51" s="120" t="s">
        <v>125</v>
      </c>
    </row>
    <row r="52" spans="2:13" ht="27.6" x14ac:dyDescent="0.25">
      <c r="B52" s="121" t="s">
        <v>107</v>
      </c>
      <c r="C52" s="97" t="s">
        <v>26</v>
      </c>
      <c r="D52" s="97" t="s">
        <v>27</v>
      </c>
      <c r="E52" s="97" t="s">
        <v>37</v>
      </c>
      <c r="F52" s="97" t="s">
        <v>629</v>
      </c>
      <c r="G52" s="122" t="s">
        <v>38</v>
      </c>
      <c r="H52" s="207" t="s">
        <v>112</v>
      </c>
      <c r="I52" s="101" t="s">
        <v>39</v>
      </c>
      <c r="J52" s="101" t="s">
        <v>40</v>
      </c>
      <c r="K52" s="101" t="s">
        <v>41</v>
      </c>
      <c r="L52" s="123" t="s">
        <v>43</v>
      </c>
      <c r="M52" s="124" t="s">
        <v>124</v>
      </c>
    </row>
    <row r="53" spans="2:13" x14ac:dyDescent="0.25">
      <c r="B53" s="125" t="s">
        <v>108</v>
      </c>
      <c r="C53" s="126"/>
      <c r="D53" s="123"/>
      <c r="E53" s="123" t="s">
        <v>101</v>
      </c>
      <c r="F53" s="123"/>
      <c r="G53" s="127"/>
      <c r="H53" s="153"/>
      <c r="I53" s="123" t="s">
        <v>556</v>
      </c>
      <c r="J53" s="123" t="str">
        <f>General!$D$13</f>
        <v>PJ/year</v>
      </c>
      <c r="K53" s="123" t="s">
        <v>556</v>
      </c>
      <c r="L53" s="128" t="str">
        <f>General!$D$15</f>
        <v>$/GJ</v>
      </c>
      <c r="M53" s="129"/>
    </row>
    <row r="54" spans="2:13" x14ac:dyDescent="0.25">
      <c r="B54" s="103"/>
      <c r="C54" s="75" t="str">
        <f>S$19</f>
        <v>SPRGASNAT_MP_E01</v>
      </c>
      <c r="D54" s="75" t="str">
        <f>T$19</f>
        <v>Existing MP Distribution network of natural gas</v>
      </c>
      <c r="E54" s="104" t="str">
        <f>G45</f>
        <v>GASNAT_HP</v>
      </c>
      <c r="F54" s="75"/>
      <c r="G54" s="112"/>
      <c r="H54" s="208"/>
      <c r="I54" s="77">
        <v>1</v>
      </c>
      <c r="J54" s="52">
        <f>K42</f>
        <v>738.03970600000002</v>
      </c>
      <c r="K54" s="53">
        <v>1</v>
      </c>
      <c r="L54" s="209"/>
      <c r="M54" s="210">
        <v>150</v>
      </c>
    </row>
    <row r="55" spans="2:13" x14ac:dyDescent="0.25">
      <c r="B55" s="106"/>
      <c r="C55" s="36"/>
      <c r="D55" s="36"/>
      <c r="E55" s="36"/>
      <c r="F55" s="36" t="str">
        <f>Commodities!$D$109</f>
        <v>SUPELC</v>
      </c>
      <c r="G55" s="113"/>
      <c r="H55" s="211">
        <v>0</v>
      </c>
      <c r="I55" s="47"/>
      <c r="J55" s="19"/>
      <c r="K55" s="49"/>
      <c r="L55" s="212"/>
      <c r="M55" s="107"/>
    </row>
    <row r="56" spans="2:13" x14ac:dyDescent="0.25">
      <c r="B56" s="110"/>
      <c r="C56" s="88"/>
      <c r="D56" s="88"/>
      <c r="E56" s="88"/>
      <c r="F56" s="88"/>
      <c r="G56" s="114" t="str">
        <f>Commodities!$D$158</f>
        <v>GASNAT_MP</v>
      </c>
      <c r="H56" s="213"/>
      <c r="I56" s="134"/>
      <c r="J56" s="170"/>
      <c r="K56" s="135"/>
      <c r="L56" s="214"/>
      <c r="M56" s="206"/>
    </row>
    <row r="57" spans="2:13" x14ac:dyDescent="0.25">
      <c r="B57" s="36"/>
      <c r="C57" s="36"/>
      <c r="D57" s="36"/>
      <c r="E57" s="36"/>
      <c r="F57" s="36"/>
      <c r="G57" s="21"/>
      <c r="H57" s="49"/>
      <c r="I57" s="49"/>
      <c r="J57" s="51"/>
      <c r="L57" s="20"/>
      <c r="M57" s="49"/>
    </row>
    <row r="58" spans="2:13" x14ac:dyDescent="0.25">
      <c r="B58" s="36"/>
      <c r="C58" s="36"/>
      <c r="D58" s="36"/>
      <c r="E58" s="36"/>
      <c r="F58" s="36"/>
      <c r="G58" s="21"/>
      <c r="H58" s="49"/>
      <c r="I58" s="49"/>
      <c r="J58" s="51"/>
      <c r="L58" s="20"/>
      <c r="M58" s="49"/>
    </row>
    <row r="59" spans="2:13" x14ac:dyDescent="0.25">
      <c r="B59" s="64" t="s">
        <v>677</v>
      </c>
    </row>
    <row r="60" spans="2:13" x14ac:dyDescent="0.25">
      <c r="B60" s="115"/>
      <c r="C60" s="75"/>
      <c r="D60" s="75"/>
      <c r="E60" s="75"/>
      <c r="F60" s="75"/>
      <c r="G60" s="231" t="s">
        <v>15</v>
      </c>
      <c r="H60" s="75"/>
      <c r="I60" s="75"/>
      <c r="J60" s="75"/>
      <c r="K60" s="80"/>
      <c r="L60" s="75"/>
      <c r="M60" s="75"/>
    </row>
    <row r="61" spans="2:13" x14ac:dyDescent="0.25">
      <c r="B61" s="116" t="s">
        <v>35</v>
      </c>
      <c r="C61" s="117" t="s">
        <v>1</v>
      </c>
      <c r="D61" s="117" t="s">
        <v>45</v>
      </c>
      <c r="E61" s="117" t="s">
        <v>7</v>
      </c>
      <c r="F61" s="71" t="s">
        <v>542</v>
      </c>
      <c r="G61" s="118" t="s">
        <v>8</v>
      </c>
      <c r="H61" s="141" t="s">
        <v>119</v>
      </c>
      <c r="I61" s="119" t="s">
        <v>17</v>
      </c>
      <c r="J61" s="119" t="s">
        <v>120</v>
      </c>
      <c r="K61" s="119" t="s">
        <v>18</v>
      </c>
      <c r="L61" s="94" t="s">
        <v>6</v>
      </c>
      <c r="M61" s="120" t="s">
        <v>125</v>
      </c>
    </row>
    <row r="62" spans="2:13" ht="27.6" x14ac:dyDescent="0.25">
      <c r="B62" s="121" t="s">
        <v>107</v>
      </c>
      <c r="C62" s="97" t="s">
        <v>26</v>
      </c>
      <c r="D62" s="97" t="s">
        <v>27</v>
      </c>
      <c r="E62" s="97" t="s">
        <v>37</v>
      </c>
      <c r="F62" s="97" t="s">
        <v>629</v>
      </c>
      <c r="G62" s="122" t="s">
        <v>38</v>
      </c>
      <c r="H62" s="207" t="s">
        <v>112</v>
      </c>
      <c r="I62" s="101" t="s">
        <v>39</v>
      </c>
      <c r="J62" s="101" t="s">
        <v>40</v>
      </c>
      <c r="K62" s="101" t="s">
        <v>41</v>
      </c>
      <c r="L62" s="123" t="s">
        <v>43</v>
      </c>
      <c r="M62" s="124" t="s">
        <v>124</v>
      </c>
    </row>
    <row r="63" spans="2:13" x14ac:dyDescent="0.25">
      <c r="B63" s="125" t="s">
        <v>108</v>
      </c>
      <c r="C63" s="126"/>
      <c r="D63" s="123"/>
      <c r="E63" s="123" t="s">
        <v>101</v>
      </c>
      <c r="F63" s="123"/>
      <c r="G63" s="127"/>
      <c r="H63" s="153"/>
      <c r="I63" s="123" t="s">
        <v>556</v>
      </c>
      <c r="J63" s="123" t="str">
        <f>General!$D$13</f>
        <v>PJ/year</v>
      </c>
      <c r="K63" s="123" t="s">
        <v>556</v>
      </c>
      <c r="L63" s="128" t="str">
        <f>General!$D$15</f>
        <v>$/GJ</v>
      </c>
      <c r="M63" s="129"/>
    </row>
    <row r="64" spans="2:13" x14ac:dyDescent="0.25">
      <c r="B64" s="103"/>
      <c r="C64" s="75" t="str">
        <f>S$20</f>
        <v>SPRGASNAT_LP_E01</v>
      </c>
      <c r="D64" s="75" t="str">
        <f>T$20</f>
        <v>Existing LP Distribution network of natural gas</v>
      </c>
      <c r="E64" s="104" t="str">
        <f>G56</f>
        <v>GASNAT_MP</v>
      </c>
      <c r="F64" s="75"/>
      <c r="G64" s="112"/>
      <c r="H64" s="208"/>
      <c r="I64" s="77">
        <v>1</v>
      </c>
      <c r="J64" s="130">
        <f>J54</f>
        <v>738.03970600000002</v>
      </c>
      <c r="K64" s="53">
        <v>1</v>
      </c>
      <c r="L64" s="131"/>
      <c r="M64" s="132">
        <v>150</v>
      </c>
    </row>
    <row r="65" spans="2:16" x14ac:dyDescent="0.25">
      <c r="B65" s="106"/>
      <c r="C65" s="36"/>
      <c r="D65" s="36"/>
      <c r="E65" s="36"/>
      <c r="F65" s="36" t="str">
        <f>Commodities!$D$109</f>
        <v>SUPELC</v>
      </c>
      <c r="G65" s="113"/>
      <c r="H65" s="211">
        <v>0</v>
      </c>
      <c r="I65" s="47"/>
      <c r="J65" s="36"/>
      <c r="K65" s="49"/>
      <c r="L65" s="36"/>
      <c r="M65" s="107"/>
    </row>
    <row r="66" spans="2:16" x14ac:dyDescent="0.25">
      <c r="B66" s="110"/>
      <c r="C66" s="88"/>
      <c r="D66" s="88"/>
      <c r="E66" s="88"/>
      <c r="F66" s="88"/>
      <c r="G66" s="114" t="str">
        <f>Commodities!$D$159</f>
        <v>GASNAT_LP</v>
      </c>
      <c r="H66" s="110"/>
      <c r="I66" s="172"/>
      <c r="J66" s="205"/>
      <c r="K66" s="135"/>
      <c r="L66" s="135"/>
      <c r="M66" s="206"/>
    </row>
    <row r="67" spans="2:16" x14ac:dyDescent="0.25">
      <c r="I67" s="36"/>
      <c r="J67" s="36"/>
      <c r="K67" s="36"/>
      <c r="L67" s="36"/>
      <c r="M67" s="36"/>
    </row>
    <row r="68" spans="2:16" x14ac:dyDescent="0.25">
      <c r="J68" s="32">
        <v>1.5</v>
      </c>
      <c r="L68" s="32">
        <v>1.25</v>
      </c>
    </row>
    <row r="69" spans="2:16" x14ac:dyDescent="0.25">
      <c r="B69" s="64" t="s">
        <v>942</v>
      </c>
      <c r="E69" s="88"/>
      <c r="H69" s="142" t="s">
        <v>578</v>
      </c>
      <c r="I69" s="215" t="str">
        <f>IF('En.Bal-Primary-Transf.'!AU12,SUM(I74:I74)/'En.Bal-Primary-Transf.'!AU12,"NA")</f>
        <v>NA</v>
      </c>
    </row>
    <row r="70" spans="2:16" x14ac:dyDescent="0.25">
      <c r="B70" s="216"/>
      <c r="C70" s="80"/>
      <c r="D70" s="80"/>
      <c r="F70" s="236"/>
      <c r="G70" s="236" t="s">
        <v>15</v>
      </c>
      <c r="H70" s="236"/>
      <c r="I70" s="25"/>
      <c r="J70" s="75"/>
      <c r="K70" s="75"/>
      <c r="L70" s="75"/>
      <c r="M70" s="75"/>
      <c r="N70" s="75"/>
      <c r="O70" s="105"/>
    </row>
    <row r="71" spans="2:16" x14ac:dyDescent="0.25">
      <c r="B71" s="92" t="s">
        <v>35</v>
      </c>
      <c r="C71" s="71" t="s">
        <v>1</v>
      </c>
      <c r="D71" s="71" t="s">
        <v>45</v>
      </c>
      <c r="E71" s="94" t="s">
        <v>542</v>
      </c>
      <c r="F71" s="66" t="s">
        <v>7</v>
      </c>
      <c r="G71" s="66" t="s">
        <v>8</v>
      </c>
      <c r="H71" s="217" t="s">
        <v>47</v>
      </c>
      <c r="I71" s="67" t="s">
        <v>541</v>
      </c>
      <c r="J71" s="67" t="s">
        <v>692</v>
      </c>
      <c r="K71" s="67" t="s">
        <v>693</v>
      </c>
      <c r="L71" s="67" t="s">
        <v>695</v>
      </c>
      <c r="M71" s="67" t="s">
        <v>703</v>
      </c>
      <c r="N71" s="67" t="s">
        <v>697</v>
      </c>
      <c r="O71" s="67" t="s">
        <v>119</v>
      </c>
    </row>
    <row r="72" spans="2:16" ht="28.2" thickBot="1" x14ac:dyDescent="0.3">
      <c r="B72" s="96" t="s">
        <v>107</v>
      </c>
      <c r="C72" s="69" t="s">
        <v>26</v>
      </c>
      <c r="D72" s="69" t="s">
        <v>27</v>
      </c>
      <c r="E72" s="69" t="s">
        <v>629</v>
      </c>
      <c r="F72" s="69"/>
      <c r="G72" s="69" t="s">
        <v>38</v>
      </c>
      <c r="H72" s="96" t="s">
        <v>978</v>
      </c>
      <c r="I72" s="70" t="s">
        <v>979</v>
      </c>
      <c r="J72" s="70" t="s">
        <v>980</v>
      </c>
      <c r="K72" s="70" t="s">
        <v>980</v>
      </c>
      <c r="L72" s="70" t="s">
        <v>980</v>
      </c>
      <c r="M72" s="70" t="s">
        <v>982</v>
      </c>
      <c r="N72" s="70" t="s">
        <v>982</v>
      </c>
      <c r="O72" s="70" t="s">
        <v>112</v>
      </c>
    </row>
    <row r="73" spans="2:16" x14ac:dyDescent="0.25">
      <c r="B73" s="98" t="s">
        <v>108</v>
      </c>
      <c r="C73" s="198"/>
      <c r="D73" s="198"/>
      <c r="E73" s="101"/>
      <c r="F73" s="99"/>
      <c r="G73" s="99" t="s">
        <v>101</v>
      </c>
      <c r="H73" s="218" t="str">
        <f>General!$D$12</f>
        <v>$/GJ</v>
      </c>
      <c r="I73" s="100" t="str">
        <f>General!$D$13</f>
        <v>PJ/year</v>
      </c>
      <c r="J73" s="100" t="str">
        <f>General!$D$13</f>
        <v>PJ/year</v>
      </c>
      <c r="K73" s="100" t="str">
        <f>General!$D$13</f>
        <v>PJ/year</v>
      </c>
      <c r="L73" s="100" t="str">
        <f>General!$D$13</f>
        <v>PJ/year</v>
      </c>
      <c r="M73" s="100" t="str">
        <f>General!$D$13</f>
        <v>PJ/year</v>
      </c>
      <c r="N73" s="100" t="str">
        <f>General!$D$13</f>
        <v>PJ/year</v>
      </c>
      <c r="O73" s="100"/>
    </row>
    <row r="74" spans="2:16" x14ac:dyDescent="0.25">
      <c r="B74" s="106"/>
      <c r="C74" s="36" t="str">
        <f>$S$17</f>
        <v>IMPGASNAT_R1_E01</v>
      </c>
      <c r="D74" s="36" t="str">
        <f>$T$17</f>
        <v>Import of Natural Gas_Region1</v>
      </c>
      <c r="E74" s="36"/>
      <c r="F74" s="36"/>
      <c r="G74" s="36" t="str">
        <f>Commodities!$D$62</f>
        <v>PITGASNAT</v>
      </c>
      <c r="H74" s="219">
        <v>6.5</v>
      </c>
      <c r="I74" s="19">
        <f>'En.Bal-Primary-Transf.'!AT12/1000*41.868</f>
        <v>0</v>
      </c>
      <c r="J74" s="19">
        <f>I74*J68</f>
        <v>0</v>
      </c>
      <c r="K74" s="19"/>
      <c r="L74" s="19">
        <f>I74*L68</f>
        <v>0</v>
      </c>
      <c r="M74" s="19">
        <f>I74*0.9</f>
        <v>0</v>
      </c>
      <c r="N74" s="19">
        <f>'En.Bal-Primary-Transf.'!AY12/1000*41.868</f>
        <v>0</v>
      </c>
      <c r="O74" s="109"/>
    </row>
    <row r="75" spans="2:16" x14ac:dyDescent="0.25">
      <c r="B75" s="110"/>
      <c r="C75" s="88"/>
      <c r="D75" s="88"/>
      <c r="E75" s="88"/>
      <c r="F75" s="88"/>
      <c r="G75" s="88"/>
      <c r="H75" s="220"/>
      <c r="I75" s="170"/>
      <c r="J75" s="170"/>
      <c r="K75" s="170"/>
      <c r="L75" s="170"/>
      <c r="M75" s="170"/>
      <c r="N75" s="170"/>
      <c r="O75" s="173"/>
    </row>
    <row r="76" spans="2:16" x14ac:dyDescent="0.25">
      <c r="B76" s="18"/>
      <c r="C76" s="36"/>
      <c r="D76" s="36"/>
      <c r="E76" s="36"/>
      <c r="F76" s="138"/>
      <c r="G76" s="138"/>
      <c r="H76" s="138"/>
      <c r="I76" s="22"/>
      <c r="J76" s="36"/>
      <c r="K76" s="36"/>
      <c r="L76" s="36"/>
      <c r="M76" s="36"/>
      <c r="N76" s="36"/>
      <c r="O76" s="36"/>
    </row>
    <row r="77" spans="2:16" x14ac:dyDescent="0.25">
      <c r="B77" s="186"/>
      <c r="C77" s="88"/>
      <c r="D77" s="88"/>
      <c r="E77" s="88"/>
      <c r="F77" s="237"/>
      <c r="G77" s="237" t="s">
        <v>15</v>
      </c>
      <c r="H77" s="237"/>
      <c r="I77" s="57"/>
      <c r="J77" s="88"/>
      <c r="K77" s="88"/>
      <c r="L77" s="88"/>
      <c r="M77" s="88"/>
      <c r="N77" s="88"/>
      <c r="O77" s="88"/>
      <c r="P77" s="88"/>
    </row>
    <row r="78" spans="2:16" x14ac:dyDescent="0.25">
      <c r="B78" s="221" t="s">
        <v>35</v>
      </c>
      <c r="C78" s="222" t="s">
        <v>1</v>
      </c>
      <c r="D78" s="222" t="s">
        <v>45</v>
      </c>
      <c r="E78" s="223" t="s">
        <v>542</v>
      </c>
      <c r="F78" s="33" t="s">
        <v>8</v>
      </c>
      <c r="G78" s="33" t="s">
        <v>7</v>
      </c>
      <c r="H78" s="224" t="s">
        <v>47</v>
      </c>
      <c r="I78" s="225" t="s">
        <v>541</v>
      </c>
      <c r="J78" s="225" t="s">
        <v>692</v>
      </c>
      <c r="K78" s="225" t="s">
        <v>693</v>
      </c>
      <c r="L78" s="225" t="s">
        <v>695</v>
      </c>
      <c r="M78" s="225" t="s">
        <v>703</v>
      </c>
      <c r="N78" s="225" t="s">
        <v>697</v>
      </c>
      <c r="O78" s="225" t="s">
        <v>699</v>
      </c>
      <c r="P78" s="225" t="s">
        <v>119</v>
      </c>
    </row>
    <row r="79" spans="2:16" ht="28.2" thickBot="1" x14ac:dyDescent="0.3">
      <c r="B79" s="96" t="s">
        <v>107</v>
      </c>
      <c r="C79" s="69" t="s">
        <v>26</v>
      </c>
      <c r="D79" s="69" t="s">
        <v>27</v>
      </c>
      <c r="E79" s="69" t="s">
        <v>629</v>
      </c>
      <c r="F79" s="69"/>
      <c r="G79" s="69" t="s">
        <v>38</v>
      </c>
      <c r="H79" s="96" t="s">
        <v>978</v>
      </c>
      <c r="I79" s="70" t="s">
        <v>979</v>
      </c>
      <c r="J79" s="70" t="s">
        <v>980</v>
      </c>
      <c r="K79" s="70" t="s">
        <v>980</v>
      </c>
      <c r="L79" s="70" t="s">
        <v>980</v>
      </c>
      <c r="M79" s="70" t="s">
        <v>982</v>
      </c>
      <c r="N79" s="70" t="s">
        <v>982</v>
      </c>
      <c r="O79" s="70" t="s">
        <v>982</v>
      </c>
      <c r="P79" s="70" t="s">
        <v>112</v>
      </c>
    </row>
    <row r="80" spans="2:16" x14ac:dyDescent="0.25">
      <c r="B80" s="98" t="s">
        <v>108</v>
      </c>
      <c r="C80" s="198"/>
      <c r="D80" s="198"/>
      <c r="E80" s="101"/>
      <c r="F80" s="99"/>
      <c r="G80" s="99" t="s">
        <v>101</v>
      </c>
      <c r="H80" s="218" t="str">
        <f>General!$D$12</f>
        <v>$/GJ</v>
      </c>
      <c r="I80" s="100" t="str">
        <f>General!$D$13</f>
        <v>PJ/year</v>
      </c>
      <c r="J80" s="100" t="str">
        <f>General!$D$13</f>
        <v>PJ/year</v>
      </c>
      <c r="K80" s="100" t="str">
        <f>General!$D$13</f>
        <v>PJ/year</v>
      </c>
      <c r="L80" s="100" t="str">
        <f>General!$D$13</f>
        <v>PJ/year</v>
      </c>
      <c r="M80" s="100" t="str">
        <f>General!$D$13</f>
        <v>PJ/year</v>
      </c>
      <c r="N80" s="100" t="str">
        <f>General!$D$13</f>
        <v>PJ/year</v>
      </c>
      <c r="O80" s="100" t="str">
        <f>General!$D$13</f>
        <v>PJ/year</v>
      </c>
      <c r="P80" s="100"/>
    </row>
    <row r="81" spans="2:26" x14ac:dyDescent="0.25">
      <c r="B81" s="106"/>
      <c r="C81" s="36" t="str">
        <f>S23</f>
        <v>EXPGASNAT_R1_E01</v>
      </c>
      <c r="D81" s="36" t="str">
        <f>T23</f>
        <v>Export of Natural Gas_Region1</v>
      </c>
      <c r="E81" s="36"/>
      <c r="F81" s="36"/>
      <c r="G81" s="36" t="str">
        <f>G74</f>
        <v>PITGASNAT</v>
      </c>
      <c r="H81" s="219">
        <f>H74*0.98</f>
        <v>6.37</v>
      </c>
      <c r="I81" s="19">
        <f>'En.Bal-Primary-Transf.'!$AT$14/1000*41.868*(1-S83)*0.8</f>
        <v>103.41863798882676</v>
      </c>
      <c r="J81" s="19"/>
      <c r="K81" s="19"/>
      <c r="L81" s="19">
        <f>I81*1.5</f>
        <v>155.12795698324015</v>
      </c>
      <c r="M81" s="19">
        <v>0</v>
      </c>
      <c r="N81" s="19">
        <v>0</v>
      </c>
      <c r="O81" s="19">
        <v>0</v>
      </c>
      <c r="P81" s="109"/>
      <c r="R81" s="32" t="s">
        <v>1032</v>
      </c>
    </row>
    <row r="82" spans="2:26" x14ac:dyDescent="0.25">
      <c r="B82" s="110"/>
      <c r="C82" s="88"/>
      <c r="D82" s="88"/>
      <c r="E82" s="88" t="str">
        <f>$F$44</f>
        <v>SUPGASNAT</v>
      </c>
      <c r="F82" s="88"/>
      <c r="G82" s="88"/>
      <c r="H82" s="220"/>
      <c r="I82" s="170"/>
      <c r="J82" s="170"/>
      <c r="K82" s="170"/>
      <c r="L82" s="170"/>
      <c r="M82" s="170"/>
      <c r="N82" s="170"/>
      <c r="O82" s="170"/>
      <c r="P82" s="173">
        <f>I44</f>
        <v>7.2227766980091403E-3</v>
      </c>
      <c r="U82" s="32" t="s">
        <v>1033</v>
      </c>
      <c r="V82" s="32" t="s">
        <v>1034</v>
      </c>
      <c r="X82" s="32"/>
      <c r="Y82" s="35"/>
      <c r="Z82" s="32"/>
    </row>
    <row r="83" spans="2:26" x14ac:dyDescent="0.25">
      <c r="B83" s="106"/>
      <c r="C83" s="36" t="str">
        <f>S24</f>
        <v>EXPGASNAT_R2_E02</v>
      </c>
      <c r="D83" s="36" t="str">
        <f>T24</f>
        <v>Export of Natural Gas_Region2</v>
      </c>
      <c r="E83" s="36"/>
      <c r="F83" s="36"/>
      <c r="G83" s="36" t="str">
        <f>G81</f>
        <v>PITGASNAT</v>
      </c>
      <c r="H83" s="219">
        <f>H81</f>
        <v>6.37</v>
      </c>
      <c r="I83" s="19">
        <f>'En.Bal-Primary-Transf.'!$AT$14/1000*41.868*S83*0.8</f>
        <v>1377.5362580111735</v>
      </c>
      <c r="J83" s="19"/>
      <c r="K83" s="19">
        <f>I83*1.8</f>
        <v>2479.5652644201123</v>
      </c>
      <c r="L83" s="19">
        <f>I83*2.1</f>
        <v>2892.8261418234642</v>
      </c>
      <c r="M83" s="19">
        <f>I83*0.9</f>
        <v>1239.7826322100561</v>
      </c>
      <c r="N83" s="19">
        <f>K83*0.75</f>
        <v>1859.6739483150841</v>
      </c>
      <c r="O83" s="19">
        <v>0</v>
      </c>
      <c r="P83" s="109"/>
      <c r="R83" s="32" t="s">
        <v>1024</v>
      </c>
      <c r="S83" s="226">
        <f>33.3/35.8</f>
        <v>0.93016759776536317</v>
      </c>
      <c r="U83" s="32">
        <f>7*35</f>
        <v>245</v>
      </c>
      <c r="V83" s="227">
        <f>'En.Bal-Primary-Transf.'!AT14/1000*41.868-36*35</f>
        <v>591.19362000000024</v>
      </c>
      <c r="X83" s="32"/>
      <c r="Y83" s="36"/>
      <c r="Z83" s="32"/>
    </row>
    <row r="84" spans="2:26" x14ac:dyDescent="0.25">
      <c r="B84" s="110"/>
      <c r="C84" s="88"/>
      <c r="D84" s="88"/>
      <c r="E84" s="88" t="str">
        <f>$F$44</f>
        <v>SUPGASNAT</v>
      </c>
      <c r="F84" s="88"/>
      <c r="G84" s="88"/>
      <c r="H84" s="220"/>
      <c r="I84" s="170"/>
      <c r="J84" s="170"/>
      <c r="K84" s="170"/>
      <c r="L84" s="170"/>
      <c r="M84" s="170"/>
      <c r="N84" s="170"/>
      <c r="O84" s="170"/>
      <c r="P84" s="173">
        <f>P82</f>
        <v>7.2227766980091403E-3</v>
      </c>
      <c r="T84" s="32" t="s">
        <v>1028</v>
      </c>
      <c r="X84" s="32"/>
      <c r="Y84" s="36"/>
      <c r="Z84" s="32"/>
    </row>
    <row r="85" spans="2:26" x14ac:dyDescent="0.25">
      <c r="I85" s="200"/>
      <c r="W85" s="35"/>
      <c r="X85" s="32"/>
      <c r="Y85" s="36"/>
      <c r="Z85" s="32"/>
    </row>
    <row r="86" spans="2:26" ht="14.4" x14ac:dyDescent="0.3">
      <c r="I86" s="200"/>
      <c r="J86" s="228"/>
      <c r="K86" s="200">
        <f>K83/35</f>
        <v>70.844721840574636</v>
      </c>
      <c r="L86" s="200">
        <f>L83/35</f>
        <v>82.652175480670408</v>
      </c>
      <c r="W86" s="35"/>
      <c r="X86" s="32"/>
      <c r="Y86" s="36"/>
      <c r="Z86" s="32"/>
    </row>
    <row r="87" spans="2:26" x14ac:dyDescent="0.25">
      <c r="K87" s="32" t="s">
        <v>1027</v>
      </c>
      <c r="W87" s="35"/>
      <c r="X87" s="32"/>
      <c r="Y87" s="36"/>
      <c r="Z87" s="32"/>
    </row>
    <row r="88" spans="2:26" x14ac:dyDescent="0.25">
      <c r="B88" s="64" t="s">
        <v>819</v>
      </c>
      <c r="K88" s="229">
        <f>85/55</f>
        <v>1.5454545454545454</v>
      </c>
      <c r="W88" s="35"/>
      <c r="X88" s="32"/>
      <c r="Y88" s="36"/>
      <c r="Z88" s="32"/>
    </row>
    <row r="89" spans="2:26" x14ac:dyDescent="0.25">
      <c r="D89" s="137" t="s">
        <v>15</v>
      </c>
      <c r="W89" s="35"/>
      <c r="X89" s="32"/>
      <c r="Y89" s="36"/>
      <c r="Z89" s="32"/>
    </row>
    <row r="90" spans="2:26" x14ac:dyDescent="0.25">
      <c r="B90" s="92" t="s">
        <v>1</v>
      </c>
      <c r="C90" s="71" t="s">
        <v>45</v>
      </c>
      <c r="D90" s="71" t="s">
        <v>8</v>
      </c>
      <c r="E90" s="67" t="str">
        <f>"ACT_BND"</f>
        <v>ACT_BND</v>
      </c>
      <c r="W90" s="35"/>
      <c r="X90" s="32"/>
      <c r="Y90" s="36"/>
      <c r="Z90" s="32"/>
    </row>
    <row r="91" spans="2:26" ht="28.2" thickBot="1" x14ac:dyDescent="0.3">
      <c r="B91" s="96" t="s">
        <v>52</v>
      </c>
      <c r="C91" s="69" t="s">
        <v>27</v>
      </c>
      <c r="D91" s="69" t="s">
        <v>38</v>
      </c>
      <c r="E91" s="70" t="s">
        <v>109</v>
      </c>
    </row>
    <row r="92" spans="2:26" x14ac:dyDescent="0.25">
      <c r="B92" s="146"/>
      <c r="C92" s="72"/>
      <c r="D92" s="73" t="s">
        <v>101</v>
      </c>
      <c r="E92" s="73" t="str">
        <f>General!$D$13</f>
        <v>PJ/year</v>
      </c>
    </row>
    <row r="93" spans="2:26" x14ac:dyDescent="0.25">
      <c r="B93" s="110" t="str">
        <f>S21</f>
        <v>SPRSTCKGASNAT</v>
      </c>
      <c r="C93" s="88" t="str">
        <f>T21</f>
        <v>BY Stocks of  N. Gas</v>
      </c>
      <c r="D93" s="230" t="str">
        <f>G29</f>
        <v>PITGASNAT</v>
      </c>
      <c r="E93" s="89">
        <f>-'En.Bal-Primary-Transf.'!$AU$13</f>
        <v>0</v>
      </c>
    </row>
    <row r="97" spans="2:13" x14ac:dyDescent="0.25">
      <c r="B97" s="64" t="s">
        <v>927</v>
      </c>
    </row>
    <row r="98" spans="2:13" x14ac:dyDescent="0.25">
      <c r="B98" s="115"/>
      <c r="C98" s="75"/>
      <c r="D98" s="75"/>
      <c r="E98" s="75"/>
      <c r="F98" s="75"/>
      <c r="G98" s="140" t="s">
        <v>15</v>
      </c>
      <c r="H98" s="75"/>
      <c r="I98" s="75"/>
      <c r="J98" s="75"/>
      <c r="K98" s="80"/>
      <c r="L98" s="75"/>
      <c r="M98" s="105"/>
    </row>
    <row r="99" spans="2:13" x14ac:dyDescent="0.25">
      <c r="B99" s="116" t="s">
        <v>35</v>
      </c>
      <c r="C99" s="117" t="s">
        <v>1</v>
      </c>
      <c r="D99" s="117" t="s">
        <v>45</v>
      </c>
      <c r="E99" s="117" t="s">
        <v>7</v>
      </c>
      <c r="F99" s="71" t="s">
        <v>542</v>
      </c>
      <c r="G99" s="118" t="s">
        <v>8</v>
      </c>
      <c r="H99" s="94" t="s">
        <v>119</v>
      </c>
      <c r="I99" s="119" t="s">
        <v>17</v>
      </c>
      <c r="J99" s="119" t="s">
        <v>120</v>
      </c>
      <c r="K99" s="119" t="s">
        <v>18</v>
      </c>
      <c r="L99" s="94" t="s">
        <v>6</v>
      </c>
      <c r="M99" s="120" t="s">
        <v>125</v>
      </c>
    </row>
    <row r="100" spans="2:13" ht="27.6" x14ac:dyDescent="0.25">
      <c r="B100" s="121" t="s">
        <v>107</v>
      </c>
      <c r="C100" s="97" t="s">
        <v>26</v>
      </c>
      <c r="D100" s="97" t="s">
        <v>27</v>
      </c>
      <c r="E100" s="97" t="s">
        <v>37</v>
      </c>
      <c r="F100" s="97" t="s">
        <v>629</v>
      </c>
      <c r="G100" s="122" t="s">
        <v>38</v>
      </c>
      <c r="H100" s="101" t="s">
        <v>112</v>
      </c>
      <c r="I100" s="101" t="s">
        <v>39</v>
      </c>
      <c r="J100" s="101" t="s">
        <v>40</v>
      </c>
      <c r="K100" s="101" t="s">
        <v>41</v>
      </c>
      <c r="L100" s="123" t="s">
        <v>43</v>
      </c>
      <c r="M100" s="124" t="s">
        <v>124</v>
      </c>
    </row>
    <row r="101" spans="2:13" x14ac:dyDescent="0.25">
      <c r="B101" s="125" t="s">
        <v>108</v>
      </c>
      <c r="C101" s="126"/>
      <c r="D101" s="123"/>
      <c r="E101" s="123" t="s">
        <v>101</v>
      </c>
      <c r="F101" s="123"/>
      <c r="G101" s="127"/>
      <c r="H101" s="123"/>
      <c r="I101" s="123" t="s">
        <v>556</v>
      </c>
      <c r="J101" s="123" t="str">
        <f>General!$D$13</f>
        <v>PJ/year</v>
      </c>
      <c r="K101" s="123" t="s">
        <v>556</v>
      </c>
      <c r="L101" s="128" t="str">
        <f>General!$D$15</f>
        <v>$/GJ</v>
      </c>
      <c r="M101" s="129"/>
    </row>
    <row r="102" spans="2:13" x14ac:dyDescent="0.25">
      <c r="B102" s="103"/>
      <c r="C102" s="75" t="str">
        <f>S22</f>
        <v>SPR_FLAR</v>
      </c>
      <c r="D102" s="75" t="str">
        <f>T22</f>
        <v>Flaring Natural gas</v>
      </c>
      <c r="E102" s="104" t="str">
        <f>G31</f>
        <v>GASFLR</v>
      </c>
      <c r="F102" s="75"/>
      <c r="G102" s="112"/>
      <c r="H102" s="53"/>
      <c r="I102" s="77">
        <v>1</v>
      </c>
      <c r="J102" s="130"/>
      <c r="K102" s="53">
        <v>1</v>
      </c>
      <c r="L102" s="131"/>
      <c r="M102" s="132">
        <v>150</v>
      </c>
    </row>
    <row r="103" spans="2:13" x14ac:dyDescent="0.25">
      <c r="B103" s="110"/>
      <c r="C103" s="88"/>
      <c r="D103" s="88"/>
      <c r="E103" s="88"/>
      <c r="F103" s="88"/>
      <c r="G103" s="111" t="str">
        <f>Commodities!D178</f>
        <v>GASFLRO</v>
      </c>
      <c r="H103" s="133"/>
      <c r="I103" s="134"/>
      <c r="J103" s="88"/>
      <c r="K103" s="135"/>
      <c r="L103" s="88"/>
      <c r="M103" s="111"/>
    </row>
  </sheetData>
  <phoneticPr fontId="4" type="noConversion"/>
  <pageMargins left="0.75" right="0.75" top="1" bottom="1" header="0.5" footer="0.5"/>
  <pageSetup orientation="portrait" horizontalDpi="4294967292"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P20"/>
  <sheetViews>
    <sheetView zoomScale="85" zoomScaleNormal="85" workbookViewId="0">
      <selection sqref="A1:XFD1048576"/>
    </sheetView>
  </sheetViews>
  <sheetFormatPr defaultRowHeight="13.2" x14ac:dyDescent="0.25"/>
  <cols>
    <col min="1" max="1" width="8.88671875" style="5"/>
    <col min="2" max="2" width="25.44140625" style="5" bestFit="1" customWidth="1"/>
    <col min="3" max="3" width="55.88671875" style="5" bestFit="1" customWidth="1"/>
    <col min="4" max="4" width="14" style="5" bestFit="1" customWidth="1"/>
    <col min="5" max="5" width="25.33203125" style="5" bestFit="1" customWidth="1"/>
    <col min="6" max="6" width="18.88671875" style="5" customWidth="1"/>
    <col min="7" max="7" width="11.33203125" style="5" customWidth="1"/>
    <col min="8" max="8" width="8.88671875" style="5"/>
    <col min="9" max="9" width="28.109375" style="5" customWidth="1"/>
    <col min="10" max="10" width="22.33203125" style="5" customWidth="1"/>
    <col min="11" max="11" width="34.5546875" style="5" customWidth="1"/>
    <col min="12" max="12" width="30.109375" style="5" customWidth="1"/>
    <col min="13" max="13" width="11.44140625" style="29" bestFit="1" customWidth="1"/>
    <col min="14" max="14" width="24.88671875" style="5" bestFit="1" customWidth="1"/>
    <col min="15" max="15" width="16.44140625" style="5" bestFit="1" customWidth="1"/>
    <col min="16" max="16" width="24.5546875" style="5" bestFit="1" customWidth="1"/>
    <col min="17" max="17" width="17.44140625" style="5" bestFit="1" customWidth="1"/>
    <col min="18" max="252" width="8.88671875" style="5"/>
    <col min="253" max="253" width="25.44140625" style="5" bestFit="1" customWidth="1"/>
    <col min="254" max="254" width="37.6640625" style="5" bestFit="1" customWidth="1"/>
    <col min="255" max="255" width="14" style="5" bestFit="1" customWidth="1"/>
    <col min="256" max="256" width="25.33203125" style="5" bestFit="1" customWidth="1"/>
    <col min="257" max="257" width="18.88671875" style="5" customWidth="1"/>
    <col min="258" max="260" width="11.33203125" style="5" customWidth="1"/>
    <col min="261" max="262" width="8.88671875" style="5"/>
    <col min="263" max="263" width="28.109375" style="5" customWidth="1"/>
    <col min="264" max="264" width="22.33203125" style="5" customWidth="1"/>
    <col min="265" max="265" width="28.88671875" style="5" bestFit="1" customWidth="1"/>
    <col min="266" max="266" width="30.109375" style="5" customWidth="1"/>
    <col min="267" max="267" width="11.44140625" style="5" bestFit="1" customWidth="1"/>
    <col min="268" max="268" width="24.88671875" style="5" bestFit="1" customWidth="1"/>
    <col min="269" max="269" width="16.44140625" style="5" bestFit="1" customWidth="1"/>
    <col min="270" max="270" width="24.5546875" style="5" bestFit="1" customWidth="1"/>
    <col min="271" max="271" width="17.44140625" style="5" bestFit="1" customWidth="1"/>
    <col min="272" max="272" width="22" style="5" bestFit="1" customWidth="1"/>
    <col min="273" max="508" width="8.88671875" style="5"/>
    <col min="509" max="509" width="25.44140625" style="5" bestFit="1" customWidth="1"/>
    <col min="510" max="510" width="37.6640625" style="5" bestFit="1" customWidth="1"/>
    <col min="511" max="511" width="14" style="5" bestFit="1" customWidth="1"/>
    <col min="512" max="512" width="25.33203125" style="5" bestFit="1" customWidth="1"/>
    <col min="513" max="513" width="18.88671875" style="5" customWidth="1"/>
    <col min="514" max="516" width="11.33203125" style="5" customWidth="1"/>
    <col min="517" max="518" width="8.88671875" style="5"/>
    <col min="519" max="519" width="28.109375" style="5" customWidth="1"/>
    <col min="520" max="520" width="22.33203125" style="5" customWidth="1"/>
    <col min="521" max="521" width="28.88671875" style="5" bestFit="1" customWidth="1"/>
    <col min="522" max="522" width="30.109375" style="5" customWidth="1"/>
    <col min="523" max="523" width="11.44140625" style="5" bestFit="1" customWidth="1"/>
    <col min="524" max="524" width="24.88671875" style="5" bestFit="1" customWidth="1"/>
    <col min="525" max="525" width="16.44140625" style="5" bestFit="1" customWidth="1"/>
    <col min="526" max="526" width="24.5546875" style="5" bestFit="1" customWidth="1"/>
    <col min="527" max="527" width="17.44140625" style="5" bestFit="1" customWidth="1"/>
    <col min="528" max="528" width="22" style="5" bestFit="1" customWidth="1"/>
    <col min="529" max="764" width="8.88671875" style="5"/>
    <col min="765" max="765" width="25.44140625" style="5" bestFit="1" customWidth="1"/>
    <col min="766" max="766" width="37.6640625" style="5" bestFit="1" customWidth="1"/>
    <col min="767" max="767" width="14" style="5" bestFit="1" customWidth="1"/>
    <col min="768" max="768" width="25.33203125" style="5" bestFit="1" customWidth="1"/>
    <col min="769" max="769" width="18.88671875" style="5" customWidth="1"/>
    <col min="770" max="772" width="11.33203125" style="5" customWidth="1"/>
    <col min="773" max="774" width="8.88671875" style="5"/>
    <col min="775" max="775" width="28.109375" style="5" customWidth="1"/>
    <col min="776" max="776" width="22.33203125" style="5" customWidth="1"/>
    <col min="777" max="777" width="28.88671875" style="5" bestFit="1" customWidth="1"/>
    <col min="778" max="778" width="30.109375" style="5" customWidth="1"/>
    <col min="779" max="779" width="11.44140625" style="5" bestFit="1" customWidth="1"/>
    <col min="780" max="780" width="24.88671875" style="5" bestFit="1" customWidth="1"/>
    <col min="781" max="781" width="16.44140625" style="5" bestFit="1" customWidth="1"/>
    <col min="782" max="782" width="24.5546875" style="5" bestFit="1" customWidth="1"/>
    <col min="783" max="783" width="17.44140625" style="5" bestFit="1" customWidth="1"/>
    <col min="784" max="784" width="22" style="5" bestFit="1" customWidth="1"/>
    <col min="785" max="1020" width="8.88671875" style="5"/>
    <col min="1021" max="1021" width="25.44140625" style="5" bestFit="1" customWidth="1"/>
    <col min="1022" max="1022" width="37.6640625" style="5" bestFit="1" customWidth="1"/>
    <col min="1023" max="1023" width="14" style="5" bestFit="1" customWidth="1"/>
    <col min="1024" max="1024" width="25.33203125" style="5" bestFit="1" customWidth="1"/>
    <col min="1025" max="1025" width="18.88671875" style="5" customWidth="1"/>
    <col min="1026" max="1028" width="11.33203125" style="5" customWidth="1"/>
    <col min="1029" max="1030" width="8.88671875" style="5"/>
    <col min="1031" max="1031" width="28.109375" style="5" customWidth="1"/>
    <col min="1032" max="1032" width="22.33203125" style="5" customWidth="1"/>
    <col min="1033" max="1033" width="28.88671875" style="5" bestFit="1" customWidth="1"/>
    <col min="1034" max="1034" width="30.109375" style="5" customWidth="1"/>
    <col min="1035" max="1035" width="11.44140625" style="5" bestFit="1" customWidth="1"/>
    <col min="1036" max="1036" width="24.88671875" style="5" bestFit="1" customWidth="1"/>
    <col min="1037" max="1037" width="16.44140625" style="5" bestFit="1" customWidth="1"/>
    <col min="1038" max="1038" width="24.5546875" style="5" bestFit="1" customWidth="1"/>
    <col min="1039" max="1039" width="17.44140625" style="5" bestFit="1" customWidth="1"/>
    <col min="1040" max="1040" width="22" style="5" bestFit="1" customWidth="1"/>
    <col min="1041" max="1276" width="8.88671875" style="5"/>
    <col min="1277" max="1277" width="25.44140625" style="5" bestFit="1" customWidth="1"/>
    <col min="1278" max="1278" width="37.6640625" style="5" bestFit="1" customWidth="1"/>
    <col min="1279" max="1279" width="14" style="5" bestFit="1" customWidth="1"/>
    <col min="1280" max="1280" width="25.33203125" style="5" bestFit="1" customWidth="1"/>
    <col min="1281" max="1281" width="18.88671875" style="5" customWidth="1"/>
    <col min="1282" max="1284" width="11.33203125" style="5" customWidth="1"/>
    <col min="1285" max="1286" width="8.88671875" style="5"/>
    <col min="1287" max="1287" width="28.109375" style="5" customWidth="1"/>
    <col min="1288" max="1288" width="22.33203125" style="5" customWidth="1"/>
    <col min="1289" max="1289" width="28.88671875" style="5" bestFit="1" customWidth="1"/>
    <col min="1290" max="1290" width="30.109375" style="5" customWidth="1"/>
    <col min="1291" max="1291" width="11.44140625" style="5" bestFit="1" customWidth="1"/>
    <col min="1292" max="1292" width="24.88671875" style="5" bestFit="1" customWidth="1"/>
    <col min="1293" max="1293" width="16.44140625" style="5" bestFit="1" customWidth="1"/>
    <col min="1294" max="1294" width="24.5546875" style="5" bestFit="1" customWidth="1"/>
    <col min="1295" max="1295" width="17.44140625" style="5" bestFit="1" customWidth="1"/>
    <col min="1296" max="1296" width="22" style="5" bestFit="1" customWidth="1"/>
    <col min="1297" max="1532" width="8.88671875" style="5"/>
    <col min="1533" max="1533" width="25.44140625" style="5" bestFit="1" customWidth="1"/>
    <col min="1534" max="1534" width="37.6640625" style="5" bestFit="1" customWidth="1"/>
    <col min="1535" max="1535" width="14" style="5" bestFit="1" customWidth="1"/>
    <col min="1536" max="1536" width="25.33203125" style="5" bestFit="1" customWidth="1"/>
    <col min="1537" max="1537" width="18.88671875" style="5" customWidth="1"/>
    <col min="1538" max="1540" width="11.33203125" style="5" customWidth="1"/>
    <col min="1541" max="1542" width="8.88671875" style="5"/>
    <col min="1543" max="1543" width="28.109375" style="5" customWidth="1"/>
    <col min="1544" max="1544" width="22.33203125" style="5" customWidth="1"/>
    <col min="1545" max="1545" width="28.88671875" style="5" bestFit="1" customWidth="1"/>
    <col min="1546" max="1546" width="30.109375" style="5" customWidth="1"/>
    <col min="1547" max="1547" width="11.44140625" style="5" bestFit="1" customWidth="1"/>
    <col min="1548" max="1548" width="24.88671875" style="5" bestFit="1" customWidth="1"/>
    <col min="1549" max="1549" width="16.44140625" style="5" bestFit="1" customWidth="1"/>
    <col min="1550" max="1550" width="24.5546875" style="5" bestFit="1" customWidth="1"/>
    <col min="1551" max="1551" width="17.44140625" style="5" bestFit="1" customWidth="1"/>
    <col min="1552" max="1552" width="22" style="5" bestFit="1" customWidth="1"/>
    <col min="1553" max="1788" width="8.88671875" style="5"/>
    <col min="1789" max="1789" width="25.44140625" style="5" bestFit="1" customWidth="1"/>
    <col min="1790" max="1790" width="37.6640625" style="5" bestFit="1" customWidth="1"/>
    <col min="1791" max="1791" width="14" style="5" bestFit="1" customWidth="1"/>
    <col min="1792" max="1792" width="25.33203125" style="5" bestFit="1" customWidth="1"/>
    <col min="1793" max="1793" width="18.88671875" style="5" customWidth="1"/>
    <col min="1794" max="1796" width="11.33203125" style="5" customWidth="1"/>
    <col min="1797" max="1798" width="8.88671875" style="5"/>
    <col min="1799" max="1799" width="28.109375" style="5" customWidth="1"/>
    <col min="1800" max="1800" width="22.33203125" style="5" customWidth="1"/>
    <col min="1801" max="1801" width="28.88671875" style="5" bestFit="1" customWidth="1"/>
    <col min="1802" max="1802" width="30.109375" style="5" customWidth="1"/>
    <col min="1803" max="1803" width="11.44140625" style="5" bestFit="1" customWidth="1"/>
    <col min="1804" max="1804" width="24.88671875" style="5" bestFit="1" customWidth="1"/>
    <col min="1805" max="1805" width="16.44140625" style="5" bestFit="1" customWidth="1"/>
    <col min="1806" max="1806" width="24.5546875" style="5" bestFit="1" customWidth="1"/>
    <col min="1807" max="1807" width="17.44140625" style="5" bestFit="1" customWidth="1"/>
    <col min="1808" max="1808" width="22" style="5" bestFit="1" customWidth="1"/>
    <col min="1809" max="2044" width="8.88671875" style="5"/>
    <col min="2045" max="2045" width="25.44140625" style="5" bestFit="1" customWidth="1"/>
    <col min="2046" max="2046" width="37.6640625" style="5" bestFit="1" customWidth="1"/>
    <col min="2047" max="2047" width="14" style="5" bestFit="1" customWidth="1"/>
    <col min="2048" max="2048" width="25.33203125" style="5" bestFit="1" customWidth="1"/>
    <col min="2049" max="2049" width="18.88671875" style="5" customWidth="1"/>
    <col min="2050" max="2052" width="11.33203125" style="5" customWidth="1"/>
    <col min="2053" max="2054" width="8.88671875" style="5"/>
    <col min="2055" max="2055" width="28.109375" style="5" customWidth="1"/>
    <col min="2056" max="2056" width="22.33203125" style="5" customWidth="1"/>
    <col min="2057" max="2057" width="28.88671875" style="5" bestFit="1" customWidth="1"/>
    <col min="2058" max="2058" width="30.109375" style="5" customWidth="1"/>
    <col min="2059" max="2059" width="11.44140625" style="5" bestFit="1" customWidth="1"/>
    <col min="2060" max="2060" width="24.88671875" style="5" bestFit="1" customWidth="1"/>
    <col min="2061" max="2061" width="16.44140625" style="5" bestFit="1" customWidth="1"/>
    <col min="2062" max="2062" width="24.5546875" style="5" bestFit="1" customWidth="1"/>
    <col min="2063" max="2063" width="17.44140625" style="5" bestFit="1" customWidth="1"/>
    <col min="2064" max="2064" width="22" style="5" bestFit="1" customWidth="1"/>
    <col min="2065" max="2300" width="8.88671875" style="5"/>
    <col min="2301" max="2301" width="25.44140625" style="5" bestFit="1" customWidth="1"/>
    <col min="2302" max="2302" width="37.6640625" style="5" bestFit="1" customWidth="1"/>
    <col min="2303" max="2303" width="14" style="5" bestFit="1" customWidth="1"/>
    <col min="2304" max="2304" width="25.33203125" style="5" bestFit="1" customWidth="1"/>
    <col min="2305" max="2305" width="18.88671875" style="5" customWidth="1"/>
    <col min="2306" max="2308" width="11.33203125" style="5" customWidth="1"/>
    <col min="2309" max="2310" width="8.88671875" style="5"/>
    <col min="2311" max="2311" width="28.109375" style="5" customWidth="1"/>
    <col min="2312" max="2312" width="22.33203125" style="5" customWidth="1"/>
    <col min="2313" max="2313" width="28.88671875" style="5" bestFit="1" customWidth="1"/>
    <col min="2314" max="2314" width="30.109375" style="5" customWidth="1"/>
    <col min="2315" max="2315" width="11.44140625" style="5" bestFit="1" customWidth="1"/>
    <col min="2316" max="2316" width="24.88671875" style="5" bestFit="1" customWidth="1"/>
    <col min="2317" max="2317" width="16.44140625" style="5" bestFit="1" customWidth="1"/>
    <col min="2318" max="2318" width="24.5546875" style="5" bestFit="1" customWidth="1"/>
    <col min="2319" max="2319" width="17.44140625" style="5" bestFit="1" customWidth="1"/>
    <col min="2320" max="2320" width="22" style="5" bestFit="1" customWidth="1"/>
    <col min="2321" max="2556" width="8.88671875" style="5"/>
    <col min="2557" max="2557" width="25.44140625" style="5" bestFit="1" customWidth="1"/>
    <col min="2558" max="2558" width="37.6640625" style="5" bestFit="1" customWidth="1"/>
    <col min="2559" max="2559" width="14" style="5" bestFit="1" customWidth="1"/>
    <col min="2560" max="2560" width="25.33203125" style="5" bestFit="1" customWidth="1"/>
    <col min="2561" max="2561" width="18.88671875" style="5" customWidth="1"/>
    <col min="2562" max="2564" width="11.33203125" style="5" customWidth="1"/>
    <col min="2565" max="2566" width="8.88671875" style="5"/>
    <col min="2567" max="2567" width="28.109375" style="5" customWidth="1"/>
    <col min="2568" max="2568" width="22.33203125" style="5" customWidth="1"/>
    <col min="2569" max="2569" width="28.88671875" style="5" bestFit="1" customWidth="1"/>
    <col min="2570" max="2570" width="30.109375" style="5" customWidth="1"/>
    <col min="2571" max="2571" width="11.44140625" style="5" bestFit="1" customWidth="1"/>
    <col min="2572" max="2572" width="24.88671875" style="5" bestFit="1" customWidth="1"/>
    <col min="2573" max="2573" width="16.44140625" style="5" bestFit="1" customWidth="1"/>
    <col min="2574" max="2574" width="24.5546875" style="5" bestFit="1" customWidth="1"/>
    <col min="2575" max="2575" width="17.44140625" style="5" bestFit="1" customWidth="1"/>
    <col min="2576" max="2576" width="22" style="5" bestFit="1" customWidth="1"/>
    <col min="2577" max="2812" width="8.88671875" style="5"/>
    <col min="2813" max="2813" width="25.44140625" style="5" bestFit="1" customWidth="1"/>
    <col min="2814" max="2814" width="37.6640625" style="5" bestFit="1" customWidth="1"/>
    <col min="2815" max="2815" width="14" style="5" bestFit="1" customWidth="1"/>
    <col min="2816" max="2816" width="25.33203125" style="5" bestFit="1" customWidth="1"/>
    <col min="2817" max="2817" width="18.88671875" style="5" customWidth="1"/>
    <col min="2818" max="2820" width="11.33203125" style="5" customWidth="1"/>
    <col min="2821" max="2822" width="8.88671875" style="5"/>
    <col min="2823" max="2823" width="28.109375" style="5" customWidth="1"/>
    <col min="2824" max="2824" width="22.33203125" style="5" customWidth="1"/>
    <col min="2825" max="2825" width="28.88671875" style="5" bestFit="1" customWidth="1"/>
    <col min="2826" max="2826" width="30.109375" style="5" customWidth="1"/>
    <col min="2827" max="2827" width="11.44140625" style="5" bestFit="1" customWidth="1"/>
    <col min="2828" max="2828" width="24.88671875" style="5" bestFit="1" customWidth="1"/>
    <col min="2829" max="2829" width="16.44140625" style="5" bestFit="1" customWidth="1"/>
    <col min="2830" max="2830" width="24.5546875" style="5" bestFit="1" customWidth="1"/>
    <col min="2831" max="2831" width="17.44140625" style="5" bestFit="1" customWidth="1"/>
    <col min="2832" max="2832" width="22" style="5" bestFit="1" customWidth="1"/>
    <col min="2833" max="3068" width="8.88671875" style="5"/>
    <col min="3069" max="3069" width="25.44140625" style="5" bestFit="1" customWidth="1"/>
    <col min="3070" max="3070" width="37.6640625" style="5" bestFit="1" customWidth="1"/>
    <col min="3071" max="3071" width="14" style="5" bestFit="1" customWidth="1"/>
    <col min="3072" max="3072" width="25.33203125" style="5" bestFit="1" customWidth="1"/>
    <col min="3073" max="3073" width="18.88671875" style="5" customWidth="1"/>
    <col min="3074" max="3076" width="11.33203125" style="5" customWidth="1"/>
    <col min="3077" max="3078" width="8.88671875" style="5"/>
    <col min="3079" max="3079" width="28.109375" style="5" customWidth="1"/>
    <col min="3080" max="3080" width="22.33203125" style="5" customWidth="1"/>
    <col min="3081" max="3081" width="28.88671875" style="5" bestFit="1" customWidth="1"/>
    <col min="3082" max="3082" width="30.109375" style="5" customWidth="1"/>
    <col min="3083" max="3083" width="11.44140625" style="5" bestFit="1" customWidth="1"/>
    <col min="3084" max="3084" width="24.88671875" style="5" bestFit="1" customWidth="1"/>
    <col min="3085" max="3085" width="16.44140625" style="5" bestFit="1" customWidth="1"/>
    <col min="3086" max="3086" width="24.5546875" style="5" bestFit="1" customWidth="1"/>
    <col min="3087" max="3087" width="17.44140625" style="5" bestFit="1" customWidth="1"/>
    <col min="3088" max="3088" width="22" style="5" bestFit="1" customWidth="1"/>
    <col min="3089" max="3324" width="8.88671875" style="5"/>
    <col min="3325" max="3325" width="25.44140625" style="5" bestFit="1" customWidth="1"/>
    <col min="3326" max="3326" width="37.6640625" style="5" bestFit="1" customWidth="1"/>
    <col min="3327" max="3327" width="14" style="5" bestFit="1" customWidth="1"/>
    <col min="3328" max="3328" width="25.33203125" style="5" bestFit="1" customWidth="1"/>
    <col min="3329" max="3329" width="18.88671875" style="5" customWidth="1"/>
    <col min="3330" max="3332" width="11.33203125" style="5" customWidth="1"/>
    <col min="3333" max="3334" width="8.88671875" style="5"/>
    <col min="3335" max="3335" width="28.109375" style="5" customWidth="1"/>
    <col min="3336" max="3336" width="22.33203125" style="5" customWidth="1"/>
    <col min="3337" max="3337" width="28.88671875" style="5" bestFit="1" customWidth="1"/>
    <col min="3338" max="3338" width="30.109375" style="5" customWidth="1"/>
    <col min="3339" max="3339" width="11.44140625" style="5" bestFit="1" customWidth="1"/>
    <col min="3340" max="3340" width="24.88671875" style="5" bestFit="1" customWidth="1"/>
    <col min="3341" max="3341" width="16.44140625" style="5" bestFit="1" customWidth="1"/>
    <col min="3342" max="3342" width="24.5546875" style="5" bestFit="1" customWidth="1"/>
    <col min="3343" max="3343" width="17.44140625" style="5" bestFit="1" customWidth="1"/>
    <col min="3344" max="3344" width="22" style="5" bestFit="1" customWidth="1"/>
    <col min="3345" max="3580" width="8.88671875" style="5"/>
    <col min="3581" max="3581" width="25.44140625" style="5" bestFit="1" customWidth="1"/>
    <col min="3582" max="3582" width="37.6640625" style="5" bestFit="1" customWidth="1"/>
    <col min="3583" max="3583" width="14" style="5" bestFit="1" customWidth="1"/>
    <col min="3584" max="3584" width="25.33203125" style="5" bestFit="1" customWidth="1"/>
    <col min="3585" max="3585" width="18.88671875" style="5" customWidth="1"/>
    <col min="3586" max="3588" width="11.33203125" style="5" customWidth="1"/>
    <col min="3589" max="3590" width="8.88671875" style="5"/>
    <col min="3591" max="3591" width="28.109375" style="5" customWidth="1"/>
    <col min="3592" max="3592" width="22.33203125" style="5" customWidth="1"/>
    <col min="3593" max="3593" width="28.88671875" style="5" bestFit="1" customWidth="1"/>
    <col min="3594" max="3594" width="30.109375" style="5" customWidth="1"/>
    <col min="3595" max="3595" width="11.44140625" style="5" bestFit="1" customWidth="1"/>
    <col min="3596" max="3596" width="24.88671875" style="5" bestFit="1" customWidth="1"/>
    <col min="3597" max="3597" width="16.44140625" style="5" bestFit="1" customWidth="1"/>
    <col min="3598" max="3598" width="24.5546875" style="5" bestFit="1" customWidth="1"/>
    <col min="3599" max="3599" width="17.44140625" style="5" bestFit="1" customWidth="1"/>
    <col min="3600" max="3600" width="22" style="5" bestFit="1" customWidth="1"/>
    <col min="3601" max="3836" width="8.88671875" style="5"/>
    <col min="3837" max="3837" width="25.44140625" style="5" bestFit="1" customWidth="1"/>
    <col min="3838" max="3838" width="37.6640625" style="5" bestFit="1" customWidth="1"/>
    <col min="3839" max="3839" width="14" style="5" bestFit="1" customWidth="1"/>
    <col min="3840" max="3840" width="25.33203125" style="5" bestFit="1" customWidth="1"/>
    <col min="3841" max="3841" width="18.88671875" style="5" customWidth="1"/>
    <col min="3842" max="3844" width="11.33203125" style="5" customWidth="1"/>
    <col min="3845" max="3846" width="8.88671875" style="5"/>
    <col min="3847" max="3847" width="28.109375" style="5" customWidth="1"/>
    <col min="3848" max="3848" width="22.33203125" style="5" customWidth="1"/>
    <col min="3849" max="3849" width="28.88671875" style="5" bestFit="1" customWidth="1"/>
    <col min="3850" max="3850" width="30.109375" style="5" customWidth="1"/>
    <col min="3851" max="3851" width="11.44140625" style="5" bestFit="1" customWidth="1"/>
    <col min="3852" max="3852" width="24.88671875" style="5" bestFit="1" customWidth="1"/>
    <col min="3853" max="3853" width="16.44140625" style="5" bestFit="1" customWidth="1"/>
    <col min="3854" max="3854" width="24.5546875" style="5" bestFit="1" customWidth="1"/>
    <col min="3855" max="3855" width="17.44140625" style="5" bestFit="1" customWidth="1"/>
    <col min="3856" max="3856" width="22" style="5" bestFit="1" customWidth="1"/>
    <col min="3857" max="4092" width="8.88671875" style="5"/>
    <col min="4093" max="4093" width="25.44140625" style="5" bestFit="1" customWidth="1"/>
    <col min="4094" max="4094" width="37.6640625" style="5" bestFit="1" customWidth="1"/>
    <col min="4095" max="4095" width="14" style="5" bestFit="1" customWidth="1"/>
    <col min="4096" max="4096" width="25.33203125" style="5" bestFit="1" customWidth="1"/>
    <col min="4097" max="4097" width="18.88671875" style="5" customWidth="1"/>
    <col min="4098" max="4100" width="11.33203125" style="5" customWidth="1"/>
    <col min="4101" max="4102" width="8.88671875" style="5"/>
    <col min="4103" max="4103" width="28.109375" style="5" customWidth="1"/>
    <col min="4104" max="4104" width="22.33203125" style="5" customWidth="1"/>
    <col min="4105" max="4105" width="28.88671875" style="5" bestFit="1" customWidth="1"/>
    <col min="4106" max="4106" width="30.109375" style="5" customWidth="1"/>
    <col min="4107" max="4107" width="11.44140625" style="5" bestFit="1" customWidth="1"/>
    <col min="4108" max="4108" width="24.88671875" style="5" bestFit="1" customWidth="1"/>
    <col min="4109" max="4109" width="16.44140625" style="5" bestFit="1" customWidth="1"/>
    <col min="4110" max="4110" width="24.5546875" style="5" bestFit="1" customWidth="1"/>
    <col min="4111" max="4111" width="17.44140625" style="5" bestFit="1" customWidth="1"/>
    <col min="4112" max="4112" width="22" style="5" bestFit="1" customWidth="1"/>
    <col min="4113" max="4348" width="8.88671875" style="5"/>
    <col min="4349" max="4349" width="25.44140625" style="5" bestFit="1" customWidth="1"/>
    <col min="4350" max="4350" width="37.6640625" style="5" bestFit="1" customWidth="1"/>
    <col min="4351" max="4351" width="14" style="5" bestFit="1" customWidth="1"/>
    <col min="4352" max="4352" width="25.33203125" style="5" bestFit="1" customWidth="1"/>
    <col min="4353" max="4353" width="18.88671875" style="5" customWidth="1"/>
    <col min="4354" max="4356" width="11.33203125" style="5" customWidth="1"/>
    <col min="4357" max="4358" width="8.88671875" style="5"/>
    <col min="4359" max="4359" width="28.109375" style="5" customWidth="1"/>
    <col min="4360" max="4360" width="22.33203125" style="5" customWidth="1"/>
    <col min="4361" max="4361" width="28.88671875" style="5" bestFit="1" customWidth="1"/>
    <col min="4362" max="4362" width="30.109375" style="5" customWidth="1"/>
    <col min="4363" max="4363" width="11.44140625" style="5" bestFit="1" customWidth="1"/>
    <col min="4364" max="4364" width="24.88671875" style="5" bestFit="1" customWidth="1"/>
    <col min="4365" max="4365" width="16.44140625" style="5" bestFit="1" customWidth="1"/>
    <col min="4366" max="4366" width="24.5546875" style="5" bestFit="1" customWidth="1"/>
    <col min="4367" max="4367" width="17.44140625" style="5" bestFit="1" customWidth="1"/>
    <col min="4368" max="4368" width="22" style="5" bestFit="1" customWidth="1"/>
    <col min="4369" max="4604" width="8.88671875" style="5"/>
    <col min="4605" max="4605" width="25.44140625" style="5" bestFit="1" customWidth="1"/>
    <col min="4606" max="4606" width="37.6640625" style="5" bestFit="1" customWidth="1"/>
    <col min="4607" max="4607" width="14" style="5" bestFit="1" customWidth="1"/>
    <col min="4608" max="4608" width="25.33203125" style="5" bestFit="1" customWidth="1"/>
    <col min="4609" max="4609" width="18.88671875" style="5" customWidth="1"/>
    <col min="4610" max="4612" width="11.33203125" style="5" customWidth="1"/>
    <col min="4613" max="4614" width="8.88671875" style="5"/>
    <col min="4615" max="4615" width="28.109375" style="5" customWidth="1"/>
    <col min="4616" max="4616" width="22.33203125" style="5" customWidth="1"/>
    <col min="4617" max="4617" width="28.88671875" style="5" bestFit="1" customWidth="1"/>
    <col min="4618" max="4618" width="30.109375" style="5" customWidth="1"/>
    <col min="4619" max="4619" width="11.44140625" style="5" bestFit="1" customWidth="1"/>
    <col min="4620" max="4620" width="24.88671875" style="5" bestFit="1" customWidth="1"/>
    <col min="4621" max="4621" width="16.44140625" style="5" bestFit="1" customWidth="1"/>
    <col min="4622" max="4622" width="24.5546875" style="5" bestFit="1" customWidth="1"/>
    <col min="4623" max="4623" width="17.44140625" style="5" bestFit="1" customWidth="1"/>
    <col min="4624" max="4624" width="22" style="5" bestFit="1" customWidth="1"/>
    <col min="4625" max="4860" width="8.88671875" style="5"/>
    <col min="4861" max="4861" width="25.44140625" style="5" bestFit="1" customWidth="1"/>
    <col min="4862" max="4862" width="37.6640625" style="5" bestFit="1" customWidth="1"/>
    <col min="4863" max="4863" width="14" style="5" bestFit="1" customWidth="1"/>
    <col min="4864" max="4864" width="25.33203125" style="5" bestFit="1" customWidth="1"/>
    <col min="4865" max="4865" width="18.88671875" style="5" customWidth="1"/>
    <col min="4866" max="4868" width="11.33203125" style="5" customWidth="1"/>
    <col min="4869" max="4870" width="8.88671875" style="5"/>
    <col min="4871" max="4871" width="28.109375" style="5" customWidth="1"/>
    <col min="4872" max="4872" width="22.33203125" style="5" customWidth="1"/>
    <col min="4873" max="4873" width="28.88671875" style="5" bestFit="1" customWidth="1"/>
    <col min="4874" max="4874" width="30.109375" style="5" customWidth="1"/>
    <col min="4875" max="4875" width="11.44140625" style="5" bestFit="1" customWidth="1"/>
    <col min="4876" max="4876" width="24.88671875" style="5" bestFit="1" customWidth="1"/>
    <col min="4877" max="4877" width="16.44140625" style="5" bestFit="1" customWidth="1"/>
    <col min="4878" max="4878" width="24.5546875" style="5" bestFit="1" customWidth="1"/>
    <col min="4879" max="4879" width="17.44140625" style="5" bestFit="1" customWidth="1"/>
    <col min="4880" max="4880" width="22" style="5" bestFit="1" customWidth="1"/>
    <col min="4881" max="5116" width="8.88671875" style="5"/>
    <col min="5117" max="5117" width="25.44140625" style="5" bestFit="1" customWidth="1"/>
    <col min="5118" max="5118" width="37.6640625" style="5" bestFit="1" customWidth="1"/>
    <col min="5119" max="5119" width="14" style="5" bestFit="1" customWidth="1"/>
    <col min="5120" max="5120" width="25.33203125" style="5" bestFit="1" customWidth="1"/>
    <col min="5121" max="5121" width="18.88671875" style="5" customWidth="1"/>
    <col min="5122" max="5124" width="11.33203125" style="5" customWidth="1"/>
    <col min="5125" max="5126" width="8.88671875" style="5"/>
    <col min="5127" max="5127" width="28.109375" style="5" customWidth="1"/>
    <col min="5128" max="5128" width="22.33203125" style="5" customWidth="1"/>
    <col min="5129" max="5129" width="28.88671875" style="5" bestFit="1" customWidth="1"/>
    <col min="5130" max="5130" width="30.109375" style="5" customWidth="1"/>
    <col min="5131" max="5131" width="11.44140625" style="5" bestFit="1" customWidth="1"/>
    <col min="5132" max="5132" width="24.88671875" style="5" bestFit="1" customWidth="1"/>
    <col min="5133" max="5133" width="16.44140625" style="5" bestFit="1" customWidth="1"/>
    <col min="5134" max="5134" width="24.5546875" style="5" bestFit="1" customWidth="1"/>
    <col min="5135" max="5135" width="17.44140625" style="5" bestFit="1" customWidth="1"/>
    <col min="5136" max="5136" width="22" style="5" bestFit="1" customWidth="1"/>
    <col min="5137" max="5372" width="8.88671875" style="5"/>
    <col min="5373" max="5373" width="25.44140625" style="5" bestFit="1" customWidth="1"/>
    <col min="5374" max="5374" width="37.6640625" style="5" bestFit="1" customWidth="1"/>
    <col min="5375" max="5375" width="14" style="5" bestFit="1" customWidth="1"/>
    <col min="5376" max="5376" width="25.33203125" style="5" bestFit="1" customWidth="1"/>
    <col min="5377" max="5377" width="18.88671875" style="5" customWidth="1"/>
    <col min="5378" max="5380" width="11.33203125" style="5" customWidth="1"/>
    <col min="5381" max="5382" width="8.88671875" style="5"/>
    <col min="5383" max="5383" width="28.109375" style="5" customWidth="1"/>
    <col min="5384" max="5384" width="22.33203125" style="5" customWidth="1"/>
    <col min="5385" max="5385" width="28.88671875" style="5" bestFit="1" customWidth="1"/>
    <col min="5386" max="5386" width="30.109375" style="5" customWidth="1"/>
    <col min="5387" max="5387" width="11.44140625" style="5" bestFit="1" customWidth="1"/>
    <col min="5388" max="5388" width="24.88671875" style="5" bestFit="1" customWidth="1"/>
    <col min="5389" max="5389" width="16.44140625" style="5" bestFit="1" customWidth="1"/>
    <col min="5390" max="5390" width="24.5546875" style="5" bestFit="1" customWidth="1"/>
    <col min="5391" max="5391" width="17.44140625" style="5" bestFit="1" customWidth="1"/>
    <col min="5392" max="5392" width="22" style="5" bestFit="1" customWidth="1"/>
    <col min="5393" max="5628" width="8.88671875" style="5"/>
    <col min="5629" max="5629" width="25.44140625" style="5" bestFit="1" customWidth="1"/>
    <col min="5630" max="5630" width="37.6640625" style="5" bestFit="1" customWidth="1"/>
    <col min="5631" max="5631" width="14" style="5" bestFit="1" customWidth="1"/>
    <col min="5632" max="5632" width="25.33203125" style="5" bestFit="1" customWidth="1"/>
    <col min="5633" max="5633" width="18.88671875" style="5" customWidth="1"/>
    <col min="5634" max="5636" width="11.33203125" style="5" customWidth="1"/>
    <col min="5637" max="5638" width="8.88671875" style="5"/>
    <col min="5639" max="5639" width="28.109375" style="5" customWidth="1"/>
    <col min="5640" max="5640" width="22.33203125" style="5" customWidth="1"/>
    <col min="5641" max="5641" width="28.88671875" style="5" bestFit="1" customWidth="1"/>
    <col min="5642" max="5642" width="30.109375" style="5" customWidth="1"/>
    <col min="5643" max="5643" width="11.44140625" style="5" bestFit="1" customWidth="1"/>
    <col min="5644" max="5644" width="24.88671875" style="5" bestFit="1" customWidth="1"/>
    <col min="5645" max="5645" width="16.44140625" style="5" bestFit="1" customWidth="1"/>
    <col min="5646" max="5646" width="24.5546875" style="5" bestFit="1" customWidth="1"/>
    <col min="5647" max="5647" width="17.44140625" style="5" bestFit="1" customWidth="1"/>
    <col min="5648" max="5648" width="22" style="5" bestFit="1" customWidth="1"/>
    <col min="5649" max="5884" width="8.88671875" style="5"/>
    <col min="5885" max="5885" width="25.44140625" style="5" bestFit="1" customWidth="1"/>
    <col min="5886" max="5886" width="37.6640625" style="5" bestFit="1" customWidth="1"/>
    <col min="5887" max="5887" width="14" style="5" bestFit="1" customWidth="1"/>
    <col min="5888" max="5888" width="25.33203125" style="5" bestFit="1" customWidth="1"/>
    <col min="5889" max="5889" width="18.88671875" style="5" customWidth="1"/>
    <col min="5890" max="5892" width="11.33203125" style="5" customWidth="1"/>
    <col min="5893" max="5894" width="8.88671875" style="5"/>
    <col min="5895" max="5895" width="28.109375" style="5" customWidth="1"/>
    <col min="5896" max="5896" width="22.33203125" style="5" customWidth="1"/>
    <col min="5897" max="5897" width="28.88671875" style="5" bestFit="1" customWidth="1"/>
    <col min="5898" max="5898" width="30.109375" style="5" customWidth="1"/>
    <col min="5899" max="5899" width="11.44140625" style="5" bestFit="1" customWidth="1"/>
    <col min="5900" max="5900" width="24.88671875" style="5" bestFit="1" customWidth="1"/>
    <col min="5901" max="5901" width="16.44140625" style="5" bestFit="1" customWidth="1"/>
    <col min="5902" max="5902" width="24.5546875" style="5" bestFit="1" customWidth="1"/>
    <col min="5903" max="5903" width="17.44140625" style="5" bestFit="1" customWidth="1"/>
    <col min="5904" max="5904" width="22" style="5" bestFit="1" customWidth="1"/>
    <col min="5905" max="6140" width="8.88671875" style="5"/>
    <col min="6141" max="6141" width="25.44140625" style="5" bestFit="1" customWidth="1"/>
    <col min="6142" max="6142" width="37.6640625" style="5" bestFit="1" customWidth="1"/>
    <col min="6143" max="6143" width="14" style="5" bestFit="1" customWidth="1"/>
    <col min="6144" max="6144" width="25.33203125" style="5" bestFit="1" customWidth="1"/>
    <col min="6145" max="6145" width="18.88671875" style="5" customWidth="1"/>
    <col min="6146" max="6148" width="11.33203125" style="5" customWidth="1"/>
    <col min="6149" max="6150" width="8.88671875" style="5"/>
    <col min="6151" max="6151" width="28.109375" style="5" customWidth="1"/>
    <col min="6152" max="6152" width="22.33203125" style="5" customWidth="1"/>
    <col min="6153" max="6153" width="28.88671875" style="5" bestFit="1" customWidth="1"/>
    <col min="6154" max="6154" width="30.109375" style="5" customWidth="1"/>
    <col min="6155" max="6155" width="11.44140625" style="5" bestFit="1" customWidth="1"/>
    <col min="6156" max="6156" width="24.88671875" style="5" bestFit="1" customWidth="1"/>
    <col min="6157" max="6157" width="16.44140625" style="5" bestFit="1" customWidth="1"/>
    <col min="6158" max="6158" width="24.5546875" style="5" bestFit="1" customWidth="1"/>
    <col min="6159" max="6159" width="17.44140625" style="5" bestFit="1" customWidth="1"/>
    <col min="6160" max="6160" width="22" style="5" bestFit="1" customWidth="1"/>
    <col min="6161" max="6396" width="8.88671875" style="5"/>
    <col min="6397" max="6397" width="25.44140625" style="5" bestFit="1" customWidth="1"/>
    <col min="6398" max="6398" width="37.6640625" style="5" bestFit="1" customWidth="1"/>
    <col min="6399" max="6399" width="14" style="5" bestFit="1" customWidth="1"/>
    <col min="6400" max="6400" width="25.33203125" style="5" bestFit="1" customWidth="1"/>
    <col min="6401" max="6401" width="18.88671875" style="5" customWidth="1"/>
    <col min="6402" max="6404" width="11.33203125" style="5" customWidth="1"/>
    <col min="6405" max="6406" width="8.88671875" style="5"/>
    <col min="6407" max="6407" width="28.109375" style="5" customWidth="1"/>
    <col min="6408" max="6408" width="22.33203125" style="5" customWidth="1"/>
    <col min="6409" max="6409" width="28.88671875" style="5" bestFit="1" customWidth="1"/>
    <col min="6410" max="6410" width="30.109375" style="5" customWidth="1"/>
    <col min="6411" max="6411" width="11.44140625" style="5" bestFit="1" customWidth="1"/>
    <col min="6412" max="6412" width="24.88671875" style="5" bestFit="1" customWidth="1"/>
    <col min="6413" max="6413" width="16.44140625" style="5" bestFit="1" customWidth="1"/>
    <col min="6414" max="6414" width="24.5546875" style="5" bestFit="1" customWidth="1"/>
    <col min="6415" max="6415" width="17.44140625" style="5" bestFit="1" customWidth="1"/>
    <col min="6416" max="6416" width="22" style="5" bestFit="1" customWidth="1"/>
    <col min="6417" max="6652" width="8.88671875" style="5"/>
    <col min="6653" max="6653" width="25.44140625" style="5" bestFit="1" customWidth="1"/>
    <col min="6654" max="6654" width="37.6640625" style="5" bestFit="1" customWidth="1"/>
    <col min="6655" max="6655" width="14" style="5" bestFit="1" customWidth="1"/>
    <col min="6656" max="6656" width="25.33203125" style="5" bestFit="1" customWidth="1"/>
    <col min="6657" max="6657" width="18.88671875" style="5" customWidth="1"/>
    <col min="6658" max="6660" width="11.33203125" style="5" customWidth="1"/>
    <col min="6661" max="6662" width="8.88671875" style="5"/>
    <col min="6663" max="6663" width="28.109375" style="5" customWidth="1"/>
    <col min="6664" max="6664" width="22.33203125" style="5" customWidth="1"/>
    <col min="6665" max="6665" width="28.88671875" style="5" bestFit="1" customWidth="1"/>
    <col min="6666" max="6666" width="30.109375" style="5" customWidth="1"/>
    <col min="6667" max="6667" width="11.44140625" style="5" bestFit="1" customWidth="1"/>
    <col min="6668" max="6668" width="24.88671875" style="5" bestFit="1" customWidth="1"/>
    <col min="6669" max="6669" width="16.44140625" style="5" bestFit="1" customWidth="1"/>
    <col min="6670" max="6670" width="24.5546875" style="5" bestFit="1" customWidth="1"/>
    <col min="6671" max="6671" width="17.44140625" style="5" bestFit="1" customWidth="1"/>
    <col min="6672" max="6672" width="22" style="5" bestFit="1" customWidth="1"/>
    <col min="6673" max="6908" width="8.88671875" style="5"/>
    <col min="6909" max="6909" width="25.44140625" style="5" bestFit="1" customWidth="1"/>
    <col min="6910" max="6910" width="37.6640625" style="5" bestFit="1" customWidth="1"/>
    <col min="6911" max="6911" width="14" style="5" bestFit="1" customWidth="1"/>
    <col min="6912" max="6912" width="25.33203125" style="5" bestFit="1" customWidth="1"/>
    <col min="6913" max="6913" width="18.88671875" style="5" customWidth="1"/>
    <col min="6914" max="6916" width="11.33203125" style="5" customWidth="1"/>
    <col min="6917" max="6918" width="8.88671875" style="5"/>
    <col min="6919" max="6919" width="28.109375" style="5" customWidth="1"/>
    <col min="6920" max="6920" width="22.33203125" style="5" customWidth="1"/>
    <col min="6921" max="6921" width="28.88671875" style="5" bestFit="1" customWidth="1"/>
    <col min="6922" max="6922" width="30.109375" style="5" customWidth="1"/>
    <col min="6923" max="6923" width="11.44140625" style="5" bestFit="1" customWidth="1"/>
    <col min="6924" max="6924" width="24.88671875" style="5" bestFit="1" customWidth="1"/>
    <col min="6925" max="6925" width="16.44140625" style="5" bestFit="1" customWidth="1"/>
    <col min="6926" max="6926" width="24.5546875" style="5" bestFit="1" customWidth="1"/>
    <col min="6927" max="6927" width="17.44140625" style="5" bestFit="1" customWidth="1"/>
    <col min="6928" max="6928" width="22" style="5" bestFit="1" customWidth="1"/>
    <col min="6929" max="7164" width="8.88671875" style="5"/>
    <col min="7165" max="7165" width="25.44140625" style="5" bestFit="1" customWidth="1"/>
    <col min="7166" max="7166" width="37.6640625" style="5" bestFit="1" customWidth="1"/>
    <col min="7167" max="7167" width="14" style="5" bestFit="1" customWidth="1"/>
    <col min="7168" max="7168" width="25.33203125" style="5" bestFit="1" customWidth="1"/>
    <col min="7169" max="7169" width="18.88671875" style="5" customWidth="1"/>
    <col min="7170" max="7172" width="11.33203125" style="5" customWidth="1"/>
    <col min="7173" max="7174" width="8.88671875" style="5"/>
    <col min="7175" max="7175" width="28.109375" style="5" customWidth="1"/>
    <col min="7176" max="7176" width="22.33203125" style="5" customWidth="1"/>
    <col min="7177" max="7177" width="28.88671875" style="5" bestFit="1" customWidth="1"/>
    <col min="7178" max="7178" width="30.109375" style="5" customWidth="1"/>
    <col min="7179" max="7179" width="11.44140625" style="5" bestFit="1" customWidth="1"/>
    <col min="7180" max="7180" width="24.88671875" style="5" bestFit="1" customWidth="1"/>
    <col min="7181" max="7181" width="16.44140625" style="5" bestFit="1" customWidth="1"/>
    <col min="7182" max="7182" width="24.5546875" style="5" bestFit="1" customWidth="1"/>
    <col min="7183" max="7183" width="17.44140625" style="5" bestFit="1" customWidth="1"/>
    <col min="7184" max="7184" width="22" style="5" bestFit="1" customWidth="1"/>
    <col min="7185" max="7420" width="8.88671875" style="5"/>
    <col min="7421" max="7421" width="25.44140625" style="5" bestFit="1" customWidth="1"/>
    <col min="7422" max="7422" width="37.6640625" style="5" bestFit="1" customWidth="1"/>
    <col min="7423" max="7423" width="14" style="5" bestFit="1" customWidth="1"/>
    <col min="7424" max="7424" width="25.33203125" style="5" bestFit="1" customWidth="1"/>
    <col min="7425" max="7425" width="18.88671875" style="5" customWidth="1"/>
    <col min="7426" max="7428" width="11.33203125" style="5" customWidth="1"/>
    <col min="7429" max="7430" width="8.88671875" style="5"/>
    <col min="7431" max="7431" width="28.109375" style="5" customWidth="1"/>
    <col min="7432" max="7432" width="22.33203125" style="5" customWidth="1"/>
    <col min="7433" max="7433" width="28.88671875" style="5" bestFit="1" customWidth="1"/>
    <col min="7434" max="7434" width="30.109375" style="5" customWidth="1"/>
    <col min="7435" max="7435" width="11.44140625" style="5" bestFit="1" customWidth="1"/>
    <col min="7436" max="7436" width="24.88671875" style="5" bestFit="1" customWidth="1"/>
    <col min="7437" max="7437" width="16.44140625" style="5" bestFit="1" customWidth="1"/>
    <col min="7438" max="7438" width="24.5546875" style="5" bestFit="1" customWidth="1"/>
    <col min="7439" max="7439" width="17.44140625" style="5" bestFit="1" customWidth="1"/>
    <col min="7440" max="7440" width="22" style="5" bestFit="1" customWidth="1"/>
    <col min="7441" max="7676" width="8.88671875" style="5"/>
    <col min="7677" max="7677" width="25.44140625" style="5" bestFit="1" customWidth="1"/>
    <col min="7678" max="7678" width="37.6640625" style="5" bestFit="1" customWidth="1"/>
    <col min="7679" max="7679" width="14" style="5" bestFit="1" customWidth="1"/>
    <col min="7680" max="7680" width="25.33203125" style="5" bestFit="1" customWidth="1"/>
    <col min="7681" max="7681" width="18.88671875" style="5" customWidth="1"/>
    <col min="7682" max="7684" width="11.33203125" style="5" customWidth="1"/>
    <col min="7685" max="7686" width="8.88671875" style="5"/>
    <col min="7687" max="7687" width="28.109375" style="5" customWidth="1"/>
    <col min="7688" max="7688" width="22.33203125" style="5" customWidth="1"/>
    <col min="7689" max="7689" width="28.88671875" style="5" bestFit="1" customWidth="1"/>
    <col min="7690" max="7690" width="30.109375" style="5" customWidth="1"/>
    <col min="7691" max="7691" width="11.44140625" style="5" bestFit="1" customWidth="1"/>
    <col min="7692" max="7692" width="24.88671875" style="5" bestFit="1" customWidth="1"/>
    <col min="7693" max="7693" width="16.44140625" style="5" bestFit="1" customWidth="1"/>
    <col min="7694" max="7694" width="24.5546875" style="5" bestFit="1" customWidth="1"/>
    <col min="7695" max="7695" width="17.44140625" style="5" bestFit="1" customWidth="1"/>
    <col min="7696" max="7696" width="22" style="5" bestFit="1" customWidth="1"/>
    <col min="7697" max="7932" width="8.88671875" style="5"/>
    <col min="7933" max="7933" width="25.44140625" style="5" bestFit="1" customWidth="1"/>
    <col min="7934" max="7934" width="37.6640625" style="5" bestFit="1" customWidth="1"/>
    <col min="7935" max="7935" width="14" style="5" bestFit="1" customWidth="1"/>
    <col min="7936" max="7936" width="25.33203125" style="5" bestFit="1" customWidth="1"/>
    <col min="7937" max="7937" width="18.88671875" style="5" customWidth="1"/>
    <col min="7938" max="7940" width="11.33203125" style="5" customWidth="1"/>
    <col min="7941" max="7942" width="8.88671875" style="5"/>
    <col min="7943" max="7943" width="28.109375" style="5" customWidth="1"/>
    <col min="7944" max="7944" width="22.33203125" style="5" customWidth="1"/>
    <col min="7945" max="7945" width="28.88671875" style="5" bestFit="1" customWidth="1"/>
    <col min="7946" max="7946" width="30.109375" style="5" customWidth="1"/>
    <col min="7947" max="7947" width="11.44140625" style="5" bestFit="1" customWidth="1"/>
    <col min="7948" max="7948" width="24.88671875" style="5" bestFit="1" customWidth="1"/>
    <col min="7949" max="7949" width="16.44140625" style="5" bestFit="1" customWidth="1"/>
    <col min="7950" max="7950" width="24.5546875" style="5" bestFit="1" customWidth="1"/>
    <col min="7951" max="7951" width="17.44140625" style="5" bestFit="1" customWidth="1"/>
    <col min="7952" max="7952" width="22" style="5" bestFit="1" customWidth="1"/>
    <col min="7953" max="8188" width="8.88671875" style="5"/>
    <col min="8189" max="8189" width="25.44140625" style="5" bestFit="1" customWidth="1"/>
    <col min="8190" max="8190" width="37.6640625" style="5" bestFit="1" customWidth="1"/>
    <col min="8191" max="8191" width="14" style="5" bestFit="1" customWidth="1"/>
    <col min="8192" max="8192" width="25.33203125" style="5" bestFit="1" customWidth="1"/>
    <col min="8193" max="8193" width="18.88671875" style="5" customWidth="1"/>
    <col min="8194" max="8196" width="11.33203125" style="5" customWidth="1"/>
    <col min="8197" max="8198" width="8.88671875" style="5"/>
    <col min="8199" max="8199" width="28.109375" style="5" customWidth="1"/>
    <col min="8200" max="8200" width="22.33203125" style="5" customWidth="1"/>
    <col min="8201" max="8201" width="28.88671875" style="5" bestFit="1" customWidth="1"/>
    <col min="8202" max="8202" width="30.109375" style="5" customWidth="1"/>
    <col min="8203" max="8203" width="11.44140625" style="5" bestFit="1" customWidth="1"/>
    <col min="8204" max="8204" width="24.88671875" style="5" bestFit="1" customWidth="1"/>
    <col min="8205" max="8205" width="16.44140625" style="5" bestFit="1" customWidth="1"/>
    <col min="8206" max="8206" width="24.5546875" style="5" bestFit="1" customWidth="1"/>
    <col min="8207" max="8207" width="17.44140625" style="5" bestFit="1" customWidth="1"/>
    <col min="8208" max="8208" width="22" style="5" bestFit="1" customWidth="1"/>
    <col min="8209" max="8444" width="8.88671875" style="5"/>
    <col min="8445" max="8445" width="25.44140625" style="5" bestFit="1" customWidth="1"/>
    <col min="8446" max="8446" width="37.6640625" style="5" bestFit="1" customWidth="1"/>
    <col min="8447" max="8447" width="14" style="5" bestFit="1" customWidth="1"/>
    <col min="8448" max="8448" width="25.33203125" style="5" bestFit="1" customWidth="1"/>
    <col min="8449" max="8449" width="18.88671875" style="5" customWidth="1"/>
    <col min="8450" max="8452" width="11.33203125" style="5" customWidth="1"/>
    <col min="8453" max="8454" width="8.88671875" style="5"/>
    <col min="8455" max="8455" width="28.109375" style="5" customWidth="1"/>
    <col min="8456" max="8456" width="22.33203125" style="5" customWidth="1"/>
    <col min="8457" max="8457" width="28.88671875" style="5" bestFit="1" customWidth="1"/>
    <col min="8458" max="8458" width="30.109375" style="5" customWidth="1"/>
    <col min="8459" max="8459" width="11.44140625" style="5" bestFit="1" customWidth="1"/>
    <col min="8460" max="8460" width="24.88671875" style="5" bestFit="1" customWidth="1"/>
    <col min="8461" max="8461" width="16.44140625" style="5" bestFit="1" customWidth="1"/>
    <col min="8462" max="8462" width="24.5546875" style="5" bestFit="1" customWidth="1"/>
    <col min="8463" max="8463" width="17.44140625" style="5" bestFit="1" customWidth="1"/>
    <col min="8464" max="8464" width="22" style="5" bestFit="1" customWidth="1"/>
    <col min="8465" max="8700" width="8.88671875" style="5"/>
    <col min="8701" max="8701" width="25.44140625" style="5" bestFit="1" customWidth="1"/>
    <col min="8702" max="8702" width="37.6640625" style="5" bestFit="1" customWidth="1"/>
    <col min="8703" max="8703" width="14" style="5" bestFit="1" customWidth="1"/>
    <col min="8704" max="8704" width="25.33203125" style="5" bestFit="1" customWidth="1"/>
    <col min="8705" max="8705" width="18.88671875" style="5" customWidth="1"/>
    <col min="8706" max="8708" width="11.33203125" style="5" customWidth="1"/>
    <col min="8709" max="8710" width="8.88671875" style="5"/>
    <col min="8711" max="8711" width="28.109375" style="5" customWidth="1"/>
    <col min="8712" max="8712" width="22.33203125" style="5" customWidth="1"/>
    <col min="8713" max="8713" width="28.88671875" style="5" bestFit="1" customWidth="1"/>
    <col min="8714" max="8714" width="30.109375" style="5" customWidth="1"/>
    <col min="8715" max="8715" width="11.44140625" style="5" bestFit="1" customWidth="1"/>
    <col min="8716" max="8716" width="24.88671875" style="5" bestFit="1" customWidth="1"/>
    <col min="8717" max="8717" width="16.44140625" style="5" bestFit="1" customWidth="1"/>
    <col min="8718" max="8718" width="24.5546875" style="5" bestFit="1" customWidth="1"/>
    <col min="8719" max="8719" width="17.44140625" style="5" bestFit="1" customWidth="1"/>
    <col min="8720" max="8720" width="22" style="5" bestFit="1" customWidth="1"/>
    <col min="8721" max="8956" width="8.88671875" style="5"/>
    <col min="8957" max="8957" width="25.44140625" style="5" bestFit="1" customWidth="1"/>
    <col min="8958" max="8958" width="37.6640625" style="5" bestFit="1" customWidth="1"/>
    <col min="8959" max="8959" width="14" style="5" bestFit="1" customWidth="1"/>
    <col min="8960" max="8960" width="25.33203125" style="5" bestFit="1" customWidth="1"/>
    <col min="8961" max="8961" width="18.88671875" style="5" customWidth="1"/>
    <col min="8962" max="8964" width="11.33203125" style="5" customWidth="1"/>
    <col min="8965" max="8966" width="8.88671875" style="5"/>
    <col min="8967" max="8967" width="28.109375" style="5" customWidth="1"/>
    <col min="8968" max="8968" width="22.33203125" style="5" customWidth="1"/>
    <col min="8969" max="8969" width="28.88671875" style="5" bestFit="1" customWidth="1"/>
    <col min="8970" max="8970" width="30.109375" style="5" customWidth="1"/>
    <col min="8971" max="8971" width="11.44140625" style="5" bestFit="1" customWidth="1"/>
    <col min="8972" max="8972" width="24.88671875" style="5" bestFit="1" customWidth="1"/>
    <col min="8973" max="8973" width="16.44140625" style="5" bestFit="1" customWidth="1"/>
    <col min="8974" max="8974" width="24.5546875" style="5" bestFit="1" customWidth="1"/>
    <col min="8975" max="8975" width="17.44140625" style="5" bestFit="1" customWidth="1"/>
    <col min="8976" max="8976" width="22" style="5" bestFit="1" customWidth="1"/>
    <col min="8977" max="9212" width="8.88671875" style="5"/>
    <col min="9213" max="9213" width="25.44140625" style="5" bestFit="1" customWidth="1"/>
    <col min="9214" max="9214" width="37.6640625" style="5" bestFit="1" customWidth="1"/>
    <col min="9215" max="9215" width="14" style="5" bestFit="1" customWidth="1"/>
    <col min="9216" max="9216" width="25.33203125" style="5" bestFit="1" customWidth="1"/>
    <col min="9217" max="9217" width="18.88671875" style="5" customWidth="1"/>
    <col min="9218" max="9220" width="11.33203125" style="5" customWidth="1"/>
    <col min="9221" max="9222" width="8.88671875" style="5"/>
    <col min="9223" max="9223" width="28.109375" style="5" customWidth="1"/>
    <col min="9224" max="9224" width="22.33203125" style="5" customWidth="1"/>
    <col min="9225" max="9225" width="28.88671875" style="5" bestFit="1" customWidth="1"/>
    <col min="9226" max="9226" width="30.109375" style="5" customWidth="1"/>
    <col min="9227" max="9227" width="11.44140625" style="5" bestFit="1" customWidth="1"/>
    <col min="9228" max="9228" width="24.88671875" style="5" bestFit="1" customWidth="1"/>
    <col min="9229" max="9229" width="16.44140625" style="5" bestFit="1" customWidth="1"/>
    <col min="9230" max="9230" width="24.5546875" style="5" bestFit="1" customWidth="1"/>
    <col min="9231" max="9231" width="17.44140625" style="5" bestFit="1" customWidth="1"/>
    <col min="9232" max="9232" width="22" style="5" bestFit="1" customWidth="1"/>
    <col min="9233" max="9468" width="8.88671875" style="5"/>
    <col min="9469" max="9469" width="25.44140625" style="5" bestFit="1" customWidth="1"/>
    <col min="9470" max="9470" width="37.6640625" style="5" bestFit="1" customWidth="1"/>
    <col min="9471" max="9471" width="14" style="5" bestFit="1" customWidth="1"/>
    <col min="9472" max="9472" width="25.33203125" style="5" bestFit="1" customWidth="1"/>
    <col min="9473" max="9473" width="18.88671875" style="5" customWidth="1"/>
    <col min="9474" max="9476" width="11.33203125" style="5" customWidth="1"/>
    <col min="9477" max="9478" width="8.88671875" style="5"/>
    <col min="9479" max="9479" width="28.109375" style="5" customWidth="1"/>
    <col min="9480" max="9480" width="22.33203125" style="5" customWidth="1"/>
    <col min="9481" max="9481" width="28.88671875" style="5" bestFit="1" customWidth="1"/>
    <col min="9482" max="9482" width="30.109375" style="5" customWidth="1"/>
    <col min="9483" max="9483" width="11.44140625" style="5" bestFit="1" customWidth="1"/>
    <col min="9484" max="9484" width="24.88671875" style="5" bestFit="1" customWidth="1"/>
    <col min="9485" max="9485" width="16.44140625" style="5" bestFit="1" customWidth="1"/>
    <col min="9486" max="9486" width="24.5546875" style="5" bestFit="1" customWidth="1"/>
    <col min="9487" max="9487" width="17.44140625" style="5" bestFit="1" customWidth="1"/>
    <col min="9488" max="9488" width="22" style="5" bestFit="1" customWidth="1"/>
    <col min="9489" max="9724" width="8.88671875" style="5"/>
    <col min="9725" max="9725" width="25.44140625" style="5" bestFit="1" customWidth="1"/>
    <col min="9726" max="9726" width="37.6640625" style="5" bestFit="1" customWidth="1"/>
    <col min="9727" max="9727" width="14" style="5" bestFit="1" customWidth="1"/>
    <col min="9728" max="9728" width="25.33203125" style="5" bestFit="1" customWidth="1"/>
    <col min="9729" max="9729" width="18.88671875" style="5" customWidth="1"/>
    <col min="9730" max="9732" width="11.33203125" style="5" customWidth="1"/>
    <col min="9733" max="9734" width="8.88671875" style="5"/>
    <col min="9735" max="9735" width="28.109375" style="5" customWidth="1"/>
    <col min="9736" max="9736" width="22.33203125" style="5" customWidth="1"/>
    <col min="9737" max="9737" width="28.88671875" style="5" bestFit="1" customWidth="1"/>
    <col min="9738" max="9738" width="30.109375" style="5" customWidth="1"/>
    <col min="9739" max="9739" width="11.44140625" style="5" bestFit="1" customWidth="1"/>
    <col min="9740" max="9740" width="24.88671875" style="5" bestFit="1" customWidth="1"/>
    <col min="9741" max="9741" width="16.44140625" style="5" bestFit="1" customWidth="1"/>
    <col min="9742" max="9742" width="24.5546875" style="5" bestFit="1" customWidth="1"/>
    <col min="9743" max="9743" width="17.44140625" style="5" bestFit="1" customWidth="1"/>
    <col min="9744" max="9744" width="22" style="5" bestFit="1" customWidth="1"/>
    <col min="9745" max="9980" width="8.88671875" style="5"/>
    <col min="9981" max="9981" width="25.44140625" style="5" bestFit="1" customWidth="1"/>
    <col min="9982" max="9982" width="37.6640625" style="5" bestFit="1" customWidth="1"/>
    <col min="9983" max="9983" width="14" style="5" bestFit="1" customWidth="1"/>
    <col min="9984" max="9984" width="25.33203125" style="5" bestFit="1" customWidth="1"/>
    <col min="9985" max="9985" width="18.88671875" style="5" customWidth="1"/>
    <col min="9986" max="9988" width="11.33203125" style="5" customWidth="1"/>
    <col min="9989" max="9990" width="8.88671875" style="5"/>
    <col min="9991" max="9991" width="28.109375" style="5" customWidth="1"/>
    <col min="9992" max="9992" width="22.33203125" style="5" customWidth="1"/>
    <col min="9993" max="9993" width="28.88671875" style="5" bestFit="1" customWidth="1"/>
    <col min="9994" max="9994" width="30.109375" style="5" customWidth="1"/>
    <col min="9995" max="9995" width="11.44140625" style="5" bestFit="1" customWidth="1"/>
    <col min="9996" max="9996" width="24.88671875" style="5" bestFit="1" customWidth="1"/>
    <col min="9997" max="9997" width="16.44140625" style="5" bestFit="1" customWidth="1"/>
    <col min="9998" max="9998" width="24.5546875" style="5" bestFit="1" customWidth="1"/>
    <col min="9999" max="9999" width="17.44140625" style="5" bestFit="1" customWidth="1"/>
    <col min="10000" max="10000" width="22" style="5" bestFit="1" customWidth="1"/>
    <col min="10001" max="10236" width="8.88671875" style="5"/>
    <col min="10237" max="10237" width="25.44140625" style="5" bestFit="1" customWidth="1"/>
    <col min="10238" max="10238" width="37.6640625" style="5" bestFit="1" customWidth="1"/>
    <col min="10239" max="10239" width="14" style="5" bestFit="1" customWidth="1"/>
    <col min="10240" max="10240" width="25.33203125" style="5" bestFit="1" customWidth="1"/>
    <col min="10241" max="10241" width="18.88671875" style="5" customWidth="1"/>
    <col min="10242" max="10244" width="11.33203125" style="5" customWidth="1"/>
    <col min="10245" max="10246" width="8.88671875" style="5"/>
    <col min="10247" max="10247" width="28.109375" style="5" customWidth="1"/>
    <col min="10248" max="10248" width="22.33203125" style="5" customWidth="1"/>
    <col min="10249" max="10249" width="28.88671875" style="5" bestFit="1" customWidth="1"/>
    <col min="10250" max="10250" width="30.109375" style="5" customWidth="1"/>
    <col min="10251" max="10251" width="11.44140625" style="5" bestFit="1" customWidth="1"/>
    <col min="10252" max="10252" width="24.88671875" style="5" bestFit="1" customWidth="1"/>
    <col min="10253" max="10253" width="16.44140625" style="5" bestFit="1" customWidth="1"/>
    <col min="10254" max="10254" width="24.5546875" style="5" bestFit="1" customWidth="1"/>
    <col min="10255" max="10255" width="17.44140625" style="5" bestFit="1" customWidth="1"/>
    <col min="10256" max="10256" width="22" style="5" bestFit="1" customWidth="1"/>
    <col min="10257" max="10492" width="8.88671875" style="5"/>
    <col min="10493" max="10493" width="25.44140625" style="5" bestFit="1" customWidth="1"/>
    <col min="10494" max="10494" width="37.6640625" style="5" bestFit="1" customWidth="1"/>
    <col min="10495" max="10495" width="14" style="5" bestFit="1" customWidth="1"/>
    <col min="10496" max="10496" width="25.33203125" style="5" bestFit="1" customWidth="1"/>
    <col min="10497" max="10497" width="18.88671875" style="5" customWidth="1"/>
    <col min="10498" max="10500" width="11.33203125" style="5" customWidth="1"/>
    <col min="10501" max="10502" width="8.88671875" style="5"/>
    <col min="10503" max="10503" width="28.109375" style="5" customWidth="1"/>
    <col min="10504" max="10504" width="22.33203125" style="5" customWidth="1"/>
    <col min="10505" max="10505" width="28.88671875" style="5" bestFit="1" customWidth="1"/>
    <col min="10506" max="10506" width="30.109375" style="5" customWidth="1"/>
    <col min="10507" max="10507" width="11.44140625" style="5" bestFit="1" customWidth="1"/>
    <col min="10508" max="10508" width="24.88671875" style="5" bestFit="1" customWidth="1"/>
    <col min="10509" max="10509" width="16.44140625" style="5" bestFit="1" customWidth="1"/>
    <col min="10510" max="10510" width="24.5546875" style="5" bestFit="1" customWidth="1"/>
    <col min="10511" max="10511" width="17.44140625" style="5" bestFit="1" customWidth="1"/>
    <col min="10512" max="10512" width="22" style="5" bestFit="1" customWidth="1"/>
    <col min="10513" max="10748" width="8.88671875" style="5"/>
    <col min="10749" max="10749" width="25.44140625" style="5" bestFit="1" customWidth="1"/>
    <col min="10750" max="10750" width="37.6640625" style="5" bestFit="1" customWidth="1"/>
    <col min="10751" max="10751" width="14" style="5" bestFit="1" customWidth="1"/>
    <col min="10752" max="10752" width="25.33203125" style="5" bestFit="1" customWidth="1"/>
    <col min="10753" max="10753" width="18.88671875" style="5" customWidth="1"/>
    <col min="10754" max="10756" width="11.33203125" style="5" customWidth="1"/>
    <col min="10757" max="10758" width="8.88671875" style="5"/>
    <col min="10759" max="10759" width="28.109375" style="5" customWidth="1"/>
    <col min="10760" max="10760" width="22.33203125" style="5" customWidth="1"/>
    <col min="10761" max="10761" width="28.88671875" style="5" bestFit="1" customWidth="1"/>
    <col min="10762" max="10762" width="30.109375" style="5" customWidth="1"/>
    <col min="10763" max="10763" width="11.44140625" style="5" bestFit="1" customWidth="1"/>
    <col min="10764" max="10764" width="24.88671875" style="5" bestFit="1" customWidth="1"/>
    <col min="10765" max="10765" width="16.44140625" style="5" bestFit="1" customWidth="1"/>
    <col min="10766" max="10766" width="24.5546875" style="5" bestFit="1" customWidth="1"/>
    <col min="10767" max="10767" width="17.44140625" style="5" bestFit="1" customWidth="1"/>
    <col min="10768" max="10768" width="22" style="5" bestFit="1" customWidth="1"/>
    <col min="10769" max="11004" width="8.88671875" style="5"/>
    <col min="11005" max="11005" width="25.44140625" style="5" bestFit="1" customWidth="1"/>
    <col min="11006" max="11006" width="37.6640625" style="5" bestFit="1" customWidth="1"/>
    <col min="11007" max="11007" width="14" style="5" bestFit="1" customWidth="1"/>
    <col min="11008" max="11008" width="25.33203125" style="5" bestFit="1" customWidth="1"/>
    <col min="11009" max="11009" width="18.88671875" style="5" customWidth="1"/>
    <col min="11010" max="11012" width="11.33203125" style="5" customWidth="1"/>
    <col min="11013" max="11014" width="8.88671875" style="5"/>
    <col min="11015" max="11015" width="28.109375" style="5" customWidth="1"/>
    <col min="11016" max="11016" width="22.33203125" style="5" customWidth="1"/>
    <col min="11017" max="11017" width="28.88671875" style="5" bestFit="1" customWidth="1"/>
    <col min="11018" max="11018" width="30.109375" style="5" customWidth="1"/>
    <col min="11019" max="11019" width="11.44140625" style="5" bestFit="1" customWidth="1"/>
    <col min="11020" max="11020" width="24.88671875" style="5" bestFit="1" customWidth="1"/>
    <col min="11021" max="11021" width="16.44140625" style="5" bestFit="1" customWidth="1"/>
    <col min="11022" max="11022" width="24.5546875" style="5" bestFit="1" customWidth="1"/>
    <col min="11023" max="11023" width="17.44140625" style="5" bestFit="1" customWidth="1"/>
    <col min="11024" max="11024" width="22" style="5" bestFit="1" customWidth="1"/>
    <col min="11025" max="11260" width="8.88671875" style="5"/>
    <col min="11261" max="11261" width="25.44140625" style="5" bestFit="1" customWidth="1"/>
    <col min="11262" max="11262" width="37.6640625" style="5" bestFit="1" customWidth="1"/>
    <col min="11263" max="11263" width="14" style="5" bestFit="1" customWidth="1"/>
    <col min="11264" max="11264" width="25.33203125" style="5" bestFit="1" customWidth="1"/>
    <col min="11265" max="11265" width="18.88671875" style="5" customWidth="1"/>
    <col min="11266" max="11268" width="11.33203125" style="5" customWidth="1"/>
    <col min="11269" max="11270" width="8.88671875" style="5"/>
    <col min="11271" max="11271" width="28.109375" style="5" customWidth="1"/>
    <col min="11272" max="11272" width="22.33203125" style="5" customWidth="1"/>
    <col min="11273" max="11273" width="28.88671875" style="5" bestFit="1" customWidth="1"/>
    <col min="11274" max="11274" width="30.109375" style="5" customWidth="1"/>
    <col min="11275" max="11275" width="11.44140625" style="5" bestFit="1" customWidth="1"/>
    <col min="11276" max="11276" width="24.88671875" style="5" bestFit="1" customWidth="1"/>
    <col min="11277" max="11277" width="16.44140625" style="5" bestFit="1" customWidth="1"/>
    <col min="11278" max="11278" width="24.5546875" style="5" bestFit="1" customWidth="1"/>
    <col min="11279" max="11279" width="17.44140625" style="5" bestFit="1" customWidth="1"/>
    <col min="11280" max="11280" width="22" style="5" bestFit="1" customWidth="1"/>
    <col min="11281" max="11516" width="8.88671875" style="5"/>
    <col min="11517" max="11517" width="25.44140625" style="5" bestFit="1" customWidth="1"/>
    <col min="11518" max="11518" width="37.6640625" style="5" bestFit="1" customWidth="1"/>
    <col min="11519" max="11519" width="14" style="5" bestFit="1" customWidth="1"/>
    <col min="11520" max="11520" width="25.33203125" style="5" bestFit="1" customWidth="1"/>
    <col min="11521" max="11521" width="18.88671875" style="5" customWidth="1"/>
    <col min="11522" max="11524" width="11.33203125" style="5" customWidth="1"/>
    <col min="11525" max="11526" width="8.88671875" style="5"/>
    <col min="11527" max="11527" width="28.109375" style="5" customWidth="1"/>
    <col min="11528" max="11528" width="22.33203125" style="5" customWidth="1"/>
    <col min="11529" max="11529" width="28.88671875" style="5" bestFit="1" customWidth="1"/>
    <col min="11530" max="11530" width="30.109375" style="5" customWidth="1"/>
    <col min="11531" max="11531" width="11.44140625" style="5" bestFit="1" customWidth="1"/>
    <col min="11532" max="11532" width="24.88671875" style="5" bestFit="1" customWidth="1"/>
    <col min="11533" max="11533" width="16.44140625" style="5" bestFit="1" customWidth="1"/>
    <col min="11534" max="11534" width="24.5546875" style="5" bestFit="1" customWidth="1"/>
    <col min="11535" max="11535" width="17.44140625" style="5" bestFit="1" customWidth="1"/>
    <col min="11536" max="11536" width="22" style="5" bestFit="1" customWidth="1"/>
    <col min="11537" max="11772" width="8.88671875" style="5"/>
    <col min="11773" max="11773" width="25.44140625" style="5" bestFit="1" customWidth="1"/>
    <col min="11774" max="11774" width="37.6640625" style="5" bestFit="1" customWidth="1"/>
    <col min="11775" max="11775" width="14" style="5" bestFit="1" customWidth="1"/>
    <col min="11776" max="11776" width="25.33203125" style="5" bestFit="1" customWidth="1"/>
    <col min="11777" max="11777" width="18.88671875" style="5" customWidth="1"/>
    <col min="11778" max="11780" width="11.33203125" style="5" customWidth="1"/>
    <col min="11781" max="11782" width="8.88671875" style="5"/>
    <col min="11783" max="11783" width="28.109375" style="5" customWidth="1"/>
    <col min="11784" max="11784" width="22.33203125" style="5" customWidth="1"/>
    <col min="11785" max="11785" width="28.88671875" style="5" bestFit="1" customWidth="1"/>
    <col min="11786" max="11786" width="30.109375" style="5" customWidth="1"/>
    <col min="11787" max="11787" width="11.44140625" style="5" bestFit="1" customWidth="1"/>
    <col min="11788" max="11788" width="24.88671875" style="5" bestFit="1" customWidth="1"/>
    <col min="11789" max="11789" width="16.44140625" style="5" bestFit="1" customWidth="1"/>
    <col min="11790" max="11790" width="24.5546875" style="5" bestFit="1" customWidth="1"/>
    <col min="11791" max="11791" width="17.44140625" style="5" bestFit="1" customWidth="1"/>
    <col min="11792" max="11792" width="22" style="5" bestFit="1" customWidth="1"/>
    <col min="11793" max="12028" width="8.88671875" style="5"/>
    <col min="12029" max="12029" width="25.44140625" style="5" bestFit="1" customWidth="1"/>
    <col min="12030" max="12030" width="37.6640625" style="5" bestFit="1" customWidth="1"/>
    <col min="12031" max="12031" width="14" style="5" bestFit="1" customWidth="1"/>
    <col min="12032" max="12032" width="25.33203125" style="5" bestFit="1" customWidth="1"/>
    <col min="12033" max="12033" width="18.88671875" style="5" customWidth="1"/>
    <col min="12034" max="12036" width="11.33203125" style="5" customWidth="1"/>
    <col min="12037" max="12038" width="8.88671875" style="5"/>
    <col min="12039" max="12039" width="28.109375" style="5" customWidth="1"/>
    <col min="12040" max="12040" width="22.33203125" style="5" customWidth="1"/>
    <col min="12041" max="12041" width="28.88671875" style="5" bestFit="1" customWidth="1"/>
    <col min="12042" max="12042" width="30.109375" style="5" customWidth="1"/>
    <col min="12043" max="12043" width="11.44140625" style="5" bestFit="1" customWidth="1"/>
    <col min="12044" max="12044" width="24.88671875" style="5" bestFit="1" customWidth="1"/>
    <col min="12045" max="12045" width="16.44140625" style="5" bestFit="1" customWidth="1"/>
    <col min="12046" max="12046" width="24.5546875" style="5" bestFit="1" customWidth="1"/>
    <col min="12047" max="12047" width="17.44140625" style="5" bestFit="1" customWidth="1"/>
    <col min="12048" max="12048" width="22" style="5" bestFit="1" customWidth="1"/>
    <col min="12049" max="12284" width="8.88671875" style="5"/>
    <col min="12285" max="12285" width="25.44140625" style="5" bestFit="1" customWidth="1"/>
    <col min="12286" max="12286" width="37.6640625" style="5" bestFit="1" customWidth="1"/>
    <col min="12287" max="12287" width="14" style="5" bestFit="1" customWidth="1"/>
    <col min="12288" max="12288" width="25.33203125" style="5" bestFit="1" customWidth="1"/>
    <col min="12289" max="12289" width="18.88671875" style="5" customWidth="1"/>
    <col min="12290" max="12292" width="11.33203125" style="5" customWidth="1"/>
    <col min="12293" max="12294" width="8.88671875" style="5"/>
    <col min="12295" max="12295" width="28.109375" style="5" customWidth="1"/>
    <col min="12296" max="12296" width="22.33203125" style="5" customWidth="1"/>
    <col min="12297" max="12297" width="28.88671875" style="5" bestFit="1" customWidth="1"/>
    <col min="12298" max="12298" width="30.109375" style="5" customWidth="1"/>
    <col min="12299" max="12299" width="11.44140625" style="5" bestFit="1" customWidth="1"/>
    <col min="12300" max="12300" width="24.88671875" style="5" bestFit="1" customWidth="1"/>
    <col min="12301" max="12301" width="16.44140625" style="5" bestFit="1" customWidth="1"/>
    <col min="12302" max="12302" width="24.5546875" style="5" bestFit="1" customWidth="1"/>
    <col min="12303" max="12303" width="17.44140625" style="5" bestFit="1" customWidth="1"/>
    <col min="12304" max="12304" width="22" style="5" bestFit="1" customWidth="1"/>
    <col min="12305" max="12540" width="8.88671875" style="5"/>
    <col min="12541" max="12541" width="25.44140625" style="5" bestFit="1" customWidth="1"/>
    <col min="12542" max="12542" width="37.6640625" style="5" bestFit="1" customWidth="1"/>
    <col min="12543" max="12543" width="14" style="5" bestFit="1" customWidth="1"/>
    <col min="12544" max="12544" width="25.33203125" style="5" bestFit="1" customWidth="1"/>
    <col min="12545" max="12545" width="18.88671875" style="5" customWidth="1"/>
    <col min="12546" max="12548" width="11.33203125" style="5" customWidth="1"/>
    <col min="12549" max="12550" width="8.88671875" style="5"/>
    <col min="12551" max="12551" width="28.109375" style="5" customWidth="1"/>
    <col min="12552" max="12552" width="22.33203125" style="5" customWidth="1"/>
    <col min="12553" max="12553" width="28.88671875" style="5" bestFit="1" customWidth="1"/>
    <col min="12554" max="12554" width="30.109375" style="5" customWidth="1"/>
    <col min="12555" max="12555" width="11.44140625" style="5" bestFit="1" customWidth="1"/>
    <col min="12556" max="12556" width="24.88671875" style="5" bestFit="1" customWidth="1"/>
    <col min="12557" max="12557" width="16.44140625" style="5" bestFit="1" customWidth="1"/>
    <col min="12558" max="12558" width="24.5546875" style="5" bestFit="1" customWidth="1"/>
    <col min="12559" max="12559" width="17.44140625" style="5" bestFit="1" customWidth="1"/>
    <col min="12560" max="12560" width="22" style="5" bestFit="1" customWidth="1"/>
    <col min="12561" max="12796" width="8.88671875" style="5"/>
    <col min="12797" max="12797" width="25.44140625" style="5" bestFit="1" customWidth="1"/>
    <col min="12798" max="12798" width="37.6640625" style="5" bestFit="1" customWidth="1"/>
    <col min="12799" max="12799" width="14" style="5" bestFit="1" customWidth="1"/>
    <col min="12800" max="12800" width="25.33203125" style="5" bestFit="1" customWidth="1"/>
    <col min="12801" max="12801" width="18.88671875" style="5" customWidth="1"/>
    <col min="12802" max="12804" width="11.33203125" style="5" customWidth="1"/>
    <col min="12805" max="12806" width="8.88671875" style="5"/>
    <col min="12807" max="12807" width="28.109375" style="5" customWidth="1"/>
    <col min="12808" max="12808" width="22.33203125" style="5" customWidth="1"/>
    <col min="12809" max="12809" width="28.88671875" style="5" bestFit="1" customWidth="1"/>
    <col min="12810" max="12810" width="30.109375" style="5" customWidth="1"/>
    <col min="12811" max="12811" width="11.44140625" style="5" bestFit="1" customWidth="1"/>
    <col min="12812" max="12812" width="24.88671875" style="5" bestFit="1" customWidth="1"/>
    <col min="12813" max="12813" width="16.44140625" style="5" bestFit="1" customWidth="1"/>
    <col min="12814" max="12814" width="24.5546875" style="5" bestFit="1" customWidth="1"/>
    <col min="12815" max="12815" width="17.44140625" style="5" bestFit="1" customWidth="1"/>
    <col min="12816" max="12816" width="22" style="5" bestFit="1" customWidth="1"/>
    <col min="12817" max="13052" width="8.88671875" style="5"/>
    <col min="13053" max="13053" width="25.44140625" style="5" bestFit="1" customWidth="1"/>
    <col min="13054" max="13054" width="37.6640625" style="5" bestFit="1" customWidth="1"/>
    <col min="13055" max="13055" width="14" style="5" bestFit="1" customWidth="1"/>
    <col min="13056" max="13056" width="25.33203125" style="5" bestFit="1" customWidth="1"/>
    <col min="13057" max="13057" width="18.88671875" style="5" customWidth="1"/>
    <col min="13058" max="13060" width="11.33203125" style="5" customWidth="1"/>
    <col min="13061" max="13062" width="8.88671875" style="5"/>
    <col min="13063" max="13063" width="28.109375" style="5" customWidth="1"/>
    <col min="13064" max="13064" width="22.33203125" style="5" customWidth="1"/>
    <col min="13065" max="13065" width="28.88671875" style="5" bestFit="1" customWidth="1"/>
    <col min="13066" max="13066" width="30.109375" style="5" customWidth="1"/>
    <col min="13067" max="13067" width="11.44140625" style="5" bestFit="1" customWidth="1"/>
    <col min="13068" max="13068" width="24.88671875" style="5" bestFit="1" customWidth="1"/>
    <col min="13069" max="13069" width="16.44140625" style="5" bestFit="1" customWidth="1"/>
    <col min="13070" max="13070" width="24.5546875" style="5" bestFit="1" customWidth="1"/>
    <col min="13071" max="13071" width="17.44140625" style="5" bestFit="1" customWidth="1"/>
    <col min="13072" max="13072" width="22" style="5" bestFit="1" customWidth="1"/>
    <col min="13073" max="13308" width="8.88671875" style="5"/>
    <col min="13309" max="13309" width="25.44140625" style="5" bestFit="1" customWidth="1"/>
    <col min="13310" max="13310" width="37.6640625" style="5" bestFit="1" customWidth="1"/>
    <col min="13311" max="13311" width="14" style="5" bestFit="1" customWidth="1"/>
    <col min="13312" max="13312" width="25.33203125" style="5" bestFit="1" customWidth="1"/>
    <col min="13313" max="13313" width="18.88671875" style="5" customWidth="1"/>
    <col min="13314" max="13316" width="11.33203125" style="5" customWidth="1"/>
    <col min="13317" max="13318" width="8.88671875" style="5"/>
    <col min="13319" max="13319" width="28.109375" style="5" customWidth="1"/>
    <col min="13320" max="13320" width="22.33203125" style="5" customWidth="1"/>
    <col min="13321" max="13321" width="28.88671875" style="5" bestFit="1" customWidth="1"/>
    <col min="13322" max="13322" width="30.109375" style="5" customWidth="1"/>
    <col min="13323" max="13323" width="11.44140625" style="5" bestFit="1" customWidth="1"/>
    <col min="13324" max="13324" width="24.88671875" style="5" bestFit="1" customWidth="1"/>
    <col min="13325" max="13325" width="16.44140625" style="5" bestFit="1" customWidth="1"/>
    <col min="13326" max="13326" width="24.5546875" style="5" bestFit="1" customWidth="1"/>
    <col min="13327" max="13327" width="17.44140625" style="5" bestFit="1" customWidth="1"/>
    <col min="13328" max="13328" width="22" style="5" bestFit="1" customWidth="1"/>
    <col min="13329" max="13564" width="8.88671875" style="5"/>
    <col min="13565" max="13565" width="25.44140625" style="5" bestFit="1" customWidth="1"/>
    <col min="13566" max="13566" width="37.6640625" style="5" bestFit="1" customWidth="1"/>
    <col min="13567" max="13567" width="14" style="5" bestFit="1" customWidth="1"/>
    <col min="13568" max="13568" width="25.33203125" style="5" bestFit="1" customWidth="1"/>
    <col min="13569" max="13569" width="18.88671875" style="5" customWidth="1"/>
    <col min="13570" max="13572" width="11.33203125" style="5" customWidth="1"/>
    <col min="13573" max="13574" width="8.88671875" style="5"/>
    <col min="13575" max="13575" width="28.109375" style="5" customWidth="1"/>
    <col min="13576" max="13576" width="22.33203125" style="5" customWidth="1"/>
    <col min="13577" max="13577" width="28.88671875" style="5" bestFit="1" customWidth="1"/>
    <col min="13578" max="13578" width="30.109375" style="5" customWidth="1"/>
    <col min="13579" max="13579" width="11.44140625" style="5" bestFit="1" customWidth="1"/>
    <col min="13580" max="13580" width="24.88671875" style="5" bestFit="1" customWidth="1"/>
    <col min="13581" max="13581" width="16.44140625" style="5" bestFit="1" customWidth="1"/>
    <col min="13582" max="13582" width="24.5546875" style="5" bestFit="1" customWidth="1"/>
    <col min="13583" max="13583" width="17.44140625" style="5" bestFit="1" customWidth="1"/>
    <col min="13584" max="13584" width="22" style="5" bestFit="1" customWidth="1"/>
    <col min="13585" max="13820" width="8.88671875" style="5"/>
    <col min="13821" max="13821" width="25.44140625" style="5" bestFit="1" customWidth="1"/>
    <col min="13822" max="13822" width="37.6640625" style="5" bestFit="1" customWidth="1"/>
    <col min="13823" max="13823" width="14" style="5" bestFit="1" customWidth="1"/>
    <col min="13824" max="13824" width="25.33203125" style="5" bestFit="1" customWidth="1"/>
    <col min="13825" max="13825" width="18.88671875" style="5" customWidth="1"/>
    <col min="13826" max="13828" width="11.33203125" style="5" customWidth="1"/>
    <col min="13829" max="13830" width="8.88671875" style="5"/>
    <col min="13831" max="13831" width="28.109375" style="5" customWidth="1"/>
    <col min="13832" max="13832" width="22.33203125" style="5" customWidth="1"/>
    <col min="13833" max="13833" width="28.88671875" style="5" bestFit="1" customWidth="1"/>
    <col min="13834" max="13834" width="30.109375" style="5" customWidth="1"/>
    <col min="13835" max="13835" width="11.44140625" style="5" bestFit="1" customWidth="1"/>
    <col min="13836" max="13836" width="24.88671875" style="5" bestFit="1" customWidth="1"/>
    <col min="13837" max="13837" width="16.44140625" style="5" bestFit="1" customWidth="1"/>
    <col min="13838" max="13838" width="24.5546875" style="5" bestFit="1" customWidth="1"/>
    <col min="13839" max="13839" width="17.44140625" style="5" bestFit="1" customWidth="1"/>
    <col min="13840" max="13840" width="22" style="5" bestFit="1" customWidth="1"/>
    <col min="13841" max="14076" width="8.88671875" style="5"/>
    <col min="14077" max="14077" width="25.44140625" style="5" bestFit="1" customWidth="1"/>
    <col min="14078" max="14078" width="37.6640625" style="5" bestFit="1" customWidth="1"/>
    <col min="14079" max="14079" width="14" style="5" bestFit="1" customWidth="1"/>
    <col min="14080" max="14080" width="25.33203125" style="5" bestFit="1" customWidth="1"/>
    <col min="14081" max="14081" width="18.88671875" style="5" customWidth="1"/>
    <col min="14082" max="14084" width="11.33203125" style="5" customWidth="1"/>
    <col min="14085" max="14086" width="8.88671875" style="5"/>
    <col min="14087" max="14087" width="28.109375" style="5" customWidth="1"/>
    <col min="14088" max="14088" width="22.33203125" style="5" customWidth="1"/>
    <col min="14089" max="14089" width="28.88671875" style="5" bestFit="1" customWidth="1"/>
    <col min="14090" max="14090" width="30.109375" style="5" customWidth="1"/>
    <col min="14091" max="14091" width="11.44140625" style="5" bestFit="1" customWidth="1"/>
    <col min="14092" max="14092" width="24.88671875" style="5" bestFit="1" customWidth="1"/>
    <col min="14093" max="14093" width="16.44140625" style="5" bestFit="1" customWidth="1"/>
    <col min="14094" max="14094" width="24.5546875" style="5" bestFit="1" customWidth="1"/>
    <col min="14095" max="14095" width="17.44140625" style="5" bestFit="1" customWidth="1"/>
    <col min="14096" max="14096" width="22" style="5" bestFit="1" customWidth="1"/>
    <col min="14097" max="14332" width="8.88671875" style="5"/>
    <col min="14333" max="14333" width="25.44140625" style="5" bestFit="1" customWidth="1"/>
    <col min="14334" max="14334" width="37.6640625" style="5" bestFit="1" customWidth="1"/>
    <col min="14335" max="14335" width="14" style="5" bestFit="1" customWidth="1"/>
    <col min="14336" max="14336" width="25.33203125" style="5" bestFit="1" customWidth="1"/>
    <col min="14337" max="14337" width="18.88671875" style="5" customWidth="1"/>
    <col min="14338" max="14340" width="11.33203125" style="5" customWidth="1"/>
    <col min="14341" max="14342" width="8.88671875" style="5"/>
    <col min="14343" max="14343" width="28.109375" style="5" customWidth="1"/>
    <col min="14344" max="14344" width="22.33203125" style="5" customWidth="1"/>
    <col min="14345" max="14345" width="28.88671875" style="5" bestFit="1" customWidth="1"/>
    <col min="14346" max="14346" width="30.109375" style="5" customWidth="1"/>
    <col min="14347" max="14347" width="11.44140625" style="5" bestFit="1" customWidth="1"/>
    <col min="14348" max="14348" width="24.88671875" style="5" bestFit="1" customWidth="1"/>
    <col min="14349" max="14349" width="16.44140625" style="5" bestFit="1" customWidth="1"/>
    <col min="14350" max="14350" width="24.5546875" style="5" bestFit="1" customWidth="1"/>
    <col min="14351" max="14351" width="17.44140625" style="5" bestFit="1" customWidth="1"/>
    <col min="14352" max="14352" width="22" style="5" bestFit="1" customWidth="1"/>
    <col min="14353" max="14588" width="8.88671875" style="5"/>
    <col min="14589" max="14589" width="25.44140625" style="5" bestFit="1" customWidth="1"/>
    <col min="14590" max="14590" width="37.6640625" style="5" bestFit="1" customWidth="1"/>
    <col min="14591" max="14591" width="14" style="5" bestFit="1" customWidth="1"/>
    <col min="14592" max="14592" width="25.33203125" style="5" bestFit="1" customWidth="1"/>
    <col min="14593" max="14593" width="18.88671875" style="5" customWidth="1"/>
    <col min="14594" max="14596" width="11.33203125" style="5" customWidth="1"/>
    <col min="14597" max="14598" width="8.88671875" style="5"/>
    <col min="14599" max="14599" width="28.109375" style="5" customWidth="1"/>
    <col min="14600" max="14600" width="22.33203125" style="5" customWidth="1"/>
    <col min="14601" max="14601" width="28.88671875" style="5" bestFit="1" customWidth="1"/>
    <col min="14602" max="14602" width="30.109375" style="5" customWidth="1"/>
    <col min="14603" max="14603" width="11.44140625" style="5" bestFit="1" customWidth="1"/>
    <col min="14604" max="14604" width="24.88671875" style="5" bestFit="1" customWidth="1"/>
    <col min="14605" max="14605" width="16.44140625" style="5" bestFit="1" customWidth="1"/>
    <col min="14606" max="14606" width="24.5546875" style="5" bestFit="1" customWidth="1"/>
    <col min="14607" max="14607" width="17.44140625" style="5" bestFit="1" customWidth="1"/>
    <col min="14608" max="14608" width="22" style="5" bestFit="1" customWidth="1"/>
    <col min="14609" max="14844" width="8.88671875" style="5"/>
    <col min="14845" max="14845" width="25.44140625" style="5" bestFit="1" customWidth="1"/>
    <col min="14846" max="14846" width="37.6640625" style="5" bestFit="1" customWidth="1"/>
    <col min="14847" max="14847" width="14" style="5" bestFit="1" customWidth="1"/>
    <col min="14848" max="14848" width="25.33203125" style="5" bestFit="1" customWidth="1"/>
    <col min="14849" max="14849" width="18.88671875" style="5" customWidth="1"/>
    <col min="14850" max="14852" width="11.33203125" style="5" customWidth="1"/>
    <col min="14853" max="14854" width="8.88671875" style="5"/>
    <col min="14855" max="14855" width="28.109375" style="5" customWidth="1"/>
    <col min="14856" max="14856" width="22.33203125" style="5" customWidth="1"/>
    <col min="14857" max="14857" width="28.88671875" style="5" bestFit="1" customWidth="1"/>
    <col min="14858" max="14858" width="30.109375" style="5" customWidth="1"/>
    <col min="14859" max="14859" width="11.44140625" style="5" bestFit="1" customWidth="1"/>
    <col min="14860" max="14860" width="24.88671875" style="5" bestFit="1" customWidth="1"/>
    <col min="14861" max="14861" width="16.44140625" style="5" bestFit="1" customWidth="1"/>
    <col min="14862" max="14862" width="24.5546875" style="5" bestFit="1" customWidth="1"/>
    <col min="14863" max="14863" width="17.44140625" style="5" bestFit="1" customWidth="1"/>
    <col min="14864" max="14864" width="22" style="5" bestFit="1" customWidth="1"/>
    <col min="14865" max="15100" width="8.88671875" style="5"/>
    <col min="15101" max="15101" width="25.44140625" style="5" bestFit="1" customWidth="1"/>
    <col min="15102" max="15102" width="37.6640625" style="5" bestFit="1" customWidth="1"/>
    <col min="15103" max="15103" width="14" style="5" bestFit="1" customWidth="1"/>
    <col min="15104" max="15104" width="25.33203125" style="5" bestFit="1" customWidth="1"/>
    <col min="15105" max="15105" width="18.88671875" style="5" customWidth="1"/>
    <col min="15106" max="15108" width="11.33203125" style="5" customWidth="1"/>
    <col min="15109" max="15110" width="8.88671875" style="5"/>
    <col min="15111" max="15111" width="28.109375" style="5" customWidth="1"/>
    <col min="15112" max="15112" width="22.33203125" style="5" customWidth="1"/>
    <col min="15113" max="15113" width="28.88671875" style="5" bestFit="1" customWidth="1"/>
    <col min="15114" max="15114" width="30.109375" style="5" customWidth="1"/>
    <col min="15115" max="15115" width="11.44140625" style="5" bestFit="1" customWidth="1"/>
    <col min="15116" max="15116" width="24.88671875" style="5" bestFit="1" customWidth="1"/>
    <col min="15117" max="15117" width="16.44140625" style="5" bestFit="1" customWidth="1"/>
    <col min="15118" max="15118" width="24.5546875" style="5" bestFit="1" customWidth="1"/>
    <col min="15119" max="15119" width="17.44140625" style="5" bestFit="1" customWidth="1"/>
    <col min="15120" max="15120" width="22" style="5" bestFit="1" customWidth="1"/>
    <col min="15121" max="15356" width="8.88671875" style="5"/>
    <col min="15357" max="15357" width="25.44140625" style="5" bestFit="1" customWidth="1"/>
    <col min="15358" max="15358" width="37.6640625" style="5" bestFit="1" customWidth="1"/>
    <col min="15359" max="15359" width="14" style="5" bestFit="1" customWidth="1"/>
    <col min="15360" max="15360" width="25.33203125" style="5" bestFit="1" customWidth="1"/>
    <col min="15361" max="15361" width="18.88671875" style="5" customWidth="1"/>
    <col min="15362" max="15364" width="11.33203125" style="5" customWidth="1"/>
    <col min="15365" max="15366" width="8.88671875" style="5"/>
    <col min="15367" max="15367" width="28.109375" style="5" customWidth="1"/>
    <col min="15368" max="15368" width="22.33203125" style="5" customWidth="1"/>
    <col min="15369" max="15369" width="28.88671875" style="5" bestFit="1" customWidth="1"/>
    <col min="15370" max="15370" width="30.109375" style="5" customWidth="1"/>
    <col min="15371" max="15371" width="11.44140625" style="5" bestFit="1" customWidth="1"/>
    <col min="15372" max="15372" width="24.88671875" style="5" bestFit="1" customWidth="1"/>
    <col min="15373" max="15373" width="16.44140625" style="5" bestFit="1" customWidth="1"/>
    <col min="15374" max="15374" width="24.5546875" style="5" bestFit="1" customWidth="1"/>
    <col min="15375" max="15375" width="17.44140625" style="5" bestFit="1" customWidth="1"/>
    <col min="15376" max="15376" width="22" style="5" bestFit="1" customWidth="1"/>
    <col min="15377" max="15612" width="8.88671875" style="5"/>
    <col min="15613" max="15613" width="25.44140625" style="5" bestFit="1" customWidth="1"/>
    <col min="15614" max="15614" width="37.6640625" style="5" bestFit="1" customWidth="1"/>
    <col min="15615" max="15615" width="14" style="5" bestFit="1" customWidth="1"/>
    <col min="15616" max="15616" width="25.33203125" style="5" bestFit="1" customWidth="1"/>
    <col min="15617" max="15617" width="18.88671875" style="5" customWidth="1"/>
    <col min="15618" max="15620" width="11.33203125" style="5" customWidth="1"/>
    <col min="15621" max="15622" width="8.88671875" style="5"/>
    <col min="15623" max="15623" width="28.109375" style="5" customWidth="1"/>
    <col min="15624" max="15624" width="22.33203125" style="5" customWidth="1"/>
    <col min="15625" max="15625" width="28.88671875" style="5" bestFit="1" customWidth="1"/>
    <col min="15626" max="15626" width="30.109375" style="5" customWidth="1"/>
    <col min="15627" max="15627" width="11.44140625" style="5" bestFit="1" customWidth="1"/>
    <col min="15628" max="15628" width="24.88671875" style="5" bestFit="1" customWidth="1"/>
    <col min="15629" max="15629" width="16.44140625" style="5" bestFit="1" customWidth="1"/>
    <col min="15630" max="15630" width="24.5546875" style="5" bestFit="1" customWidth="1"/>
    <col min="15631" max="15631" width="17.44140625" style="5" bestFit="1" customWidth="1"/>
    <col min="15632" max="15632" width="22" style="5" bestFit="1" customWidth="1"/>
    <col min="15633" max="15868" width="8.88671875" style="5"/>
    <col min="15869" max="15869" width="25.44140625" style="5" bestFit="1" customWidth="1"/>
    <col min="15870" max="15870" width="37.6640625" style="5" bestFit="1" customWidth="1"/>
    <col min="15871" max="15871" width="14" style="5" bestFit="1" customWidth="1"/>
    <col min="15872" max="15872" width="25.33203125" style="5" bestFit="1" customWidth="1"/>
    <col min="15873" max="15873" width="18.88671875" style="5" customWidth="1"/>
    <col min="15874" max="15876" width="11.33203125" style="5" customWidth="1"/>
    <col min="15877" max="15878" width="8.88671875" style="5"/>
    <col min="15879" max="15879" width="28.109375" style="5" customWidth="1"/>
    <col min="15880" max="15880" width="22.33203125" style="5" customWidth="1"/>
    <col min="15881" max="15881" width="28.88671875" style="5" bestFit="1" customWidth="1"/>
    <col min="15882" max="15882" width="30.109375" style="5" customWidth="1"/>
    <col min="15883" max="15883" width="11.44140625" style="5" bestFit="1" customWidth="1"/>
    <col min="15884" max="15884" width="24.88671875" style="5" bestFit="1" customWidth="1"/>
    <col min="15885" max="15885" width="16.44140625" style="5" bestFit="1" customWidth="1"/>
    <col min="15886" max="15886" width="24.5546875" style="5" bestFit="1" customWidth="1"/>
    <col min="15887" max="15887" width="17.44140625" style="5" bestFit="1" customWidth="1"/>
    <col min="15888" max="15888" width="22" style="5" bestFit="1" customWidth="1"/>
    <col min="15889" max="16124" width="8.88671875" style="5"/>
    <col min="16125" max="16125" width="25.44140625" style="5" bestFit="1" customWidth="1"/>
    <col min="16126" max="16126" width="37.6640625" style="5" bestFit="1" customWidth="1"/>
    <col min="16127" max="16127" width="14" style="5" bestFit="1" customWidth="1"/>
    <col min="16128" max="16128" width="25.33203125" style="5" bestFit="1" customWidth="1"/>
    <col min="16129" max="16129" width="18.88671875" style="5" customWidth="1"/>
    <col min="16130" max="16132" width="11.33203125" style="5" customWidth="1"/>
    <col min="16133" max="16134" width="8.88671875" style="5"/>
    <col min="16135" max="16135" width="28.109375" style="5" customWidth="1"/>
    <col min="16136" max="16136" width="22.33203125" style="5" customWidth="1"/>
    <col min="16137" max="16137" width="28.88671875" style="5" bestFit="1" customWidth="1"/>
    <col min="16138" max="16138" width="30.109375" style="5" customWidth="1"/>
    <col min="16139" max="16139" width="11.44140625" style="5" bestFit="1" customWidth="1"/>
    <col min="16140" max="16140" width="24.88671875" style="5" bestFit="1" customWidth="1"/>
    <col min="16141" max="16141" width="16.44140625" style="5" bestFit="1" customWidth="1"/>
    <col min="16142" max="16142" width="24.5546875" style="5" bestFit="1" customWidth="1"/>
    <col min="16143" max="16143" width="17.44140625" style="5" bestFit="1" customWidth="1"/>
    <col min="16144" max="16144" width="22" style="5" bestFit="1" customWidth="1"/>
    <col min="16145" max="16384" width="8.88671875" style="5"/>
  </cols>
  <sheetData>
    <row r="1" spans="2:16" ht="17.25" customHeight="1" x14ac:dyDescent="0.25">
      <c r="L1" s="29"/>
      <c r="M1" s="5"/>
    </row>
    <row r="2" spans="2:16" ht="17.25" customHeight="1" x14ac:dyDescent="0.3">
      <c r="B2" s="238" t="s">
        <v>679</v>
      </c>
      <c r="H2" s="239" t="s">
        <v>121</v>
      </c>
      <c r="I2" s="239"/>
      <c r="L2" s="29"/>
      <c r="M2" s="5"/>
    </row>
    <row r="3" spans="2:16" ht="17.25" customHeight="1" x14ac:dyDescent="0.25">
      <c r="B3" s="239" t="s">
        <v>680</v>
      </c>
      <c r="L3" s="29"/>
      <c r="M3" s="5"/>
    </row>
    <row r="4" spans="2:16" ht="17.25" customHeight="1" x14ac:dyDescent="0.3">
      <c r="H4" s="258" t="s">
        <v>42</v>
      </c>
      <c r="I4" s="258"/>
      <c r="J4" s="259"/>
      <c r="K4" s="259"/>
      <c r="L4" s="260"/>
      <c r="M4" s="259"/>
      <c r="N4" s="259"/>
      <c r="O4" s="259"/>
      <c r="P4" s="259"/>
    </row>
    <row r="5" spans="2:16" ht="17.25" customHeight="1" x14ac:dyDescent="0.25">
      <c r="D5" s="261" t="s">
        <v>15</v>
      </c>
      <c r="E5" s="261"/>
      <c r="F5" s="262"/>
      <c r="H5" s="263" t="s">
        <v>20</v>
      </c>
      <c r="I5" s="263"/>
      <c r="J5" s="259"/>
      <c r="K5" s="259"/>
      <c r="L5" s="260"/>
      <c r="M5" s="259"/>
      <c r="N5" s="259"/>
      <c r="O5" s="259"/>
      <c r="P5" s="259"/>
    </row>
    <row r="6" spans="2:16" ht="17.25" customHeight="1" x14ac:dyDescent="0.25">
      <c r="B6" s="240" t="s">
        <v>1</v>
      </c>
      <c r="C6" s="240" t="s">
        <v>45</v>
      </c>
      <c r="D6" s="241" t="s">
        <v>8</v>
      </c>
      <c r="E6" s="242" t="s">
        <v>47</v>
      </c>
      <c r="F6" s="242" t="str">
        <f>"ACT_BND"</f>
        <v>ACT_BND</v>
      </c>
      <c r="G6" s="26"/>
      <c r="H6" s="243" t="s">
        <v>13</v>
      </c>
      <c r="I6" s="243" t="s">
        <v>35</v>
      </c>
      <c r="J6" s="243" t="s">
        <v>1</v>
      </c>
      <c r="K6" s="243" t="s">
        <v>2</v>
      </c>
      <c r="L6" s="244" t="s">
        <v>21</v>
      </c>
      <c r="M6" s="243" t="s">
        <v>22</v>
      </c>
      <c r="N6" s="243" t="s">
        <v>23</v>
      </c>
      <c r="O6" s="243" t="s">
        <v>24</v>
      </c>
      <c r="P6" s="243" t="s">
        <v>25</v>
      </c>
    </row>
    <row r="7" spans="2:16" ht="17.25" customHeight="1" thickBot="1" x14ac:dyDescent="0.3">
      <c r="B7" s="245" t="s">
        <v>752</v>
      </c>
      <c r="C7" s="246" t="s">
        <v>681</v>
      </c>
      <c r="D7" s="247" t="s">
        <v>128</v>
      </c>
      <c r="E7" s="246" t="s">
        <v>682</v>
      </c>
      <c r="F7" s="246" t="s">
        <v>683</v>
      </c>
      <c r="G7" s="27"/>
      <c r="H7" s="248" t="s">
        <v>51</v>
      </c>
      <c r="I7" s="248" t="s">
        <v>36</v>
      </c>
      <c r="J7" s="248" t="s">
        <v>26</v>
      </c>
      <c r="K7" s="248" t="s">
        <v>27</v>
      </c>
      <c r="L7" s="249" t="s">
        <v>28</v>
      </c>
      <c r="M7" s="248" t="s">
        <v>29</v>
      </c>
      <c r="N7" s="248" t="s">
        <v>57</v>
      </c>
      <c r="O7" s="248" t="s">
        <v>56</v>
      </c>
      <c r="P7" s="248" t="s">
        <v>30</v>
      </c>
    </row>
    <row r="8" spans="2:16" ht="17.25" customHeight="1" x14ac:dyDescent="0.25">
      <c r="B8" s="250" t="s">
        <v>108</v>
      </c>
      <c r="C8" s="251"/>
      <c r="D8" s="252" t="s">
        <v>101</v>
      </c>
      <c r="E8" s="73" t="str">
        <f>General!$D$12</f>
        <v>$/GJ</v>
      </c>
      <c r="F8" s="74" t="str">
        <f>General!$D$13</f>
        <v>PJ/year</v>
      </c>
      <c r="G8" s="27"/>
      <c r="H8" s="5" t="s">
        <v>684</v>
      </c>
      <c r="J8" s="5" t="str">
        <f>$H$8&amp;Commodities!D52&amp;"01"</f>
        <v>MINRESHYD01</v>
      </c>
      <c r="K8" s="5" t="s">
        <v>753</v>
      </c>
      <c r="L8" s="29" t="str">
        <f>General!$B$2</f>
        <v>PJ</v>
      </c>
      <c r="M8" s="5" t="str">
        <f>General!$B$2&amp;"a"</f>
        <v>PJa</v>
      </c>
    </row>
    <row r="9" spans="2:16" x14ac:dyDescent="0.25">
      <c r="B9" s="253" t="str">
        <f t="shared" ref="B9:C12" si="0">J8</f>
        <v>MINRESHYD01</v>
      </c>
      <c r="C9" s="253" t="str">
        <f t="shared" si="0"/>
        <v>Hydro Energy Potential</v>
      </c>
      <c r="D9" s="254" t="str">
        <f>Commodities!D52</f>
        <v>RESHYD</v>
      </c>
      <c r="E9" s="255"/>
      <c r="F9" s="256"/>
      <c r="G9" s="28"/>
      <c r="J9" s="5" t="str">
        <f>$H$8&amp;Commodities!D53&amp;"01"</f>
        <v>MINRESSOL01</v>
      </c>
      <c r="K9" s="5" t="s">
        <v>754</v>
      </c>
      <c r="L9" s="29" t="str">
        <f>General!$B$2</f>
        <v>PJ</v>
      </c>
      <c r="M9" s="5" t="str">
        <f>General!$B$2&amp;"a"</f>
        <v>PJa</v>
      </c>
    </row>
    <row r="10" spans="2:16" ht="14.25" customHeight="1" x14ac:dyDescent="0.25">
      <c r="B10" s="5" t="str">
        <f t="shared" si="0"/>
        <v>MINRESSOL01</v>
      </c>
      <c r="C10" s="5" t="str">
        <f t="shared" si="0"/>
        <v>Solar Energy Potential</v>
      </c>
      <c r="D10" s="264" t="str">
        <f>Commodities!D53</f>
        <v>RESSOL</v>
      </c>
      <c r="E10" s="265"/>
      <c r="F10" s="257"/>
      <c r="J10" s="5" t="str">
        <f>$H$8&amp;Commodities!D54&amp;"01"</f>
        <v>MINRESWIN01</v>
      </c>
      <c r="K10" s="5" t="s">
        <v>755</v>
      </c>
      <c r="L10" s="29" t="str">
        <f>General!$B$2</f>
        <v>PJ</v>
      </c>
      <c r="M10" s="5" t="str">
        <f>General!$B$2&amp;"a"</f>
        <v>PJa</v>
      </c>
    </row>
    <row r="11" spans="2:16" x14ac:dyDescent="0.25">
      <c r="B11" s="5" t="str">
        <f t="shared" si="0"/>
        <v>MINRESWIN01</v>
      </c>
      <c r="C11" s="5" t="str">
        <f t="shared" si="0"/>
        <v>Wind Energy Potential</v>
      </c>
      <c r="D11" s="264" t="str">
        <f>Commodities!D54</f>
        <v>RESWIN</v>
      </c>
      <c r="E11" s="265"/>
      <c r="F11" s="257"/>
      <c r="J11" s="5" t="str">
        <f>$H$8&amp;Commodities!D55&amp;"01"</f>
        <v>MINRESGEO01</v>
      </c>
      <c r="K11" s="5" t="s">
        <v>756</v>
      </c>
      <c r="L11" s="29" t="str">
        <f>General!$B$2</f>
        <v>PJ</v>
      </c>
      <c r="M11" s="5" t="str">
        <f>General!$B$2&amp;"a"</f>
        <v>PJa</v>
      </c>
    </row>
    <row r="12" spans="2:16" x14ac:dyDescent="0.25">
      <c r="B12" s="5" t="str">
        <f t="shared" si="0"/>
        <v>MINRESGEO01</v>
      </c>
      <c r="C12" s="5" t="str">
        <f t="shared" si="0"/>
        <v>Geothermal Energy Potential</v>
      </c>
      <c r="D12" s="264" t="str">
        <f>Commodities!D55</f>
        <v>RESGEO</v>
      </c>
      <c r="E12" s="265"/>
      <c r="F12" s="257"/>
      <c r="L12" s="29"/>
      <c r="M12" s="5"/>
    </row>
    <row r="13" spans="2:16" x14ac:dyDescent="0.25">
      <c r="L13" s="29"/>
      <c r="M13" s="5"/>
    </row>
    <row r="14" spans="2:16" x14ac:dyDescent="0.25">
      <c r="L14" s="29"/>
      <c r="M14" s="5"/>
    </row>
    <row r="15" spans="2:16" x14ac:dyDescent="0.25">
      <c r="L15" s="29"/>
      <c r="M15" s="5"/>
    </row>
    <row r="16" spans="2:16" x14ac:dyDescent="0.25">
      <c r="L16" s="29"/>
      <c r="M16" s="5"/>
    </row>
    <row r="17" spans="12:13" ht="15.75" customHeight="1" x14ac:dyDescent="0.25">
      <c r="L17" s="29"/>
      <c r="M17" s="5"/>
    </row>
    <row r="18" spans="12:13" x14ac:dyDescent="0.25">
      <c r="L18" s="29"/>
      <c r="M18" s="5"/>
    </row>
    <row r="20" spans="12:13" ht="13.5" customHeight="1" x14ac:dyDescent="0.25"/>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W50"/>
  <sheetViews>
    <sheetView zoomScale="55" zoomScaleNormal="55" workbookViewId="0">
      <selection sqref="A1:XFD1048576"/>
    </sheetView>
  </sheetViews>
  <sheetFormatPr defaultRowHeight="13.8" x14ac:dyDescent="0.25"/>
  <cols>
    <col min="1" max="1" width="9.109375" style="32"/>
    <col min="2" max="2" width="29.6640625" style="32" customWidth="1"/>
    <col min="3" max="3" width="44.88671875" style="32" customWidth="1"/>
    <col min="4" max="4" width="25.109375" style="32" customWidth="1"/>
    <col min="5" max="5" width="25" style="32" customWidth="1"/>
    <col min="6" max="6" width="20.109375" style="32" customWidth="1"/>
    <col min="7" max="7" width="27.44140625" style="32" bestFit="1" customWidth="1"/>
    <col min="8" max="10" width="22.109375" style="32" bestFit="1" customWidth="1"/>
    <col min="11" max="11" width="27.6640625" style="32" bestFit="1" customWidth="1"/>
    <col min="12" max="12" width="24.44140625" style="32" customWidth="1"/>
    <col min="13" max="13" width="28.109375" style="32" customWidth="1"/>
    <col min="14" max="14" width="25.44140625" style="32" customWidth="1"/>
    <col min="15" max="15" width="78.44140625" style="32" bestFit="1" customWidth="1"/>
    <col min="16" max="16" width="30.109375" style="35" customWidth="1"/>
    <col min="17" max="17" width="11.44140625" style="35" bestFit="1" customWidth="1"/>
    <col min="18" max="18" width="24.88671875" style="32" bestFit="1" customWidth="1"/>
    <col min="19" max="19" width="16.44140625" style="32" bestFit="1" customWidth="1"/>
    <col min="20" max="20" width="24.5546875" style="32" bestFit="1" customWidth="1"/>
    <col min="21" max="21" width="17.44140625" style="32" bestFit="1" customWidth="1"/>
    <col min="22" max="256" width="9.109375" style="32"/>
    <col min="257" max="257" width="29.6640625" style="32" customWidth="1"/>
    <col min="258" max="258" width="25.44140625" style="32" bestFit="1" customWidth="1"/>
    <col min="259" max="259" width="41.88671875" style="32" customWidth="1"/>
    <col min="260" max="260" width="14" style="32" bestFit="1" customWidth="1"/>
    <col min="261" max="261" width="25.33203125" style="32" bestFit="1" customWidth="1"/>
    <col min="262" max="262" width="27.44140625" style="32" bestFit="1" customWidth="1"/>
    <col min="263" max="265" width="22.109375" style="32" bestFit="1" customWidth="1"/>
    <col min="266" max="266" width="27.6640625" style="32" bestFit="1" customWidth="1"/>
    <col min="267" max="267" width="24.44140625" style="32" customWidth="1"/>
    <col min="268" max="268" width="28.109375" style="32" customWidth="1"/>
    <col min="269" max="269" width="25.44140625" style="32" customWidth="1"/>
    <col min="270" max="270" width="35.33203125" style="32" bestFit="1" customWidth="1"/>
    <col min="271" max="271" width="30.109375" style="32" customWidth="1"/>
    <col min="272" max="272" width="11.44140625" style="32" bestFit="1" customWidth="1"/>
    <col min="273" max="273" width="24.88671875" style="32" bestFit="1" customWidth="1"/>
    <col min="274" max="274" width="16.44140625" style="32" bestFit="1" customWidth="1"/>
    <col min="275" max="275" width="24.5546875" style="32" bestFit="1" customWidth="1"/>
    <col min="276" max="276" width="17.44140625" style="32" bestFit="1" customWidth="1"/>
    <col min="277" max="277" width="21.6640625" style="32" bestFit="1" customWidth="1"/>
    <col min="278" max="512" width="9.109375" style="32"/>
    <col min="513" max="513" width="29.6640625" style="32" customWidth="1"/>
    <col min="514" max="514" width="25.44140625" style="32" bestFit="1" customWidth="1"/>
    <col min="515" max="515" width="41.88671875" style="32" customWidth="1"/>
    <col min="516" max="516" width="14" style="32" bestFit="1" customWidth="1"/>
    <col min="517" max="517" width="25.33203125" style="32" bestFit="1" customWidth="1"/>
    <col min="518" max="518" width="27.44140625" style="32" bestFit="1" customWidth="1"/>
    <col min="519" max="521" width="22.109375" style="32" bestFit="1" customWidth="1"/>
    <col min="522" max="522" width="27.6640625" style="32" bestFit="1" customWidth="1"/>
    <col min="523" max="523" width="24.44140625" style="32" customWidth="1"/>
    <col min="524" max="524" width="28.109375" style="32" customWidth="1"/>
    <col min="525" max="525" width="25.44140625" style="32" customWidth="1"/>
    <col min="526" max="526" width="35.33203125" style="32" bestFit="1" customWidth="1"/>
    <col min="527" max="527" width="30.109375" style="32" customWidth="1"/>
    <col min="528" max="528" width="11.44140625" style="32" bestFit="1" customWidth="1"/>
    <col min="529" max="529" width="24.88671875" style="32" bestFit="1" customWidth="1"/>
    <col min="530" max="530" width="16.44140625" style="32" bestFit="1" customWidth="1"/>
    <col min="531" max="531" width="24.5546875" style="32" bestFit="1" customWidth="1"/>
    <col min="532" max="532" width="17.44140625" style="32" bestFit="1" customWidth="1"/>
    <col min="533" max="533" width="21.6640625" style="32" bestFit="1" customWidth="1"/>
    <col min="534" max="768" width="9.109375" style="32"/>
    <col min="769" max="769" width="29.6640625" style="32" customWidth="1"/>
    <col min="770" max="770" width="25.44140625" style="32" bestFit="1" customWidth="1"/>
    <col min="771" max="771" width="41.88671875" style="32" customWidth="1"/>
    <col min="772" max="772" width="14" style="32" bestFit="1" customWidth="1"/>
    <col min="773" max="773" width="25.33203125" style="32" bestFit="1" customWidth="1"/>
    <col min="774" max="774" width="27.44140625" style="32" bestFit="1" customWidth="1"/>
    <col min="775" max="777" width="22.109375" style="32" bestFit="1" customWidth="1"/>
    <col min="778" max="778" width="27.6640625" style="32" bestFit="1" customWidth="1"/>
    <col min="779" max="779" width="24.44140625" style="32" customWidth="1"/>
    <col min="780" max="780" width="28.109375" style="32" customWidth="1"/>
    <col min="781" max="781" width="25.44140625" style="32" customWidth="1"/>
    <col min="782" max="782" width="35.33203125" style="32" bestFit="1" customWidth="1"/>
    <col min="783" max="783" width="30.109375" style="32" customWidth="1"/>
    <col min="784" max="784" width="11.44140625" style="32" bestFit="1" customWidth="1"/>
    <col min="785" max="785" width="24.88671875" style="32" bestFit="1" customWidth="1"/>
    <col min="786" max="786" width="16.44140625" style="32" bestFit="1" customWidth="1"/>
    <col min="787" max="787" width="24.5546875" style="32" bestFit="1" customWidth="1"/>
    <col min="788" max="788" width="17.44140625" style="32" bestFit="1" customWidth="1"/>
    <col min="789" max="789" width="21.6640625" style="32" bestFit="1" customWidth="1"/>
    <col min="790" max="1024" width="9.109375" style="32"/>
    <col min="1025" max="1025" width="29.6640625" style="32" customWidth="1"/>
    <col min="1026" max="1026" width="25.44140625" style="32" bestFit="1" customWidth="1"/>
    <col min="1027" max="1027" width="41.88671875" style="32" customWidth="1"/>
    <col min="1028" max="1028" width="14" style="32" bestFit="1" customWidth="1"/>
    <col min="1029" max="1029" width="25.33203125" style="32" bestFit="1" customWidth="1"/>
    <col min="1030" max="1030" width="27.44140625" style="32" bestFit="1" customWidth="1"/>
    <col min="1031" max="1033" width="22.109375" style="32" bestFit="1" customWidth="1"/>
    <col min="1034" max="1034" width="27.6640625" style="32" bestFit="1" customWidth="1"/>
    <col min="1035" max="1035" width="24.44140625" style="32" customWidth="1"/>
    <col min="1036" max="1036" width="28.109375" style="32" customWidth="1"/>
    <col min="1037" max="1037" width="25.44140625" style="32" customWidth="1"/>
    <col min="1038" max="1038" width="35.33203125" style="32" bestFit="1" customWidth="1"/>
    <col min="1039" max="1039" width="30.109375" style="32" customWidth="1"/>
    <col min="1040" max="1040" width="11.44140625" style="32" bestFit="1" customWidth="1"/>
    <col min="1041" max="1041" width="24.88671875" style="32" bestFit="1" customWidth="1"/>
    <col min="1042" max="1042" width="16.44140625" style="32" bestFit="1" customWidth="1"/>
    <col min="1043" max="1043" width="24.5546875" style="32" bestFit="1" customWidth="1"/>
    <col min="1044" max="1044" width="17.44140625" style="32" bestFit="1" customWidth="1"/>
    <col min="1045" max="1045" width="21.6640625" style="32" bestFit="1" customWidth="1"/>
    <col min="1046" max="1280" width="9.109375" style="32"/>
    <col min="1281" max="1281" width="29.6640625" style="32" customWidth="1"/>
    <col min="1282" max="1282" width="25.44140625" style="32" bestFit="1" customWidth="1"/>
    <col min="1283" max="1283" width="41.88671875" style="32" customWidth="1"/>
    <col min="1284" max="1284" width="14" style="32" bestFit="1" customWidth="1"/>
    <col min="1285" max="1285" width="25.33203125" style="32" bestFit="1" customWidth="1"/>
    <col min="1286" max="1286" width="27.44140625" style="32" bestFit="1" customWidth="1"/>
    <col min="1287" max="1289" width="22.109375" style="32" bestFit="1" customWidth="1"/>
    <col min="1290" max="1290" width="27.6640625" style="32" bestFit="1" customWidth="1"/>
    <col min="1291" max="1291" width="24.44140625" style="32" customWidth="1"/>
    <col min="1292" max="1292" width="28.109375" style="32" customWidth="1"/>
    <col min="1293" max="1293" width="25.44140625" style="32" customWidth="1"/>
    <col min="1294" max="1294" width="35.33203125" style="32" bestFit="1" customWidth="1"/>
    <col min="1295" max="1295" width="30.109375" style="32" customWidth="1"/>
    <col min="1296" max="1296" width="11.44140625" style="32" bestFit="1" customWidth="1"/>
    <col min="1297" max="1297" width="24.88671875" style="32" bestFit="1" customWidth="1"/>
    <col min="1298" max="1298" width="16.44140625" style="32" bestFit="1" customWidth="1"/>
    <col min="1299" max="1299" width="24.5546875" style="32" bestFit="1" customWidth="1"/>
    <col min="1300" max="1300" width="17.44140625" style="32" bestFit="1" customWidth="1"/>
    <col min="1301" max="1301" width="21.6640625" style="32" bestFit="1" customWidth="1"/>
    <col min="1302" max="1536" width="9.109375" style="32"/>
    <col min="1537" max="1537" width="29.6640625" style="32" customWidth="1"/>
    <col min="1538" max="1538" width="25.44140625" style="32" bestFit="1" customWidth="1"/>
    <col min="1539" max="1539" width="41.88671875" style="32" customWidth="1"/>
    <col min="1540" max="1540" width="14" style="32" bestFit="1" customWidth="1"/>
    <col min="1541" max="1541" width="25.33203125" style="32" bestFit="1" customWidth="1"/>
    <col min="1542" max="1542" width="27.44140625" style="32" bestFit="1" customWidth="1"/>
    <col min="1543" max="1545" width="22.109375" style="32" bestFit="1" customWidth="1"/>
    <col min="1546" max="1546" width="27.6640625" style="32" bestFit="1" customWidth="1"/>
    <col min="1547" max="1547" width="24.44140625" style="32" customWidth="1"/>
    <col min="1548" max="1548" width="28.109375" style="32" customWidth="1"/>
    <col min="1549" max="1549" width="25.44140625" style="32" customWidth="1"/>
    <col min="1550" max="1550" width="35.33203125" style="32" bestFit="1" customWidth="1"/>
    <col min="1551" max="1551" width="30.109375" style="32" customWidth="1"/>
    <col min="1552" max="1552" width="11.44140625" style="32" bestFit="1" customWidth="1"/>
    <col min="1553" max="1553" width="24.88671875" style="32" bestFit="1" customWidth="1"/>
    <col min="1554" max="1554" width="16.44140625" style="32" bestFit="1" customWidth="1"/>
    <col min="1555" max="1555" width="24.5546875" style="32" bestFit="1" customWidth="1"/>
    <col min="1556" max="1556" width="17.44140625" style="32" bestFit="1" customWidth="1"/>
    <col min="1557" max="1557" width="21.6640625" style="32" bestFit="1" customWidth="1"/>
    <col min="1558" max="1792" width="9.109375" style="32"/>
    <col min="1793" max="1793" width="29.6640625" style="32" customWidth="1"/>
    <col min="1794" max="1794" width="25.44140625" style="32" bestFit="1" customWidth="1"/>
    <col min="1795" max="1795" width="41.88671875" style="32" customWidth="1"/>
    <col min="1796" max="1796" width="14" style="32" bestFit="1" customWidth="1"/>
    <col min="1797" max="1797" width="25.33203125" style="32" bestFit="1" customWidth="1"/>
    <col min="1798" max="1798" width="27.44140625" style="32" bestFit="1" customWidth="1"/>
    <col min="1799" max="1801" width="22.109375" style="32" bestFit="1" customWidth="1"/>
    <col min="1802" max="1802" width="27.6640625" style="32" bestFit="1" customWidth="1"/>
    <col min="1803" max="1803" width="24.44140625" style="32" customWidth="1"/>
    <col min="1804" max="1804" width="28.109375" style="32" customWidth="1"/>
    <col min="1805" max="1805" width="25.44140625" style="32" customWidth="1"/>
    <col min="1806" max="1806" width="35.33203125" style="32" bestFit="1" customWidth="1"/>
    <col min="1807" max="1807" width="30.109375" style="32" customWidth="1"/>
    <col min="1808" max="1808" width="11.44140625" style="32" bestFit="1" customWidth="1"/>
    <col min="1809" max="1809" width="24.88671875" style="32" bestFit="1" customWidth="1"/>
    <col min="1810" max="1810" width="16.44140625" style="32" bestFit="1" customWidth="1"/>
    <col min="1811" max="1811" width="24.5546875" style="32" bestFit="1" customWidth="1"/>
    <col min="1812" max="1812" width="17.44140625" style="32" bestFit="1" customWidth="1"/>
    <col min="1813" max="1813" width="21.6640625" style="32" bestFit="1" customWidth="1"/>
    <col min="1814" max="2048" width="9.109375" style="32"/>
    <col min="2049" max="2049" width="29.6640625" style="32" customWidth="1"/>
    <col min="2050" max="2050" width="25.44140625" style="32" bestFit="1" customWidth="1"/>
    <col min="2051" max="2051" width="41.88671875" style="32" customWidth="1"/>
    <col min="2052" max="2052" width="14" style="32" bestFit="1" customWidth="1"/>
    <col min="2053" max="2053" width="25.33203125" style="32" bestFit="1" customWidth="1"/>
    <col min="2054" max="2054" width="27.44140625" style="32" bestFit="1" customWidth="1"/>
    <col min="2055" max="2057" width="22.109375" style="32" bestFit="1" customWidth="1"/>
    <col min="2058" max="2058" width="27.6640625" style="32" bestFit="1" customWidth="1"/>
    <col min="2059" max="2059" width="24.44140625" style="32" customWidth="1"/>
    <col min="2060" max="2060" width="28.109375" style="32" customWidth="1"/>
    <col min="2061" max="2061" width="25.44140625" style="32" customWidth="1"/>
    <col min="2062" max="2062" width="35.33203125" style="32" bestFit="1" customWidth="1"/>
    <col min="2063" max="2063" width="30.109375" style="32" customWidth="1"/>
    <col min="2064" max="2064" width="11.44140625" style="32" bestFit="1" customWidth="1"/>
    <col min="2065" max="2065" width="24.88671875" style="32" bestFit="1" customWidth="1"/>
    <col min="2066" max="2066" width="16.44140625" style="32" bestFit="1" customWidth="1"/>
    <col min="2067" max="2067" width="24.5546875" style="32" bestFit="1" customWidth="1"/>
    <col min="2068" max="2068" width="17.44140625" style="32" bestFit="1" customWidth="1"/>
    <col min="2069" max="2069" width="21.6640625" style="32" bestFit="1" customWidth="1"/>
    <col min="2070" max="2304" width="9.109375" style="32"/>
    <col min="2305" max="2305" width="29.6640625" style="32" customWidth="1"/>
    <col min="2306" max="2306" width="25.44140625" style="32" bestFit="1" customWidth="1"/>
    <col min="2307" max="2307" width="41.88671875" style="32" customWidth="1"/>
    <col min="2308" max="2308" width="14" style="32" bestFit="1" customWidth="1"/>
    <col min="2309" max="2309" width="25.33203125" style="32" bestFit="1" customWidth="1"/>
    <col min="2310" max="2310" width="27.44140625" style="32" bestFit="1" customWidth="1"/>
    <col min="2311" max="2313" width="22.109375" style="32" bestFit="1" customWidth="1"/>
    <col min="2314" max="2314" width="27.6640625" style="32" bestFit="1" customWidth="1"/>
    <col min="2315" max="2315" width="24.44140625" style="32" customWidth="1"/>
    <col min="2316" max="2316" width="28.109375" style="32" customWidth="1"/>
    <col min="2317" max="2317" width="25.44140625" style="32" customWidth="1"/>
    <col min="2318" max="2318" width="35.33203125" style="32" bestFit="1" customWidth="1"/>
    <col min="2319" max="2319" width="30.109375" style="32" customWidth="1"/>
    <col min="2320" max="2320" width="11.44140625" style="32" bestFit="1" customWidth="1"/>
    <col min="2321" max="2321" width="24.88671875" style="32" bestFit="1" customWidth="1"/>
    <col min="2322" max="2322" width="16.44140625" style="32" bestFit="1" customWidth="1"/>
    <col min="2323" max="2323" width="24.5546875" style="32" bestFit="1" customWidth="1"/>
    <col min="2324" max="2324" width="17.44140625" style="32" bestFit="1" customWidth="1"/>
    <col min="2325" max="2325" width="21.6640625" style="32" bestFit="1" customWidth="1"/>
    <col min="2326" max="2560" width="9.109375" style="32"/>
    <col min="2561" max="2561" width="29.6640625" style="32" customWidth="1"/>
    <col min="2562" max="2562" width="25.44140625" style="32" bestFit="1" customWidth="1"/>
    <col min="2563" max="2563" width="41.88671875" style="32" customWidth="1"/>
    <col min="2564" max="2564" width="14" style="32" bestFit="1" customWidth="1"/>
    <col min="2565" max="2565" width="25.33203125" style="32" bestFit="1" customWidth="1"/>
    <col min="2566" max="2566" width="27.44140625" style="32" bestFit="1" customWidth="1"/>
    <col min="2567" max="2569" width="22.109375" style="32" bestFit="1" customWidth="1"/>
    <col min="2570" max="2570" width="27.6640625" style="32" bestFit="1" customWidth="1"/>
    <col min="2571" max="2571" width="24.44140625" style="32" customWidth="1"/>
    <col min="2572" max="2572" width="28.109375" style="32" customWidth="1"/>
    <col min="2573" max="2573" width="25.44140625" style="32" customWidth="1"/>
    <col min="2574" max="2574" width="35.33203125" style="32" bestFit="1" customWidth="1"/>
    <col min="2575" max="2575" width="30.109375" style="32" customWidth="1"/>
    <col min="2576" max="2576" width="11.44140625" style="32" bestFit="1" customWidth="1"/>
    <col min="2577" max="2577" width="24.88671875" style="32" bestFit="1" customWidth="1"/>
    <col min="2578" max="2578" width="16.44140625" style="32" bestFit="1" customWidth="1"/>
    <col min="2579" max="2579" width="24.5546875" style="32" bestFit="1" customWidth="1"/>
    <col min="2580" max="2580" width="17.44140625" style="32" bestFit="1" customWidth="1"/>
    <col min="2581" max="2581" width="21.6640625" style="32" bestFit="1" customWidth="1"/>
    <col min="2582" max="2816" width="9.109375" style="32"/>
    <col min="2817" max="2817" width="29.6640625" style="32" customWidth="1"/>
    <col min="2818" max="2818" width="25.44140625" style="32" bestFit="1" customWidth="1"/>
    <col min="2819" max="2819" width="41.88671875" style="32" customWidth="1"/>
    <col min="2820" max="2820" width="14" style="32" bestFit="1" customWidth="1"/>
    <col min="2821" max="2821" width="25.33203125" style="32" bestFit="1" customWidth="1"/>
    <col min="2822" max="2822" width="27.44140625" style="32" bestFit="1" customWidth="1"/>
    <col min="2823" max="2825" width="22.109375" style="32" bestFit="1" customWidth="1"/>
    <col min="2826" max="2826" width="27.6640625" style="32" bestFit="1" customWidth="1"/>
    <col min="2827" max="2827" width="24.44140625" style="32" customWidth="1"/>
    <col min="2828" max="2828" width="28.109375" style="32" customWidth="1"/>
    <col min="2829" max="2829" width="25.44140625" style="32" customWidth="1"/>
    <col min="2830" max="2830" width="35.33203125" style="32" bestFit="1" customWidth="1"/>
    <col min="2831" max="2831" width="30.109375" style="32" customWidth="1"/>
    <col min="2832" max="2832" width="11.44140625" style="32" bestFit="1" customWidth="1"/>
    <col min="2833" max="2833" width="24.88671875" style="32" bestFit="1" customWidth="1"/>
    <col min="2834" max="2834" width="16.44140625" style="32" bestFit="1" customWidth="1"/>
    <col min="2835" max="2835" width="24.5546875" style="32" bestFit="1" customWidth="1"/>
    <col min="2836" max="2836" width="17.44140625" style="32" bestFit="1" customWidth="1"/>
    <col min="2837" max="2837" width="21.6640625" style="32" bestFit="1" customWidth="1"/>
    <col min="2838" max="3072" width="9.109375" style="32"/>
    <col min="3073" max="3073" width="29.6640625" style="32" customWidth="1"/>
    <col min="3074" max="3074" width="25.44140625" style="32" bestFit="1" customWidth="1"/>
    <col min="3075" max="3075" width="41.88671875" style="32" customWidth="1"/>
    <col min="3076" max="3076" width="14" style="32" bestFit="1" customWidth="1"/>
    <col min="3077" max="3077" width="25.33203125" style="32" bestFit="1" customWidth="1"/>
    <col min="3078" max="3078" width="27.44140625" style="32" bestFit="1" customWidth="1"/>
    <col min="3079" max="3081" width="22.109375" style="32" bestFit="1" customWidth="1"/>
    <col min="3082" max="3082" width="27.6640625" style="32" bestFit="1" customWidth="1"/>
    <col min="3083" max="3083" width="24.44140625" style="32" customWidth="1"/>
    <col min="3084" max="3084" width="28.109375" style="32" customWidth="1"/>
    <col min="3085" max="3085" width="25.44140625" style="32" customWidth="1"/>
    <col min="3086" max="3086" width="35.33203125" style="32" bestFit="1" customWidth="1"/>
    <col min="3087" max="3087" width="30.109375" style="32" customWidth="1"/>
    <col min="3088" max="3088" width="11.44140625" style="32" bestFit="1" customWidth="1"/>
    <col min="3089" max="3089" width="24.88671875" style="32" bestFit="1" customWidth="1"/>
    <col min="3090" max="3090" width="16.44140625" style="32" bestFit="1" customWidth="1"/>
    <col min="3091" max="3091" width="24.5546875" style="32" bestFit="1" customWidth="1"/>
    <col min="3092" max="3092" width="17.44140625" style="32" bestFit="1" customWidth="1"/>
    <col min="3093" max="3093" width="21.6640625" style="32" bestFit="1" customWidth="1"/>
    <col min="3094" max="3328" width="9.109375" style="32"/>
    <col min="3329" max="3329" width="29.6640625" style="32" customWidth="1"/>
    <col min="3330" max="3330" width="25.44140625" style="32" bestFit="1" customWidth="1"/>
    <col min="3331" max="3331" width="41.88671875" style="32" customWidth="1"/>
    <col min="3332" max="3332" width="14" style="32" bestFit="1" customWidth="1"/>
    <col min="3333" max="3333" width="25.33203125" style="32" bestFit="1" customWidth="1"/>
    <col min="3334" max="3334" width="27.44140625" style="32" bestFit="1" customWidth="1"/>
    <col min="3335" max="3337" width="22.109375" style="32" bestFit="1" customWidth="1"/>
    <col min="3338" max="3338" width="27.6640625" style="32" bestFit="1" customWidth="1"/>
    <col min="3339" max="3339" width="24.44140625" style="32" customWidth="1"/>
    <col min="3340" max="3340" width="28.109375" style="32" customWidth="1"/>
    <col min="3341" max="3341" width="25.44140625" style="32" customWidth="1"/>
    <col min="3342" max="3342" width="35.33203125" style="32" bestFit="1" customWidth="1"/>
    <col min="3343" max="3343" width="30.109375" style="32" customWidth="1"/>
    <col min="3344" max="3344" width="11.44140625" style="32" bestFit="1" customWidth="1"/>
    <col min="3345" max="3345" width="24.88671875" style="32" bestFit="1" customWidth="1"/>
    <col min="3346" max="3346" width="16.44140625" style="32" bestFit="1" customWidth="1"/>
    <col min="3347" max="3347" width="24.5546875" style="32" bestFit="1" customWidth="1"/>
    <col min="3348" max="3348" width="17.44140625" style="32" bestFit="1" customWidth="1"/>
    <col min="3349" max="3349" width="21.6640625" style="32" bestFit="1" customWidth="1"/>
    <col min="3350" max="3584" width="9.109375" style="32"/>
    <col min="3585" max="3585" width="29.6640625" style="32" customWidth="1"/>
    <col min="3586" max="3586" width="25.44140625" style="32" bestFit="1" customWidth="1"/>
    <col min="3587" max="3587" width="41.88671875" style="32" customWidth="1"/>
    <col min="3588" max="3588" width="14" style="32" bestFit="1" customWidth="1"/>
    <col min="3589" max="3589" width="25.33203125" style="32" bestFit="1" customWidth="1"/>
    <col min="3590" max="3590" width="27.44140625" style="32" bestFit="1" customWidth="1"/>
    <col min="3591" max="3593" width="22.109375" style="32" bestFit="1" customWidth="1"/>
    <col min="3594" max="3594" width="27.6640625" style="32" bestFit="1" customWidth="1"/>
    <col min="3595" max="3595" width="24.44140625" style="32" customWidth="1"/>
    <col min="3596" max="3596" width="28.109375" style="32" customWidth="1"/>
    <col min="3597" max="3597" width="25.44140625" style="32" customWidth="1"/>
    <col min="3598" max="3598" width="35.33203125" style="32" bestFit="1" customWidth="1"/>
    <col min="3599" max="3599" width="30.109375" style="32" customWidth="1"/>
    <col min="3600" max="3600" width="11.44140625" style="32" bestFit="1" customWidth="1"/>
    <col min="3601" max="3601" width="24.88671875" style="32" bestFit="1" customWidth="1"/>
    <col min="3602" max="3602" width="16.44140625" style="32" bestFit="1" customWidth="1"/>
    <col min="3603" max="3603" width="24.5546875" style="32" bestFit="1" customWidth="1"/>
    <col min="3604" max="3604" width="17.44140625" style="32" bestFit="1" customWidth="1"/>
    <col min="3605" max="3605" width="21.6640625" style="32" bestFit="1" customWidth="1"/>
    <col min="3606" max="3840" width="9.109375" style="32"/>
    <col min="3841" max="3841" width="29.6640625" style="32" customWidth="1"/>
    <col min="3842" max="3842" width="25.44140625" style="32" bestFit="1" customWidth="1"/>
    <col min="3843" max="3843" width="41.88671875" style="32" customWidth="1"/>
    <col min="3844" max="3844" width="14" style="32" bestFit="1" customWidth="1"/>
    <col min="3845" max="3845" width="25.33203125" style="32" bestFit="1" customWidth="1"/>
    <col min="3846" max="3846" width="27.44140625" style="32" bestFit="1" customWidth="1"/>
    <col min="3847" max="3849" width="22.109375" style="32" bestFit="1" customWidth="1"/>
    <col min="3850" max="3850" width="27.6640625" style="32" bestFit="1" customWidth="1"/>
    <col min="3851" max="3851" width="24.44140625" style="32" customWidth="1"/>
    <col min="3852" max="3852" width="28.109375" style="32" customWidth="1"/>
    <col min="3853" max="3853" width="25.44140625" style="32" customWidth="1"/>
    <col min="3854" max="3854" width="35.33203125" style="32" bestFit="1" customWidth="1"/>
    <col min="3855" max="3855" width="30.109375" style="32" customWidth="1"/>
    <col min="3856" max="3856" width="11.44140625" style="32" bestFit="1" customWidth="1"/>
    <col min="3857" max="3857" width="24.88671875" style="32" bestFit="1" customWidth="1"/>
    <col min="3858" max="3858" width="16.44140625" style="32" bestFit="1" customWidth="1"/>
    <col min="3859" max="3859" width="24.5546875" style="32" bestFit="1" customWidth="1"/>
    <col min="3860" max="3860" width="17.44140625" style="32" bestFit="1" customWidth="1"/>
    <col min="3861" max="3861" width="21.6640625" style="32" bestFit="1" customWidth="1"/>
    <col min="3862" max="4096" width="9.109375" style="32"/>
    <col min="4097" max="4097" width="29.6640625" style="32" customWidth="1"/>
    <col min="4098" max="4098" width="25.44140625" style="32" bestFit="1" customWidth="1"/>
    <col min="4099" max="4099" width="41.88671875" style="32" customWidth="1"/>
    <col min="4100" max="4100" width="14" style="32" bestFit="1" customWidth="1"/>
    <col min="4101" max="4101" width="25.33203125" style="32" bestFit="1" customWidth="1"/>
    <col min="4102" max="4102" width="27.44140625" style="32" bestFit="1" customWidth="1"/>
    <col min="4103" max="4105" width="22.109375" style="32" bestFit="1" customWidth="1"/>
    <col min="4106" max="4106" width="27.6640625" style="32" bestFit="1" customWidth="1"/>
    <col min="4107" max="4107" width="24.44140625" style="32" customWidth="1"/>
    <col min="4108" max="4108" width="28.109375" style="32" customWidth="1"/>
    <col min="4109" max="4109" width="25.44140625" style="32" customWidth="1"/>
    <col min="4110" max="4110" width="35.33203125" style="32" bestFit="1" customWidth="1"/>
    <col min="4111" max="4111" width="30.109375" style="32" customWidth="1"/>
    <col min="4112" max="4112" width="11.44140625" style="32" bestFit="1" customWidth="1"/>
    <col min="4113" max="4113" width="24.88671875" style="32" bestFit="1" customWidth="1"/>
    <col min="4114" max="4114" width="16.44140625" style="32" bestFit="1" customWidth="1"/>
    <col min="4115" max="4115" width="24.5546875" style="32" bestFit="1" customWidth="1"/>
    <col min="4116" max="4116" width="17.44140625" style="32" bestFit="1" customWidth="1"/>
    <col min="4117" max="4117" width="21.6640625" style="32" bestFit="1" customWidth="1"/>
    <col min="4118" max="4352" width="9.109375" style="32"/>
    <col min="4353" max="4353" width="29.6640625" style="32" customWidth="1"/>
    <col min="4354" max="4354" width="25.44140625" style="32" bestFit="1" customWidth="1"/>
    <col min="4355" max="4355" width="41.88671875" style="32" customWidth="1"/>
    <col min="4356" max="4356" width="14" style="32" bestFit="1" customWidth="1"/>
    <col min="4357" max="4357" width="25.33203125" style="32" bestFit="1" customWidth="1"/>
    <col min="4358" max="4358" width="27.44140625" style="32" bestFit="1" customWidth="1"/>
    <col min="4359" max="4361" width="22.109375" style="32" bestFit="1" customWidth="1"/>
    <col min="4362" max="4362" width="27.6640625" style="32" bestFit="1" customWidth="1"/>
    <col min="4363" max="4363" width="24.44140625" style="32" customWidth="1"/>
    <col min="4364" max="4364" width="28.109375" style="32" customWidth="1"/>
    <col min="4365" max="4365" width="25.44140625" style="32" customWidth="1"/>
    <col min="4366" max="4366" width="35.33203125" style="32" bestFit="1" customWidth="1"/>
    <col min="4367" max="4367" width="30.109375" style="32" customWidth="1"/>
    <col min="4368" max="4368" width="11.44140625" style="32" bestFit="1" customWidth="1"/>
    <col min="4369" max="4369" width="24.88671875" style="32" bestFit="1" customWidth="1"/>
    <col min="4370" max="4370" width="16.44140625" style="32" bestFit="1" customWidth="1"/>
    <col min="4371" max="4371" width="24.5546875" style="32" bestFit="1" customWidth="1"/>
    <col min="4372" max="4372" width="17.44140625" style="32" bestFit="1" customWidth="1"/>
    <col min="4373" max="4373" width="21.6640625" style="32" bestFit="1" customWidth="1"/>
    <col min="4374" max="4608" width="9.109375" style="32"/>
    <col min="4609" max="4609" width="29.6640625" style="32" customWidth="1"/>
    <col min="4610" max="4610" width="25.44140625" style="32" bestFit="1" customWidth="1"/>
    <col min="4611" max="4611" width="41.88671875" style="32" customWidth="1"/>
    <col min="4612" max="4612" width="14" style="32" bestFit="1" customWidth="1"/>
    <col min="4613" max="4613" width="25.33203125" style="32" bestFit="1" customWidth="1"/>
    <col min="4614" max="4614" width="27.44140625" style="32" bestFit="1" customWidth="1"/>
    <col min="4615" max="4617" width="22.109375" style="32" bestFit="1" customWidth="1"/>
    <col min="4618" max="4618" width="27.6640625" style="32" bestFit="1" customWidth="1"/>
    <col min="4619" max="4619" width="24.44140625" style="32" customWidth="1"/>
    <col min="4620" max="4620" width="28.109375" style="32" customWidth="1"/>
    <col min="4621" max="4621" width="25.44140625" style="32" customWidth="1"/>
    <col min="4622" max="4622" width="35.33203125" style="32" bestFit="1" customWidth="1"/>
    <col min="4623" max="4623" width="30.109375" style="32" customWidth="1"/>
    <col min="4624" max="4624" width="11.44140625" style="32" bestFit="1" customWidth="1"/>
    <col min="4625" max="4625" width="24.88671875" style="32" bestFit="1" customWidth="1"/>
    <col min="4626" max="4626" width="16.44140625" style="32" bestFit="1" customWidth="1"/>
    <col min="4627" max="4627" width="24.5546875" style="32" bestFit="1" customWidth="1"/>
    <col min="4628" max="4628" width="17.44140625" style="32" bestFit="1" customWidth="1"/>
    <col min="4629" max="4629" width="21.6640625" style="32" bestFit="1" customWidth="1"/>
    <col min="4630" max="4864" width="9.109375" style="32"/>
    <col min="4865" max="4865" width="29.6640625" style="32" customWidth="1"/>
    <col min="4866" max="4866" width="25.44140625" style="32" bestFit="1" customWidth="1"/>
    <col min="4867" max="4867" width="41.88671875" style="32" customWidth="1"/>
    <col min="4868" max="4868" width="14" style="32" bestFit="1" customWidth="1"/>
    <col min="4869" max="4869" width="25.33203125" style="32" bestFit="1" customWidth="1"/>
    <col min="4870" max="4870" width="27.44140625" style="32" bestFit="1" customWidth="1"/>
    <col min="4871" max="4873" width="22.109375" style="32" bestFit="1" customWidth="1"/>
    <col min="4874" max="4874" width="27.6640625" style="32" bestFit="1" customWidth="1"/>
    <col min="4875" max="4875" width="24.44140625" style="32" customWidth="1"/>
    <col min="4876" max="4876" width="28.109375" style="32" customWidth="1"/>
    <col min="4877" max="4877" width="25.44140625" style="32" customWidth="1"/>
    <col min="4878" max="4878" width="35.33203125" style="32" bestFit="1" customWidth="1"/>
    <col min="4879" max="4879" width="30.109375" style="32" customWidth="1"/>
    <col min="4880" max="4880" width="11.44140625" style="32" bestFit="1" customWidth="1"/>
    <col min="4881" max="4881" width="24.88671875" style="32" bestFit="1" customWidth="1"/>
    <col min="4882" max="4882" width="16.44140625" style="32" bestFit="1" customWidth="1"/>
    <col min="4883" max="4883" width="24.5546875" style="32" bestFit="1" customWidth="1"/>
    <col min="4884" max="4884" width="17.44140625" style="32" bestFit="1" customWidth="1"/>
    <col min="4885" max="4885" width="21.6640625" style="32" bestFit="1" customWidth="1"/>
    <col min="4886" max="5120" width="9.109375" style="32"/>
    <col min="5121" max="5121" width="29.6640625" style="32" customWidth="1"/>
    <col min="5122" max="5122" width="25.44140625" style="32" bestFit="1" customWidth="1"/>
    <col min="5123" max="5123" width="41.88671875" style="32" customWidth="1"/>
    <col min="5124" max="5124" width="14" style="32" bestFit="1" customWidth="1"/>
    <col min="5125" max="5125" width="25.33203125" style="32" bestFit="1" customWidth="1"/>
    <col min="5126" max="5126" width="27.44140625" style="32" bestFit="1" customWidth="1"/>
    <col min="5127" max="5129" width="22.109375" style="32" bestFit="1" customWidth="1"/>
    <col min="5130" max="5130" width="27.6640625" style="32" bestFit="1" customWidth="1"/>
    <col min="5131" max="5131" width="24.44140625" style="32" customWidth="1"/>
    <col min="5132" max="5132" width="28.109375" style="32" customWidth="1"/>
    <col min="5133" max="5133" width="25.44140625" style="32" customWidth="1"/>
    <col min="5134" max="5134" width="35.33203125" style="32" bestFit="1" customWidth="1"/>
    <col min="5135" max="5135" width="30.109375" style="32" customWidth="1"/>
    <col min="5136" max="5136" width="11.44140625" style="32" bestFit="1" customWidth="1"/>
    <col min="5137" max="5137" width="24.88671875" style="32" bestFit="1" customWidth="1"/>
    <col min="5138" max="5138" width="16.44140625" style="32" bestFit="1" customWidth="1"/>
    <col min="5139" max="5139" width="24.5546875" style="32" bestFit="1" customWidth="1"/>
    <col min="5140" max="5140" width="17.44140625" style="32" bestFit="1" customWidth="1"/>
    <col min="5141" max="5141" width="21.6640625" style="32" bestFit="1" customWidth="1"/>
    <col min="5142" max="5376" width="9.109375" style="32"/>
    <col min="5377" max="5377" width="29.6640625" style="32" customWidth="1"/>
    <col min="5378" max="5378" width="25.44140625" style="32" bestFit="1" customWidth="1"/>
    <col min="5379" max="5379" width="41.88671875" style="32" customWidth="1"/>
    <col min="5380" max="5380" width="14" style="32" bestFit="1" customWidth="1"/>
    <col min="5381" max="5381" width="25.33203125" style="32" bestFit="1" customWidth="1"/>
    <col min="5382" max="5382" width="27.44140625" style="32" bestFit="1" customWidth="1"/>
    <col min="5383" max="5385" width="22.109375" style="32" bestFit="1" customWidth="1"/>
    <col min="5386" max="5386" width="27.6640625" style="32" bestFit="1" customWidth="1"/>
    <col min="5387" max="5387" width="24.44140625" style="32" customWidth="1"/>
    <col min="5388" max="5388" width="28.109375" style="32" customWidth="1"/>
    <col min="5389" max="5389" width="25.44140625" style="32" customWidth="1"/>
    <col min="5390" max="5390" width="35.33203125" style="32" bestFit="1" customWidth="1"/>
    <col min="5391" max="5391" width="30.109375" style="32" customWidth="1"/>
    <col min="5392" max="5392" width="11.44140625" style="32" bestFit="1" customWidth="1"/>
    <col min="5393" max="5393" width="24.88671875" style="32" bestFit="1" customWidth="1"/>
    <col min="5394" max="5394" width="16.44140625" style="32" bestFit="1" customWidth="1"/>
    <col min="5395" max="5395" width="24.5546875" style="32" bestFit="1" customWidth="1"/>
    <col min="5396" max="5396" width="17.44140625" style="32" bestFit="1" customWidth="1"/>
    <col min="5397" max="5397" width="21.6640625" style="32" bestFit="1" customWidth="1"/>
    <col min="5398" max="5632" width="9.109375" style="32"/>
    <col min="5633" max="5633" width="29.6640625" style="32" customWidth="1"/>
    <col min="5634" max="5634" width="25.44140625" style="32" bestFit="1" customWidth="1"/>
    <col min="5635" max="5635" width="41.88671875" style="32" customWidth="1"/>
    <col min="5636" max="5636" width="14" style="32" bestFit="1" customWidth="1"/>
    <col min="5637" max="5637" width="25.33203125" style="32" bestFit="1" customWidth="1"/>
    <col min="5638" max="5638" width="27.44140625" style="32" bestFit="1" customWidth="1"/>
    <col min="5639" max="5641" width="22.109375" style="32" bestFit="1" customWidth="1"/>
    <col min="5642" max="5642" width="27.6640625" style="32" bestFit="1" customWidth="1"/>
    <col min="5643" max="5643" width="24.44140625" style="32" customWidth="1"/>
    <col min="5644" max="5644" width="28.109375" style="32" customWidth="1"/>
    <col min="5645" max="5645" width="25.44140625" style="32" customWidth="1"/>
    <col min="5646" max="5646" width="35.33203125" style="32" bestFit="1" customWidth="1"/>
    <col min="5647" max="5647" width="30.109375" style="32" customWidth="1"/>
    <col min="5648" max="5648" width="11.44140625" style="32" bestFit="1" customWidth="1"/>
    <col min="5649" max="5649" width="24.88671875" style="32" bestFit="1" customWidth="1"/>
    <col min="5650" max="5650" width="16.44140625" style="32" bestFit="1" customWidth="1"/>
    <col min="5651" max="5651" width="24.5546875" style="32" bestFit="1" customWidth="1"/>
    <col min="5652" max="5652" width="17.44140625" style="32" bestFit="1" customWidth="1"/>
    <col min="5653" max="5653" width="21.6640625" style="32" bestFit="1" customWidth="1"/>
    <col min="5654" max="5888" width="9.109375" style="32"/>
    <col min="5889" max="5889" width="29.6640625" style="32" customWidth="1"/>
    <col min="5890" max="5890" width="25.44140625" style="32" bestFit="1" customWidth="1"/>
    <col min="5891" max="5891" width="41.88671875" style="32" customWidth="1"/>
    <col min="5892" max="5892" width="14" style="32" bestFit="1" customWidth="1"/>
    <col min="5893" max="5893" width="25.33203125" style="32" bestFit="1" customWidth="1"/>
    <col min="5894" max="5894" width="27.44140625" style="32" bestFit="1" customWidth="1"/>
    <col min="5895" max="5897" width="22.109375" style="32" bestFit="1" customWidth="1"/>
    <col min="5898" max="5898" width="27.6640625" style="32" bestFit="1" customWidth="1"/>
    <col min="5899" max="5899" width="24.44140625" style="32" customWidth="1"/>
    <col min="5900" max="5900" width="28.109375" style="32" customWidth="1"/>
    <col min="5901" max="5901" width="25.44140625" style="32" customWidth="1"/>
    <col min="5902" max="5902" width="35.33203125" style="32" bestFit="1" customWidth="1"/>
    <col min="5903" max="5903" width="30.109375" style="32" customWidth="1"/>
    <col min="5904" max="5904" width="11.44140625" style="32" bestFit="1" customWidth="1"/>
    <col min="5905" max="5905" width="24.88671875" style="32" bestFit="1" customWidth="1"/>
    <col min="5906" max="5906" width="16.44140625" style="32" bestFit="1" customWidth="1"/>
    <col min="5907" max="5907" width="24.5546875" style="32" bestFit="1" customWidth="1"/>
    <col min="5908" max="5908" width="17.44140625" style="32" bestFit="1" customWidth="1"/>
    <col min="5909" max="5909" width="21.6640625" style="32" bestFit="1" customWidth="1"/>
    <col min="5910" max="6144" width="9.109375" style="32"/>
    <col min="6145" max="6145" width="29.6640625" style="32" customWidth="1"/>
    <col min="6146" max="6146" width="25.44140625" style="32" bestFit="1" customWidth="1"/>
    <col min="6147" max="6147" width="41.88671875" style="32" customWidth="1"/>
    <col min="6148" max="6148" width="14" style="32" bestFit="1" customWidth="1"/>
    <col min="6149" max="6149" width="25.33203125" style="32" bestFit="1" customWidth="1"/>
    <col min="6150" max="6150" width="27.44140625" style="32" bestFit="1" customWidth="1"/>
    <col min="6151" max="6153" width="22.109375" style="32" bestFit="1" customWidth="1"/>
    <col min="6154" max="6154" width="27.6640625" style="32" bestFit="1" customWidth="1"/>
    <col min="6155" max="6155" width="24.44140625" style="32" customWidth="1"/>
    <col min="6156" max="6156" width="28.109375" style="32" customWidth="1"/>
    <col min="6157" max="6157" width="25.44140625" style="32" customWidth="1"/>
    <col min="6158" max="6158" width="35.33203125" style="32" bestFit="1" customWidth="1"/>
    <col min="6159" max="6159" width="30.109375" style="32" customWidth="1"/>
    <col min="6160" max="6160" width="11.44140625" style="32" bestFit="1" customWidth="1"/>
    <col min="6161" max="6161" width="24.88671875" style="32" bestFit="1" customWidth="1"/>
    <col min="6162" max="6162" width="16.44140625" style="32" bestFit="1" customWidth="1"/>
    <col min="6163" max="6163" width="24.5546875" style="32" bestFit="1" customWidth="1"/>
    <col min="6164" max="6164" width="17.44140625" style="32" bestFit="1" customWidth="1"/>
    <col min="6165" max="6165" width="21.6640625" style="32" bestFit="1" customWidth="1"/>
    <col min="6166" max="6400" width="9.109375" style="32"/>
    <col min="6401" max="6401" width="29.6640625" style="32" customWidth="1"/>
    <col min="6402" max="6402" width="25.44140625" style="32" bestFit="1" customWidth="1"/>
    <col min="6403" max="6403" width="41.88671875" style="32" customWidth="1"/>
    <col min="6404" max="6404" width="14" style="32" bestFit="1" customWidth="1"/>
    <col min="6405" max="6405" width="25.33203125" style="32" bestFit="1" customWidth="1"/>
    <col min="6406" max="6406" width="27.44140625" style="32" bestFit="1" customWidth="1"/>
    <col min="6407" max="6409" width="22.109375" style="32" bestFit="1" customWidth="1"/>
    <col min="6410" max="6410" width="27.6640625" style="32" bestFit="1" customWidth="1"/>
    <col min="6411" max="6411" width="24.44140625" style="32" customWidth="1"/>
    <col min="6412" max="6412" width="28.109375" style="32" customWidth="1"/>
    <col min="6413" max="6413" width="25.44140625" style="32" customWidth="1"/>
    <col min="6414" max="6414" width="35.33203125" style="32" bestFit="1" customWidth="1"/>
    <col min="6415" max="6415" width="30.109375" style="32" customWidth="1"/>
    <col min="6416" max="6416" width="11.44140625" style="32" bestFit="1" customWidth="1"/>
    <col min="6417" max="6417" width="24.88671875" style="32" bestFit="1" customWidth="1"/>
    <col min="6418" max="6418" width="16.44140625" style="32" bestFit="1" customWidth="1"/>
    <col min="6419" max="6419" width="24.5546875" style="32" bestFit="1" customWidth="1"/>
    <col min="6420" max="6420" width="17.44140625" style="32" bestFit="1" customWidth="1"/>
    <col min="6421" max="6421" width="21.6640625" style="32" bestFit="1" customWidth="1"/>
    <col min="6422" max="6656" width="9.109375" style="32"/>
    <col min="6657" max="6657" width="29.6640625" style="32" customWidth="1"/>
    <col min="6658" max="6658" width="25.44140625" style="32" bestFit="1" customWidth="1"/>
    <col min="6659" max="6659" width="41.88671875" style="32" customWidth="1"/>
    <col min="6660" max="6660" width="14" style="32" bestFit="1" customWidth="1"/>
    <col min="6661" max="6661" width="25.33203125" style="32" bestFit="1" customWidth="1"/>
    <col min="6662" max="6662" width="27.44140625" style="32" bestFit="1" customWidth="1"/>
    <col min="6663" max="6665" width="22.109375" style="32" bestFit="1" customWidth="1"/>
    <col min="6666" max="6666" width="27.6640625" style="32" bestFit="1" customWidth="1"/>
    <col min="6667" max="6667" width="24.44140625" style="32" customWidth="1"/>
    <col min="6668" max="6668" width="28.109375" style="32" customWidth="1"/>
    <col min="6669" max="6669" width="25.44140625" style="32" customWidth="1"/>
    <col min="6670" max="6670" width="35.33203125" style="32" bestFit="1" customWidth="1"/>
    <col min="6671" max="6671" width="30.109375" style="32" customWidth="1"/>
    <col min="6672" max="6672" width="11.44140625" style="32" bestFit="1" customWidth="1"/>
    <col min="6673" max="6673" width="24.88671875" style="32" bestFit="1" customWidth="1"/>
    <col min="6674" max="6674" width="16.44140625" style="32" bestFit="1" customWidth="1"/>
    <col min="6675" max="6675" width="24.5546875" style="32" bestFit="1" customWidth="1"/>
    <col min="6676" max="6676" width="17.44140625" style="32" bestFit="1" customWidth="1"/>
    <col min="6677" max="6677" width="21.6640625" style="32" bestFit="1" customWidth="1"/>
    <col min="6678" max="6912" width="9.109375" style="32"/>
    <col min="6913" max="6913" width="29.6640625" style="32" customWidth="1"/>
    <col min="6914" max="6914" width="25.44140625" style="32" bestFit="1" customWidth="1"/>
    <col min="6915" max="6915" width="41.88671875" style="32" customWidth="1"/>
    <col min="6916" max="6916" width="14" style="32" bestFit="1" customWidth="1"/>
    <col min="6917" max="6917" width="25.33203125" style="32" bestFit="1" customWidth="1"/>
    <col min="6918" max="6918" width="27.44140625" style="32" bestFit="1" customWidth="1"/>
    <col min="6919" max="6921" width="22.109375" style="32" bestFit="1" customWidth="1"/>
    <col min="6922" max="6922" width="27.6640625" style="32" bestFit="1" customWidth="1"/>
    <col min="6923" max="6923" width="24.44140625" style="32" customWidth="1"/>
    <col min="6924" max="6924" width="28.109375" style="32" customWidth="1"/>
    <col min="6925" max="6925" width="25.44140625" style="32" customWidth="1"/>
    <col min="6926" max="6926" width="35.33203125" style="32" bestFit="1" customWidth="1"/>
    <col min="6927" max="6927" width="30.109375" style="32" customWidth="1"/>
    <col min="6928" max="6928" width="11.44140625" style="32" bestFit="1" customWidth="1"/>
    <col min="6929" max="6929" width="24.88671875" style="32" bestFit="1" customWidth="1"/>
    <col min="6930" max="6930" width="16.44140625" style="32" bestFit="1" customWidth="1"/>
    <col min="6931" max="6931" width="24.5546875" style="32" bestFit="1" customWidth="1"/>
    <col min="6932" max="6932" width="17.44140625" style="32" bestFit="1" customWidth="1"/>
    <col min="6933" max="6933" width="21.6640625" style="32" bestFit="1" customWidth="1"/>
    <col min="6934" max="7168" width="9.109375" style="32"/>
    <col min="7169" max="7169" width="29.6640625" style="32" customWidth="1"/>
    <col min="7170" max="7170" width="25.44140625" style="32" bestFit="1" customWidth="1"/>
    <col min="7171" max="7171" width="41.88671875" style="32" customWidth="1"/>
    <col min="7172" max="7172" width="14" style="32" bestFit="1" customWidth="1"/>
    <col min="7173" max="7173" width="25.33203125" style="32" bestFit="1" customWidth="1"/>
    <col min="7174" max="7174" width="27.44140625" style="32" bestFit="1" customWidth="1"/>
    <col min="7175" max="7177" width="22.109375" style="32" bestFit="1" customWidth="1"/>
    <col min="7178" max="7178" width="27.6640625" style="32" bestFit="1" customWidth="1"/>
    <col min="7179" max="7179" width="24.44140625" style="32" customWidth="1"/>
    <col min="7180" max="7180" width="28.109375" style="32" customWidth="1"/>
    <col min="7181" max="7181" width="25.44140625" style="32" customWidth="1"/>
    <col min="7182" max="7182" width="35.33203125" style="32" bestFit="1" customWidth="1"/>
    <col min="7183" max="7183" width="30.109375" style="32" customWidth="1"/>
    <col min="7184" max="7184" width="11.44140625" style="32" bestFit="1" customWidth="1"/>
    <col min="7185" max="7185" width="24.88671875" style="32" bestFit="1" customWidth="1"/>
    <col min="7186" max="7186" width="16.44140625" style="32" bestFit="1" customWidth="1"/>
    <col min="7187" max="7187" width="24.5546875" style="32" bestFit="1" customWidth="1"/>
    <col min="7188" max="7188" width="17.44140625" style="32" bestFit="1" customWidth="1"/>
    <col min="7189" max="7189" width="21.6640625" style="32" bestFit="1" customWidth="1"/>
    <col min="7190" max="7424" width="9.109375" style="32"/>
    <col min="7425" max="7425" width="29.6640625" style="32" customWidth="1"/>
    <col min="7426" max="7426" width="25.44140625" style="32" bestFit="1" customWidth="1"/>
    <col min="7427" max="7427" width="41.88671875" style="32" customWidth="1"/>
    <col min="7428" max="7428" width="14" style="32" bestFit="1" customWidth="1"/>
    <col min="7429" max="7429" width="25.33203125" style="32" bestFit="1" customWidth="1"/>
    <col min="7430" max="7430" width="27.44140625" style="32" bestFit="1" customWidth="1"/>
    <col min="7431" max="7433" width="22.109375" style="32" bestFit="1" customWidth="1"/>
    <col min="7434" max="7434" width="27.6640625" style="32" bestFit="1" customWidth="1"/>
    <col min="7435" max="7435" width="24.44140625" style="32" customWidth="1"/>
    <col min="7436" max="7436" width="28.109375" style="32" customWidth="1"/>
    <col min="7437" max="7437" width="25.44140625" style="32" customWidth="1"/>
    <col min="7438" max="7438" width="35.33203125" style="32" bestFit="1" customWidth="1"/>
    <col min="7439" max="7439" width="30.109375" style="32" customWidth="1"/>
    <col min="7440" max="7440" width="11.44140625" style="32" bestFit="1" customWidth="1"/>
    <col min="7441" max="7441" width="24.88671875" style="32" bestFit="1" customWidth="1"/>
    <col min="7442" max="7442" width="16.44140625" style="32" bestFit="1" customWidth="1"/>
    <col min="7443" max="7443" width="24.5546875" style="32" bestFit="1" customWidth="1"/>
    <col min="7444" max="7444" width="17.44140625" style="32" bestFit="1" customWidth="1"/>
    <col min="7445" max="7445" width="21.6640625" style="32" bestFit="1" customWidth="1"/>
    <col min="7446" max="7680" width="9.109375" style="32"/>
    <col min="7681" max="7681" width="29.6640625" style="32" customWidth="1"/>
    <col min="7682" max="7682" width="25.44140625" style="32" bestFit="1" customWidth="1"/>
    <col min="7683" max="7683" width="41.88671875" style="32" customWidth="1"/>
    <col min="7684" max="7684" width="14" style="32" bestFit="1" customWidth="1"/>
    <col min="7685" max="7685" width="25.33203125" style="32" bestFit="1" customWidth="1"/>
    <col min="7686" max="7686" width="27.44140625" style="32" bestFit="1" customWidth="1"/>
    <col min="7687" max="7689" width="22.109375" style="32" bestFit="1" customWidth="1"/>
    <col min="7690" max="7690" width="27.6640625" style="32" bestFit="1" customWidth="1"/>
    <col min="7691" max="7691" width="24.44140625" style="32" customWidth="1"/>
    <col min="7692" max="7692" width="28.109375" style="32" customWidth="1"/>
    <col min="7693" max="7693" width="25.44140625" style="32" customWidth="1"/>
    <col min="7694" max="7694" width="35.33203125" style="32" bestFit="1" customWidth="1"/>
    <col min="7695" max="7695" width="30.109375" style="32" customWidth="1"/>
    <col min="7696" max="7696" width="11.44140625" style="32" bestFit="1" customWidth="1"/>
    <col min="7697" max="7697" width="24.88671875" style="32" bestFit="1" customWidth="1"/>
    <col min="7698" max="7698" width="16.44140625" style="32" bestFit="1" customWidth="1"/>
    <col min="7699" max="7699" width="24.5546875" style="32" bestFit="1" customWidth="1"/>
    <col min="7700" max="7700" width="17.44140625" style="32" bestFit="1" customWidth="1"/>
    <col min="7701" max="7701" width="21.6640625" style="32" bestFit="1" customWidth="1"/>
    <col min="7702" max="7936" width="9.109375" style="32"/>
    <col min="7937" max="7937" width="29.6640625" style="32" customWidth="1"/>
    <col min="7938" max="7938" width="25.44140625" style="32" bestFit="1" customWidth="1"/>
    <col min="7939" max="7939" width="41.88671875" style="32" customWidth="1"/>
    <col min="7940" max="7940" width="14" style="32" bestFit="1" customWidth="1"/>
    <col min="7941" max="7941" width="25.33203125" style="32" bestFit="1" customWidth="1"/>
    <col min="7942" max="7942" width="27.44140625" style="32" bestFit="1" customWidth="1"/>
    <col min="7943" max="7945" width="22.109375" style="32" bestFit="1" customWidth="1"/>
    <col min="7946" max="7946" width="27.6640625" style="32" bestFit="1" customWidth="1"/>
    <col min="7947" max="7947" width="24.44140625" style="32" customWidth="1"/>
    <col min="7948" max="7948" width="28.109375" style="32" customWidth="1"/>
    <col min="7949" max="7949" width="25.44140625" style="32" customWidth="1"/>
    <col min="7950" max="7950" width="35.33203125" style="32" bestFit="1" customWidth="1"/>
    <col min="7951" max="7951" width="30.109375" style="32" customWidth="1"/>
    <col min="7952" max="7952" width="11.44140625" style="32" bestFit="1" customWidth="1"/>
    <col min="7953" max="7953" width="24.88671875" style="32" bestFit="1" customWidth="1"/>
    <col min="7954" max="7954" width="16.44140625" style="32" bestFit="1" customWidth="1"/>
    <col min="7955" max="7955" width="24.5546875" style="32" bestFit="1" customWidth="1"/>
    <col min="7956" max="7956" width="17.44140625" style="32" bestFit="1" customWidth="1"/>
    <col min="7957" max="7957" width="21.6640625" style="32" bestFit="1" customWidth="1"/>
    <col min="7958" max="8192" width="9.109375" style="32"/>
    <col min="8193" max="8193" width="29.6640625" style="32" customWidth="1"/>
    <col min="8194" max="8194" width="25.44140625" style="32" bestFit="1" customWidth="1"/>
    <col min="8195" max="8195" width="41.88671875" style="32" customWidth="1"/>
    <col min="8196" max="8196" width="14" style="32" bestFit="1" customWidth="1"/>
    <col min="8197" max="8197" width="25.33203125" style="32" bestFit="1" customWidth="1"/>
    <col min="8198" max="8198" width="27.44140625" style="32" bestFit="1" customWidth="1"/>
    <col min="8199" max="8201" width="22.109375" style="32" bestFit="1" customWidth="1"/>
    <col min="8202" max="8202" width="27.6640625" style="32" bestFit="1" customWidth="1"/>
    <col min="8203" max="8203" width="24.44140625" style="32" customWidth="1"/>
    <col min="8204" max="8204" width="28.109375" style="32" customWidth="1"/>
    <col min="8205" max="8205" width="25.44140625" style="32" customWidth="1"/>
    <col min="8206" max="8206" width="35.33203125" style="32" bestFit="1" customWidth="1"/>
    <col min="8207" max="8207" width="30.109375" style="32" customWidth="1"/>
    <col min="8208" max="8208" width="11.44140625" style="32" bestFit="1" customWidth="1"/>
    <col min="8209" max="8209" width="24.88671875" style="32" bestFit="1" customWidth="1"/>
    <col min="8210" max="8210" width="16.44140625" style="32" bestFit="1" customWidth="1"/>
    <col min="8211" max="8211" width="24.5546875" style="32" bestFit="1" customWidth="1"/>
    <col min="8212" max="8212" width="17.44140625" style="32" bestFit="1" customWidth="1"/>
    <col min="8213" max="8213" width="21.6640625" style="32" bestFit="1" customWidth="1"/>
    <col min="8214" max="8448" width="9.109375" style="32"/>
    <col min="8449" max="8449" width="29.6640625" style="32" customWidth="1"/>
    <col min="8450" max="8450" width="25.44140625" style="32" bestFit="1" customWidth="1"/>
    <col min="8451" max="8451" width="41.88671875" style="32" customWidth="1"/>
    <col min="8452" max="8452" width="14" style="32" bestFit="1" customWidth="1"/>
    <col min="8453" max="8453" width="25.33203125" style="32" bestFit="1" customWidth="1"/>
    <col min="8454" max="8454" width="27.44140625" style="32" bestFit="1" customWidth="1"/>
    <col min="8455" max="8457" width="22.109375" style="32" bestFit="1" customWidth="1"/>
    <col min="8458" max="8458" width="27.6640625" style="32" bestFit="1" customWidth="1"/>
    <col min="8459" max="8459" width="24.44140625" style="32" customWidth="1"/>
    <col min="8460" max="8460" width="28.109375" style="32" customWidth="1"/>
    <col min="8461" max="8461" width="25.44140625" style="32" customWidth="1"/>
    <col min="8462" max="8462" width="35.33203125" style="32" bestFit="1" customWidth="1"/>
    <col min="8463" max="8463" width="30.109375" style="32" customWidth="1"/>
    <col min="8464" max="8464" width="11.44140625" style="32" bestFit="1" customWidth="1"/>
    <col min="8465" max="8465" width="24.88671875" style="32" bestFit="1" customWidth="1"/>
    <col min="8466" max="8466" width="16.44140625" style="32" bestFit="1" customWidth="1"/>
    <col min="8467" max="8467" width="24.5546875" style="32" bestFit="1" customWidth="1"/>
    <col min="8468" max="8468" width="17.44140625" style="32" bestFit="1" customWidth="1"/>
    <col min="8469" max="8469" width="21.6640625" style="32" bestFit="1" customWidth="1"/>
    <col min="8470" max="8704" width="9.109375" style="32"/>
    <col min="8705" max="8705" width="29.6640625" style="32" customWidth="1"/>
    <col min="8706" max="8706" width="25.44140625" style="32" bestFit="1" customWidth="1"/>
    <col min="8707" max="8707" width="41.88671875" style="32" customWidth="1"/>
    <col min="8708" max="8708" width="14" style="32" bestFit="1" customWidth="1"/>
    <col min="8709" max="8709" width="25.33203125" style="32" bestFit="1" customWidth="1"/>
    <col min="8710" max="8710" width="27.44140625" style="32" bestFit="1" customWidth="1"/>
    <col min="8711" max="8713" width="22.109375" style="32" bestFit="1" customWidth="1"/>
    <col min="8714" max="8714" width="27.6640625" style="32" bestFit="1" customWidth="1"/>
    <col min="8715" max="8715" width="24.44140625" style="32" customWidth="1"/>
    <col min="8716" max="8716" width="28.109375" style="32" customWidth="1"/>
    <col min="8717" max="8717" width="25.44140625" style="32" customWidth="1"/>
    <col min="8718" max="8718" width="35.33203125" style="32" bestFit="1" customWidth="1"/>
    <col min="8719" max="8719" width="30.109375" style="32" customWidth="1"/>
    <col min="8720" max="8720" width="11.44140625" style="32" bestFit="1" customWidth="1"/>
    <col min="8721" max="8721" width="24.88671875" style="32" bestFit="1" customWidth="1"/>
    <col min="8722" max="8722" width="16.44140625" style="32" bestFit="1" customWidth="1"/>
    <col min="8723" max="8723" width="24.5546875" style="32" bestFit="1" customWidth="1"/>
    <col min="8724" max="8724" width="17.44140625" style="32" bestFit="1" customWidth="1"/>
    <col min="8725" max="8725" width="21.6640625" style="32" bestFit="1" customWidth="1"/>
    <col min="8726" max="8960" width="9.109375" style="32"/>
    <col min="8961" max="8961" width="29.6640625" style="32" customWidth="1"/>
    <col min="8962" max="8962" width="25.44140625" style="32" bestFit="1" customWidth="1"/>
    <col min="8963" max="8963" width="41.88671875" style="32" customWidth="1"/>
    <col min="8964" max="8964" width="14" style="32" bestFit="1" customWidth="1"/>
    <col min="8965" max="8965" width="25.33203125" style="32" bestFit="1" customWidth="1"/>
    <col min="8966" max="8966" width="27.44140625" style="32" bestFit="1" customWidth="1"/>
    <col min="8967" max="8969" width="22.109375" style="32" bestFit="1" customWidth="1"/>
    <col min="8970" max="8970" width="27.6640625" style="32" bestFit="1" customWidth="1"/>
    <col min="8971" max="8971" width="24.44140625" style="32" customWidth="1"/>
    <col min="8972" max="8972" width="28.109375" style="32" customWidth="1"/>
    <col min="8973" max="8973" width="25.44140625" style="32" customWidth="1"/>
    <col min="8974" max="8974" width="35.33203125" style="32" bestFit="1" customWidth="1"/>
    <col min="8975" max="8975" width="30.109375" style="32" customWidth="1"/>
    <col min="8976" max="8976" width="11.44140625" style="32" bestFit="1" customWidth="1"/>
    <col min="8977" max="8977" width="24.88671875" style="32" bestFit="1" customWidth="1"/>
    <col min="8978" max="8978" width="16.44140625" style="32" bestFit="1" customWidth="1"/>
    <col min="8979" max="8979" width="24.5546875" style="32" bestFit="1" customWidth="1"/>
    <col min="8980" max="8980" width="17.44140625" style="32" bestFit="1" customWidth="1"/>
    <col min="8981" max="8981" width="21.6640625" style="32" bestFit="1" customWidth="1"/>
    <col min="8982" max="9216" width="9.109375" style="32"/>
    <col min="9217" max="9217" width="29.6640625" style="32" customWidth="1"/>
    <col min="9218" max="9218" width="25.44140625" style="32" bestFit="1" customWidth="1"/>
    <col min="9219" max="9219" width="41.88671875" style="32" customWidth="1"/>
    <col min="9220" max="9220" width="14" style="32" bestFit="1" customWidth="1"/>
    <col min="9221" max="9221" width="25.33203125" style="32" bestFit="1" customWidth="1"/>
    <col min="9222" max="9222" width="27.44140625" style="32" bestFit="1" customWidth="1"/>
    <col min="9223" max="9225" width="22.109375" style="32" bestFit="1" customWidth="1"/>
    <col min="9226" max="9226" width="27.6640625" style="32" bestFit="1" customWidth="1"/>
    <col min="9227" max="9227" width="24.44140625" style="32" customWidth="1"/>
    <col min="9228" max="9228" width="28.109375" style="32" customWidth="1"/>
    <col min="9229" max="9229" width="25.44140625" style="32" customWidth="1"/>
    <col min="9230" max="9230" width="35.33203125" style="32" bestFit="1" customWidth="1"/>
    <col min="9231" max="9231" width="30.109375" style="32" customWidth="1"/>
    <col min="9232" max="9232" width="11.44140625" style="32" bestFit="1" customWidth="1"/>
    <col min="9233" max="9233" width="24.88671875" style="32" bestFit="1" customWidth="1"/>
    <col min="9234" max="9234" width="16.44140625" style="32" bestFit="1" customWidth="1"/>
    <col min="9235" max="9235" width="24.5546875" style="32" bestFit="1" customWidth="1"/>
    <col min="9236" max="9236" width="17.44140625" style="32" bestFit="1" customWidth="1"/>
    <col min="9237" max="9237" width="21.6640625" style="32" bestFit="1" customWidth="1"/>
    <col min="9238" max="9472" width="9.109375" style="32"/>
    <col min="9473" max="9473" width="29.6640625" style="32" customWidth="1"/>
    <col min="9474" max="9474" width="25.44140625" style="32" bestFit="1" customWidth="1"/>
    <col min="9475" max="9475" width="41.88671875" style="32" customWidth="1"/>
    <col min="9476" max="9476" width="14" style="32" bestFit="1" customWidth="1"/>
    <col min="9477" max="9477" width="25.33203125" style="32" bestFit="1" customWidth="1"/>
    <col min="9478" max="9478" width="27.44140625" style="32" bestFit="1" customWidth="1"/>
    <col min="9479" max="9481" width="22.109375" style="32" bestFit="1" customWidth="1"/>
    <col min="9482" max="9482" width="27.6640625" style="32" bestFit="1" customWidth="1"/>
    <col min="9483" max="9483" width="24.44140625" style="32" customWidth="1"/>
    <col min="9484" max="9484" width="28.109375" style="32" customWidth="1"/>
    <col min="9485" max="9485" width="25.44140625" style="32" customWidth="1"/>
    <col min="9486" max="9486" width="35.33203125" style="32" bestFit="1" customWidth="1"/>
    <col min="9487" max="9487" width="30.109375" style="32" customWidth="1"/>
    <col min="9488" max="9488" width="11.44140625" style="32" bestFit="1" customWidth="1"/>
    <col min="9489" max="9489" width="24.88671875" style="32" bestFit="1" customWidth="1"/>
    <col min="9490" max="9490" width="16.44140625" style="32" bestFit="1" customWidth="1"/>
    <col min="9491" max="9491" width="24.5546875" style="32" bestFit="1" customWidth="1"/>
    <col min="9492" max="9492" width="17.44140625" style="32" bestFit="1" customWidth="1"/>
    <col min="9493" max="9493" width="21.6640625" style="32" bestFit="1" customWidth="1"/>
    <col min="9494" max="9728" width="9.109375" style="32"/>
    <col min="9729" max="9729" width="29.6640625" style="32" customWidth="1"/>
    <col min="9730" max="9730" width="25.44140625" style="32" bestFit="1" customWidth="1"/>
    <col min="9731" max="9731" width="41.88671875" style="32" customWidth="1"/>
    <col min="9732" max="9732" width="14" style="32" bestFit="1" customWidth="1"/>
    <col min="9733" max="9733" width="25.33203125" style="32" bestFit="1" customWidth="1"/>
    <col min="9734" max="9734" width="27.44140625" style="32" bestFit="1" customWidth="1"/>
    <col min="9735" max="9737" width="22.109375" style="32" bestFit="1" customWidth="1"/>
    <col min="9738" max="9738" width="27.6640625" style="32" bestFit="1" customWidth="1"/>
    <col min="9739" max="9739" width="24.44140625" style="32" customWidth="1"/>
    <col min="9740" max="9740" width="28.109375" style="32" customWidth="1"/>
    <col min="9741" max="9741" width="25.44140625" style="32" customWidth="1"/>
    <col min="9742" max="9742" width="35.33203125" style="32" bestFit="1" customWidth="1"/>
    <col min="9743" max="9743" width="30.109375" style="32" customWidth="1"/>
    <col min="9744" max="9744" width="11.44140625" style="32" bestFit="1" customWidth="1"/>
    <col min="9745" max="9745" width="24.88671875" style="32" bestFit="1" customWidth="1"/>
    <col min="9746" max="9746" width="16.44140625" style="32" bestFit="1" customWidth="1"/>
    <col min="9747" max="9747" width="24.5546875" style="32" bestFit="1" customWidth="1"/>
    <col min="9748" max="9748" width="17.44140625" style="32" bestFit="1" customWidth="1"/>
    <col min="9749" max="9749" width="21.6640625" style="32" bestFit="1" customWidth="1"/>
    <col min="9750" max="9984" width="9.109375" style="32"/>
    <col min="9985" max="9985" width="29.6640625" style="32" customWidth="1"/>
    <col min="9986" max="9986" width="25.44140625" style="32" bestFit="1" customWidth="1"/>
    <col min="9987" max="9987" width="41.88671875" style="32" customWidth="1"/>
    <col min="9988" max="9988" width="14" style="32" bestFit="1" customWidth="1"/>
    <col min="9989" max="9989" width="25.33203125" style="32" bestFit="1" customWidth="1"/>
    <col min="9990" max="9990" width="27.44140625" style="32" bestFit="1" customWidth="1"/>
    <col min="9991" max="9993" width="22.109375" style="32" bestFit="1" customWidth="1"/>
    <col min="9994" max="9994" width="27.6640625" style="32" bestFit="1" customWidth="1"/>
    <col min="9995" max="9995" width="24.44140625" style="32" customWidth="1"/>
    <col min="9996" max="9996" width="28.109375" style="32" customWidth="1"/>
    <col min="9997" max="9997" width="25.44140625" style="32" customWidth="1"/>
    <col min="9998" max="9998" width="35.33203125" style="32" bestFit="1" customWidth="1"/>
    <col min="9999" max="9999" width="30.109375" style="32" customWidth="1"/>
    <col min="10000" max="10000" width="11.44140625" style="32" bestFit="1" customWidth="1"/>
    <col min="10001" max="10001" width="24.88671875" style="32" bestFit="1" customWidth="1"/>
    <col min="10002" max="10002" width="16.44140625" style="32" bestFit="1" customWidth="1"/>
    <col min="10003" max="10003" width="24.5546875" style="32" bestFit="1" customWidth="1"/>
    <col min="10004" max="10004" width="17.44140625" style="32" bestFit="1" customWidth="1"/>
    <col min="10005" max="10005" width="21.6640625" style="32" bestFit="1" customWidth="1"/>
    <col min="10006" max="10240" width="9.109375" style="32"/>
    <col min="10241" max="10241" width="29.6640625" style="32" customWidth="1"/>
    <col min="10242" max="10242" width="25.44140625" style="32" bestFit="1" customWidth="1"/>
    <col min="10243" max="10243" width="41.88671875" style="32" customWidth="1"/>
    <col min="10244" max="10244" width="14" style="32" bestFit="1" customWidth="1"/>
    <col min="10245" max="10245" width="25.33203125" style="32" bestFit="1" customWidth="1"/>
    <col min="10246" max="10246" width="27.44140625" style="32" bestFit="1" customWidth="1"/>
    <col min="10247" max="10249" width="22.109375" style="32" bestFit="1" customWidth="1"/>
    <col min="10250" max="10250" width="27.6640625" style="32" bestFit="1" customWidth="1"/>
    <col min="10251" max="10251" width="24.44140625" style="32" customWidth="1"/>
    <col min="10252" max="10252" width="28.109375" style="32" customWidth="1"/>
    <col min="10253" max="10253" width="25.44140625" style="32" customWidth="1"/>
    <col min="10254" max="10254" width="35.33203125" style="32" bestFit="1" customWidth="1"/>
    <col min="10255" max="10255" width="30.109375" style="32" customWidth="1"/>
    <col min="10256" max="10256" width="11.44140625" style="32" bestFit="1" customWidth="1"/>
    <col min="10257" max="10257" width="24.88671875" style="32" bestFit="1" customWidth="1"/>
    <col min="10258" max="10258" width="16.44140625" style="32" bestFit="1" customWidth="1"/>
    <col min="10259" max="10259" width="24.5546875" style="32" bestFit="1" customWidth="1"/>
    <col min="10260" max="10260" width="17.44140625" style="32" bestFit="1" customWidth="1"/>
    <col min="10261" max="10261" width="21.6640625" style="32" bestFit="1" customWidth="1"/>
    <col min="10262" max="10496" width="9.109375" style="32"/>
    <col min="10497" max="10497" width="29.6640625" style="32" customWidth="1"/>
    <col min="10498" max="10498" width="25.44140625" style="32" bestFit="1" customWidth="1"/>
    <col min="10499" max="10499" width="41.88671875" style="32" customWidth="1"/>
    <col min="10500" max="10500" width="14" style="32" bestFit="1" customWidth="1"/>
    <col min="10501" max="10501" width="25.33203125" style="32" bestFit="1" customWidth="1"/>
    <col min="10502" max="10502" width="27.44140625" style="32" bestFit="1" customWidth="1"/>
    <col min="10503" max="10505" width="22.109375" style="32" bestFit="1" customWidth="1"/>
    <col min="10506" max="10506" width="27.6640625" style="32" bestFit="1" customWidth="1"/>
    <col min="10507" max="10507" width="24.44140625" style="32" customWidth="1"/>
    <col min="10508" max="10508" width="28.109375" style="32" customWidth="1"/>
    <col min="10509" max="10509" width="25.44140625" style="32" customWidth="1"/>
    <col min="10510" max="10510" width="35.33203125" style="32" bestFit="1" customWidth="1"/>
    <col min="10511" max="10511" width="30.109375" style="32" customWidth="1"/>
    <col min="10512" max="10512" width="11.44140625" style="32" bestFit="1" customWidth="1"/>
    <col min="10513" max="10513" width="24.88671875" style="32" bestFit="1" customWidth="1"/>
    <col min="10514" max="10514" width="16.44140625" style="32" bestFit="1" customWidth="1"/>
    <col min="10515" max="10515" width="24.5546875" style="32" bestFit="1" customWidth="1"/>
    <col min="10516" max="10516" width="17.44140625" style="32" bestFit="1" customWidth="1"/>
    <col min="10517" max="10517" width="21.6640625" style="32" bestFit="1" customWidth="1"/>
    <col min="10518" max="10752" width="9.109375" style="32"/>
    <col min="10753" max="10753" width="29.6640625" style="32" customWidth="1"/>
    <col min="10754" max="10754" width="25.44140625" style="32" bestFit="1" customWidth="1"/>
    <col min="10755" max="10755" width="41.88671875" style="32" customWidth="1"/>
    <col min="10756" max="10756" width="14" style="32" bestFit="1" customWidth="1"/>
    <col min="10757" max="10757" width="25.33203125" style="32" bestFit="1" customWidth="1"/>
    <col min="10758" max="10758" width="27.44140625" style="32" bestFit="1" customWidth="1"/>
    <col min="10759" max="10761" width="22.109375" style="32" bestFit="1" customWidth="1"/>
    <col min="10762" max="10762" width="27.6640625" style="32" bestFit="1" customWidth="1"/>
    <col min="10763" max="10763" width="24.44140625" style="32" customWidth="1"/>
    <col min="10764" max="10764" width="28.109375" style="32" customWidth="1"/>
    <col min="10765" max="10765" width="25.44140625" style="32" customWidth="1"/>
    <col min="10766" max="10766" width="35.33203125" style="32" bestFit="1" customWidth="1"/>
    <col min="10767" max="10767" width="30.109375" style="32" customWidth="1"/>
    <col min="10768" max="10768" width="11.44140625" style="32" bestFit="1" customWidth="1"/>
    <col min="10769" max="10769" width="24.88671875" style="32" bestFit="1" customWidth="1"/>
    <col min="10770" max="10770" width="16.44140625" style="32" bestFit="1" customWidth="1"/>
    <col min="10771" max="10771" width="24.5546875" style="32" bestFit="1" customWidth="1"/>
    <col min="10772" max="10772" width="17.44140625" style="32" bestFit="1" customWidth="1"/>
    <col min="10773" max="10773" width="21.6640625" style="32" bestFit="1" customWidth="1"/>
    <col min="10774" max="11008" width="9.109375" style="32"/>
    <col min="11009" max="11009" width="29.6640625" style="32" customWidth="1"/>
    <col min="11010" max="11010" width="25.44140625" style="32" bestFit="1" customWidth="1"/>
    <col min="11011" max="11011" width="41.88671875" style="32" customWidth="1"/>
    <col min="11012" max="11012" width="14" style="32" bestFit="1" customWidth="1"/>
    <col min="11013" max="11013" width="25.33203125" style="32" bestFit="1" customWidth="1"/>
    <col min="11014" max="11014" width="27.44140625" style="32" bestFit="1" customWidth="1"/>
    <col min="11015" max="11017" width="22.109375" style="32" bestFit="1" customWidth="1"/>
    <col min="11018" max="11018" width="27.6640625" style="32" bestFit="1" customWidth="1"/>
    <col min="11019" max="11019" width="24.44140625" style="32" customWidth="1"/>
    <col min="11020" max="11020" width="28.109375" style="32" customWidth="1"/>
    <col min="11021" max="11021" width="25.44140625" style="32" customWidth="1"/>
    <col min="11022" max="11022" width="35.33203125" style="32" bestFit="1" customWidth="1"/>
    <col min="11023" max="11023" width="30.109375" style="32" customWidth="1"/>
    <col min="11024" max="11024" width="11.44140625" style="32" bestFit="1" customWidth="1"/>
    <col min="11025" max="11025" width="24.88671875" style="32" bestFit="1" customWidth="1"/>
    <col min="11026" max="11026" width="16.44140625" style="32" bestFit="1" customWidth="1"/>
    <col min="11027" max="11027" width="24.5546875" style="32" bestFit="1" customWidth="1"/>
    <col min="11028" max="11028" width="17.44140625" style="32" bestFit="1" customWidth="1"/>
    <col min="11029" max="11029" width="21.6640625" style="32" bestFit="1" customWidth="1"/>
    <col min="11030" max="11264" width="9.109375" style="32"/>
    <col min="11265" max="11265" width="29.6640625" style="32" customWidth="1"/>
    <col min="11266" max="11266" width="25.44140625" style="32" bestFit="1" customWidth="1"/>
    <col min="11267" max="11267" width="41.88671875" style="32" customWidth="1"/>
    <col min="11268" max="11268" width="14" style="32" bestFit="1" customWidth="1"/>
    <col min="11269" max="11269" width="25.33203125" style="32" bestFit="1" customWidth="1"/>
    <col min="11270" max="11270" width="27.44140625" style="32" bestFit="1" customWidth="1"/>
    <col min="11271" max="11273" width="22.109375" style="32" bestFit="1" customWidth="1"/>
    <col min="11274" max="11274" width="27.6640625" style="32" bestFit="1" customWidth="1"/>
    <col min="11275" max="11275" width="24.44140625" style="32" customWidth="1"/>
    <col min="11276" max="11276" width="28.109375" style="32" customWidth="1"/>
    <col min="11277" max="11277" width="25.44140625" style="32" customWidth="1"/>
    <col min="11278" max="11278" width="35.33203125" style="32" bestFit="1" customWidth="1"/>
    <col min="11279" max="11279" width="30.109375" style="32" customWidth="1"/>
    <col min="11280" max="11280" width="11.44140625" style="32" bestFit="1" customWidth="1"/>
    <col min="11281" max="11281" width="24.88671875" style="32" bestFit="1" customWidth="1"/>
    <col min="11282" max="11282" width="16.44140625" style="32" bestFit="1" customWidth="1"/>
    <col min="11283" max="11283" width="24.5546875" style="32" bestFit="1" customWidth="1"/>
    <col min="11284" max="11284" width="17.44140625" style="32" bestFit="1" customWidth="1"/>
    <col min="11285" max="11285" width="21.6640625" style="32" bestFit="1" customWidth="1"/>
    <col min="11286" max="11520" width="9.109375" style="32"/>
    <col min="11521" max="11521" width="29.6640625" style="32" customWidth="1"/>
    <col min="11522" max="11522" width="25.44140625" style="32" bestFit="1" customWidth="1"/>
    <col min="11523" max="11523" width="41.88671875" style="32" customWidth="1"/>
    <col min="11524" max="11524" width="14" style="32" bestFit="1" customWidth="1"/>
    <col min="11525" max="11525" width="25.33203125" style="32" bestFit="1" customWidth="1"/>
    <col min="11526" max="11526" width="27.44140625" style="32" bestFit="1" customWidth="1"/>
    <col min="11527" max="11529" width="22.109375" style="32" bestFit="1" customWidth="1"/>
    <col min="11530" max="11530" width="27.6640625" style="32" bestFit="1" customWidth="1"/>
    <col min="11531" max="11531" width="24.44140625" style="32" customWidth="1"/>
    <col min="11532" max="11532" width="28.109375" style="32" customWidth="1"/>
    <col min="11533" max="11533" width="25.44140625" style="32" customWidth="1"/>
    <col min="11534" max="11534" width="35.33203125" style="32" bestFit="1" customWidth="1"/>
    <col min="11535" max="11535" width="30.109375" style="32" customWidth="1"/>
    <col min="11536" max="11536" width="11.44140625" style="32" bestFit="1" customWidth="1"/>
    <col min="11537" max="11537" width="24.88671875" style="32" bestFit="1" customWidth="1"/>
    <col min="11538" max="11538" width="16.44140625" style="32" bestFit="1" customWidth="1"/>
    <col min="11539" max="11539" width="24.5546875" style="32" bestFit="1" customWidth="1"/>
    <col min="11540" max="11540" width="17.44140625" style="32" bestFit="1" customWidth="1"/>
    <col min="11541" max="11541" width="21.6640625" style="32" bestFit="1" customWidth="1"/>
    <col min="11542" max="11776" width="9.109375" style="32"/>
    <col min="11777" max="11777" width="29.6640625" style="32" customWidth="1"/>
    <col min="11778" max="11778" width="25.44140625" style="32" bestFit="1" customWidth="1"/>
    <col min="11779" max="11779" width="41.88671875" style="32" customWidth="1"/>
    <col min="11780" max="11780" width="14" style="32" bestFit="1" customWidth="1"/>
    <col min="11781" max="11781" width="25.33203125" style="32" bestFit="1" customWidth="1"/>
    <col min="11782" max="11782" width="27.44140625" style="32" bestFit="1" customWidth="1"/>
    <col min="11783" max="11785" width="22.109375" style="32" bestFit="1" customWidth="1"/>
    <col min="11786" max="11786" width="27.6640625" style="32" bestFit="1" customWidth="1"/>
    <col min="11787" max="11787" width="24.44140625" style="32" customWidth="1"/>
    <col min="11788" max="11788" width="28.109375" style="32" customWidth="1"/>
    <col min="11789" max="11789" width="25.44140625" style="32" customWidth="1"/>
    <col min="11790" max="11790" width="35.33203125" style="32" bestFit="1" customWidth="1"/>
    <col min="11791" max="11791" width="30.109375" style="32" customWidth="1"/>
    <col min="11792" max="11792" width="11.44140625" style="32" bestFit="1" customWidth="1"/>
    <col min="11793" max="11793" width="24.88671875" style="32" bestFit="1" customWidth="1"/>
    <col min="11794" max="11794" width="16.44140625" style="32" bestFit="1" customWidth="1"/>
    <col min="11795" max="11795" width="24.5546875" style="32" bestFit="1" customWidth="1"/>
    <col min="11796" max="11796" width="17.44140625" style="32" bestFit="1" customWidth="1"/>
    <col min="11797" max="11797" width="21.6640625" style="32" bestFit="1" customWidth="1"/>
    <col min="11798" max="12032" width="9.109375" style="32"/>
    <col min="12033" max="12033" width="29.6640625" style="32" customWidth="1"/>
    <col min="12034" max="12034" width="25.44140625" style="32" bestFit="1" customWidth="1"/>
    <col min="12035" max="12035" width="41.88671875" style="32" customWidth="1"/>
    <col min="12036" max="12036" width="14" style="32" bestFit="1" customWidth="1"/>
    <col min="12037" max="12037" width="25.33203125" style="32" bestFit="1" customWidth="1"/>
    <col min="12038" max="12038" width="27.44140625" style="32" bestFit="1" customWidth="1"/>
    <col min="12039" max="12041" width="22.109375" style="32" bestFit="1" customWidth="1"/>
    <col min="12042" max="12042" width="27.6640625" style="32" bestFit="1" customWidth="1"/>
    <col min="12043" max="12043" width="24.44140625" style="32" customWidth="1"/>
    <col min="12044" max="12044" width="28.109375" style="32" customWidth="1"/>
    <col min="12045" max="12045" width="25.44140625" style="32" customWidth="1"/>
    <col min="12046" max="12046" width="35.33203125" style="32" bestFit="1" customWidth="1"/>
    <col min="12047" max="12047" width="30.109375" style="32" customWidth="1"/>
    <col min="12048" max="12048" width="11.44140625" style="32" bestFit="1" customWidth="1"/>
    <col min="12049" max="12049" width="24.88671875" style="32" bestFit="1" customWidth="1"/>
    <col min="12050" max="12050" width="16.44140625" style="32" bestFit="1" customWidth="1"/>
    <col min="12051" max="12051" width="24.5546875" style="32" bestFit="1" customWidth="1"/>
    <col min="12052" max="12052" width="17.44140625" style="32" bestFit="1" customWidth="1"/>
    <col min="12053" max="12053" width="21.6640625" style="32" bestFit="1" customWidth="1"/>
    <col min="12054" max="12288" width="9.109375" style="32"/>
    <col min="12289" max="12289" width="29.6640625" style="32" customWidth="1"/>
    <col min="12290" max="12290" width="25.44140625" style="32" bestFit="1" customWidth="1"/>
    <col min="12291" max="12291" width="41.88671875" style="32" customWidth="1"/>
    <col min="12292" max="12292" width="14" style="32" bestFit="1" customWidth="1"/>
    <col min="12293" max="12293" width="25.33203125" style="32" bestFit="1" customWidth="1"/>
    <col min="12294" max="12294" width="27.44140625" style="32" bestFit="1" customWidth="1"/>
    <col min="12295" max="12297" width="22.109375" style="32" bestFit="1" customWidth="1"/>
    <col min="12298" max="12298" width="27.6640625" style="32" bestFit="1" customWidth="1"/>
    <col min="12299" max="12299" width="24.44140625" style="32" customWidth="1"/>
    <col min="12300" max="12300" width="28.109375" style="32" customWidth="1"/>
    <col min="12301" max="12301" width="25.44140625" style="32" customWidth="1"/>
    <col min="12302" max="12302" width="35.33203125" style="32" bestFit="1" customWidth="1"/>
    <col min="12303" max="12303" width="30.109375" style="32" customWidth="1"/>
    <col min="12304" max="12304" width="11.44140625" style="32" bestFit="1" customWidth="1"/>
    <col min="12305" max="12305" width="24.88671875" style="32" bestFit="1" customWidth="1"/>
    <col min="12306" max="12306" width="16.44140625" style="32" bestFit="1" customWidth="1"/>
    <col min="12307" max="12307" width="24.5546875" style="32" bestFit="1" customWidth="1"/>
    <col min="12308" max="12308" width="17.44140625" style="32" bestFit="1" customWidth="1"/>
    <col min="12309" max="12309" width="21.6640625" style="32" bestFit="1" customWidth="1"/>
    <col min="12310" max="12544" width="9.109375" style="32"/>
    <col min="12545" max="12545" width="29.6640625" style="32" customWidth="1"/>
    <col min="12546" max="12546" width="25.44140625" style="32" bestFit="1" customWidth="1"/>
    <col min="12547" max="12547" width="41.88671875" style="32" customWidth="1"/>
    <col min="12548" max="12548" width="14" style="32" bestFit="1" customWidth="1"/>
    <col min="12549" max="12549" width="25.33203125" style="32" bestFit="1" customWidth="1"/>
    <col min="12550" max="12550" width="27.44140625" style="32" bestFit="1" customWidth="1"/>
    <col min="12551" max="12553" width="22.109375" style="32" bestFit="1" customWidth="1"/>
    <col min="12554" max="12554" width="27.6640625" style="32" bestFit="1" customWidth="1"/>
    <col min="12555" max="12555" width="24.44140625" style="32" customWidth="1"/>
    <col min="12556" max="12556" width="28.109375" style="32" customWidth="1"/>
    <col min="12557" max="12557" width="25.44140625" style="32" customWidth="1"/>
    <col min="12558" max="12558" width="35.33203125" style="32" bestFit="1" customWidth="1"/>
    <col min="12559" max="12559" width="30.109375" style="32" customWidth="1"/>
    <col min="12560" max="12560" width="11.44140625" style="32" bestFit="1" customWidth="1"/>
    <col min="12561" max="12561" width="24.88671875" style="32" bestFit="1" customWidth="1"/>
    <col min="12562" max="12562" width="16.44140625" style="32" bestFit="1" customWidth="1"/>
    <col min="12563" max="12563" width="24.5546875" style="32" bestFit="1" customWidth="1"/>
    <col min="12564" max="12564" width="17.44140625" style="32" bestFit="1" customWidth="1"/>
    <col min="12565" max="12565" width="21.6640625" style="32" bestFit="1" customWidth="1"/>
    <col min="12566" max="12800" width="9.109375" style="32"/>
    <col min="12801" max="12801" width="29.6640625" style="32" customWidth="1"/>
    <col min="12802" max="12802" width="25.44140625" style="32" bestFit="1" customWidth="1"/>
    <col min="12803" max="12803" width="41.88671875" style="32" customWidth="1"/>
    <col min="12804" max="12804" width="14" style="32" bestFit="1" customWidth="1"/>
    <col min="12805" max="12805" width="25.33203125" style="32" bestFit="1" customWidth="1"/>
    <col min="12806" max="12806" width="27.44140625" style="32" bestFit="1" customWidth="1"/>
    <col min="12807" max="12809" width="22.109375" style="32" bestFit="1" customWidth="1"/>
    <col min="12810" max="12810" width="27.6640625" style="32" bestFit="1" customWidth="1"/>
    <col min="12811" max="12811" width="24.44140625" style="32" customWidth="1"/>
    <col min="12812" max="12812" width="28.109375" style="32" customWidth="1"/>
    <col min="12813" max="12813" width="25.44140625" style="32" customWidth="1"/>
    <col min="12814" max="12814" width="35.33203125" style="32" bestFit="1" customWidth="1"/>
    <col min="12815" max="12815" width="30.109375" style="32" customWidth="1"/>
    <col min="12816" max="12816" width="11.44140625" style="32" bestFit="1" customWidth="1"/>
    <col min="12817" max="12817" width="24.88671875" style="32" bestFit="1" customWidth="1"/>
    <col min="12818" max="12818" width="16.44140625" style="32" bestFit="1" customWidth="1"/>
    <col min="12819" max="12819" width="24.5546875" style="32" bestFit="1" customWidth="1"/>
    <col min="12820" max="12820" width="17.44140625" style="32" bestFit="1" customWidth="1"/>
    <col min="12821" max="12821" width="21.6640625" style="32" bestFit="1" customWidth="1"/>
    <col min="12822" max="13056" width="9.109375" style="32"/>
    <col min="13057" max="13057" width="29.6640625" style="32" customWidth="1"/>
    <col min="13058" max="13058" width="25.44140625" style="32" bestFit="1" customWidth="1"/>
    <col min="13059" max="13059" width="41.88671875" style="32" customWidth="1"/>
    <col min="13060" max="13060" width="14" style="32" bestFit="1" customWidth="1"/>
    <col min="13061" max="13061" width="25.33203125" style="32" bestFit="1" customWidth="1"/>
    <col min="13062" max="13062" width="27.44140625" style="32" bestFit="1" customWidth="1"/>
    <col min="13063" max="13065" width="22.109375" style="32" bestFit="1" customWidth="1"/>
    <col min="13066" max="13066" width="27.6640625" style="32" bestFit="1" customWidth="1"/>
    <col min="13067" max="13067" width="24.44140625" style="32" customWidth="1"/>
    <col min="13068" max="13068" width="28.109375" style="32" customWidth="1"/>
    <col min="13069" max="13069" width="25.44140625" style="32" customWidth="1"/>
    <col min="13070" max="13070" width="35.33203125" style="32" bestFit="1" customWidth="1"/>
    <col min="13071" max="13071" width="30.109375" style="32" customWidth="1"/>
    <col min="13072" max="13072" width="11.44140625" style="32" bestFit="1" customWidth="1"/>
    <col min="13073" max="13073" width="24.88671875" style="32" bestFit="1" customWidth="1"/>
    <col min="13074" max="13074" width="16.44140625" style="32" bestFit="1" customWidth="1"/>
    <col min="13075" max="13075" width="24.5546875" style="32" bestFit="1" customWidth="1"/>
    <col min="13076" max="13076" width="17.44140625" style="32" bestFit="1" customWidth="1"/>
    <col min="13077" max="13077" width="21.6640625" style="32" bestFit="1" customWidth="1"/>
    <col min="13078" max="13312" width="9.109375" style="32"/>
    <col min="13313" max="13313" width="29.6640625" style="32" customWidth="1"/>
    <col min="13314" max="13314" width="25.44140625" style="32" bestFit="1" customWidth="1"/>
    <col min="13315" max="13315" width="41.88671875" style="32" customWidth="1"/>
    <col min="13316" max="13316" width="14" style="32" bestFit="1" customWidth="1"/>
    <col min="13317" max="13317" width="25.33203125" style="32" bestFit="1" customWidth="1"/>
    <col min="13318" max="13318" width="27.44140625" style="32" bestFit="1" customWidth="1"/>
    <col min="13319" max="13321" width="22.109375" style="32" bestFit="1" customWidth="1"/>
    <col min="13322" max="13322" width="27.6640625" style="32" bestFit="1" customWidth="1"/>
    <col min="13323" max="13323" width="24.44140625" style="32" customWidth="1"/>
    <col min="13324" max="13324" width="28.109375" style="32" customWidth="1"/>
    <col min="13325" max="13325" width="25.44140625" style="32" customWidth="1"/>
    <col min="13326" max="13326" width="35.33203125" style="32" bestFit="1" customWidth="1"/>
    <col min="13327" max="13327" width="30.109375" style="32" customWidth="1"/>
    <col min="13328" max="13328" width="11.44140625" style="32" bestFit="1" customWidth="1"/>
    <col min="13329" max="13329" width="24.88671875" style="32" bestFit="1" customWidth="1"/>
    <col min="13330" max="13330" width="16.44140625" style="32" bestFit="1" customWidth="1"/>
    <col min="13331" max="13331" width="24.5546875" style="32" bestFit="1" customWidth="1"/>
    <col min="13332" max="13332" width="17.44140625" style="32" bestFit="1" customWidth="1"/>
    <col min="13333" max="13333" width="21.6640625" style="32" bestFit="1" customWidth="1"/>
    <col min="13334" max="13568" width="9.109375" style="32"/>
    <col min="13569" max="13569" width="29.6640625" style="32" customWidth="1"/>
    <col min="13570" max="13570" width="25.44140625" style="32" bestFit="1" customWidth="1"/>
    <col min="13571" max="13571" width="41.88671875" style="32" customWidth="1"/>
    <col min="13572" max="13572" width="14" style="32" bestFit="1" customWidth="1"/>
    <col min="13573" max="13573" width="25.33203125" style="32" bestFit="1" customWidth="1"/>
    <col min="13574" max="13574" width="27.44140625" style="32" bestFit="1" customWidth="1"/>
    <col min="13575" max="13577" width="22.109375" style="32" bestFit="1" customWidth="1"/>
    <col min="13578" max="13578" width="27.6640625" style="32" bestFit="1" customWidth="1"/>
    <col min="13579" max="13579" width="24.44140625" style="32" customWidth="1"/>
    <col min="13580" max="13580" width="28.109375" style="32" customWidth="1"/>
    <col min="13581" max="13581" width="25.44140625" style="32" customWidth="1"/>
    <col min="13582" max="13582" width="35.33203125" style="32" bestFit="1" customWidth="1"/>
    <col min="13583" max="13583" width="30.109375" style="32" customWidth="1"/>
    <col min="13584" max="13584" width="11.44140625" style="32" bestFit="1" customWidth="1"/>
    <col min="13585" max="13585" width="24.88671875" style="32" bestFit="1" customWidth="1"/>
    <col min="13586" max="13586" width="16.44140625" style="32" bestFit="1" customWidth="1"/>
    <col min="13587" max="13587" width="24.5546875" style="32" bestFit="1" customWidth="1"/>
    <col min="13588" max="13588" width="17.44140625" style="32" bestFit="1" customWidth="1"/>
    <col min="13589" max="13589" width="21.6640625" style="32" bestFit="1" customWidth="1"/>
    <col min="13590" max="13824" width="9.109375" style="32"/>
    <col min="13825" max="13825" width="29.6640625" style="32" customWidth="1"/>
    <col min="13826" max="13826" width="25.44140625" style="32" bestFit="1" customWidth="1"/>
    <col min="13827" max="13827" width="41.88671875" style="32" customWidth="1"/>
    <col min="13828" max="13828" width="14" style="32" bestFit="1" customWidth="1"/>
    <col min="13829" max="13829" width="25.33203125" style="32" bestFit="1" customWidth="1"/>
    <col min="13830" max="13830" width="27.44140625" style="32" bestFit="1" customWidth="1"/>
    <col min="13831" max="13833" width="22.109375" style="32" bestFit="1" customWidth="1"/>
    <col min="13834" max="13834" width="27.6640625" style="32" bestFit="1" customWidth="1"/>
    <col min="13835" max="13835" width="24.44140625" style="32" customWidth="1"/>
    <col min="13836" max="13836" width="28.109375" style="32" customWidth="1"/>
    <col min="13837" max="13837" width="25.44140625" style="32" customWidth="1"/>
    <col min="13838" max="13838" width="35.33203125" style="32" bestFit="1" customWidth="1"/>
    <col min="13839" max="13839" width="30.109375" style="32" customWidth="1"/>
    <col min="13840" max="13840" width="11.44140625" style="32" bestFit="1" customWidth="1"/>
    <col min="13841" max="13841" width="24.88671875" style="32" bestFit="1" customWidth="1"/>
    <col min="13842" max="13842" width="16.44140625" style="32" bestFit="1" customWidth="1"/>
    <col min="13843" max="13843" width="24.5546875" style="32" bestFit="1" customWidth="1"/>
    <col min="13844" max="13844" width="17.44140625" style="32" bestFit="1" customWidth="1"/>
    <col min="13845" max="13845" width="21.6640625" style="32" bestFit="1" customWidth="1"/>
    <col min="13846" max="14080" width="9.109375" style="32"/>
    <col min="14081" max="14081" width="29.6640625" style="32" customWidth="1"/>
    <col min="14082" max="14082" width="25.44140625" style="32" bestFit="1" customWidth="1"/>
    <col min="14083" max="14083" width="41.88671875" style="32" customWidth="1"/>
    <col min="14084" max="14084" width="14" style="32" bestFit="1" customWidth="1"/>
    <col min="14085" max="14085" width="25.33203125" style="32" bestFit="1" customWidth="1"/>
    <col min="14086" max="14086" width="27.44140625" style="32" bestFit="1" customWidth="1"/>
    <col min="14087" max="14089" width="22.109375" style="32" bestFit="1" customWidth="1"/>
    <col min="14090" max="14090" width="27.6640625" style="32" bestFit="1" customWidth="1"/>
    <col min="14091" max="14091" width="24.44140625" style="32" customWidth="1"/>
    <col min="14092" max="14092" width="28.109375" style="32" customWidth="1"/>
    <col min="14093" max="14093" width="25.44140625" style="32" customWidth="1"/>
    <col min="14094" max="14094" width="35.33203125" style="32" bestFit="1" customWidth="1"/>
    <col min="14095" max="14095" width="30.109375" style="32" customWidth="1"/>
    <col min="14096" max="14096" width="11.44140625" style="32" bestFit="1" customWidth="1"/>
    <col min="14097" max="14097" width="24.88671875" style="32" bestFit="1" customWidth="1"/>
    <col min="14098" max="14098" width="16.44140625" style="32" bestFit="1" customWidth="1"/>
    <col min="14099" max="14099" width="24.5546875" style="32" bestFit="1" customWidth="1"/>
    <col min="14100" max="14100" width="17.44140625" style="32" bestFit="1" customWidth="1"/>
    <col min="14101" max="14101" width="21.6640625" style="32" bestFit="1" customWidth="1"/>
    <col min="14102" max="14336" width="9.109375" style="32"/>
    <col min="14337" max="14337" width="29.6640625" style="32" customWidth="1"/>
    <col min="14338" max="14338" width="25.44140625" style="32" bestFit="1" customWidth="1"/>
    <col min="14339" max="14339" width="41.88671875" style="32" customWidth="1"/>
    <col min="14340" max="14340" width="14" style="32" bestFit="1" customWidth="1"/>
    <col min="14341" max="14341" width="25.33203125" style="32" bestFit="1" customWidth="1"/>
    <col min="14342" max="14342" width="27.44140625" style="32" bestFit="1" customWidth="1"/>
    <col min="14343" max="14345" width="22.109375" style="32" bestFit="1" customWidth="1"/>
    <col min="14346" max="14346" width="27.6640625" style="32" bestFit="1" customWidth="1"/>
    <col min="14347" max="14347" width="24.44140625" style="32" customWidth="1"/>
    <col min="14348" max="14348" width="28.109375" style="32" customWidth="1"/>
    <col min="14349" max="14349" width="25.44140625" style="32" customWidth="1"/>
    <col min="14350" max="14350" width="35.33203125" style="32" bestFit="1" customWidth="1"/>
    <col min="14351" max="14351" width="30.109375" style="32" customWidth="1"/>
    <col min="14352" max="14352" width="11.44140625" style="32" bestFit="1" customWidth="1"/>
    <col min="14353" max="14353" width="24.88671875" style="32" bestFit="1" customWidth="1"/>
    <col min="14354" max="14354" width="16.44140625" style="32" bestFit="1" customWidth="1"/>
    <col min="14355" max="14355" width="24.5546875" style="32" bestFit="1" customWidth="1"/>
    <col min="14356" max="14356" width="17.44140625" style="32" bestFit="1" customWidth="1"/>
    <col min="14357" max="14357" width="21.6640625" style="32" bestFit="1" customWidth="1"/>
    <col min="14358" max="14592" width="9.109375" style="32"/>
    <col min="14593" max="14593" width="29.6640625" style="32" customWidth="1"/>
    <col min="14594" max="14594" width="25.44140625" style="32" bestFit="1" customWidth="1"/>
    <col min="14595" max="14595" width="41.88671875" style="32" customWidth="1"/>
    <col min="14596" max="14596" width="14" style="32" bestFit="1" customWidth="1"/>
    <col min="14597" max="14597" width="25.33203125" style="32" bestFit="1" customWidth="1"/>
    <col min="14598" max="14598" width="27.44140625" style="32" bestFit="1" customWidth="1"/>
    <col min="14599" max="14601" width="22.109375" style="32" bestFit="1" customWidth="1"/>
    <col min="14602" max="14602" width="27.6640625" style="32" bestFit="1" customWidth="1"/>
    <col min="14603" max="14603" width="24.44140625" style="32" customWidth="1"/>
    <col min="14604" max="14604" width="28.109375" style="32" customWidth="1"/>
    <col min="14605" max="14605" width="25.44140625" style="32" customWidth="1"/>
    <col min="14606" max="14606" width="35.33203125" style="32" bestFit="1" customWidth="1"/>
    <col min="14607" max="14607" width="30.109375" style="32" customWidth="1"/>
    <col min="14608" max="14608" width="11.44140625" style="32" bestFit="1" customWidth="1"/>
    <col min="14609" max="14609" width="24.88671875" style="32" bestFit="1" customWidth="1"/>
    <col min="14610" max="14610" width="16.44140625" style="32" bestFit="1" customWidth="1"/>
    <col min="14611" max="14611" width="24.5546875" style="32" bestFit="1" customWidth="1"/>
    <col min="14612" max="14612" width="17.44140625" style="32" bestFit="1" customWidth="1"/>
    <col min="14613" max="14613" width="21.6640625" style="32" bestFit="1" customWidth="1"/>
    <col min="14614" max="14848" width="9.109375" style="32"/>
    <col min="14849" max="14849" width="29.6640625" style="32" customWidth="1"/>
    <col min="14850" max="14850" width="25.44140625" style="32" bestFit="1" customWidth="1"/>
    <col min="14851" max="14851" width="41.88671875" style="32" customWidth="1"/>
    <col min="14852" max="14852" width="14" style="32" bestFit="1" customWidth="1"/>
    <col min="14853" max="14853" width="25.33203125" style="32" bestFit="1" customWidth="1"/>
    <col min="14854" max="14854" width="27.44140625" style="32" bestFit="1" customWidth="1"/>
    <col min="14855" max="14857" width="22.109375" style="32" bestFit="1" customWidth="1"/>
    <col min="14858" max="14858" width="27.6640625" style="32" bestFit="1" customWidth="1"/>
    <col min="14859" max="14859" width="24.44140625" style="32" customWidth="1"/>
    <col min="14860" max="14860" width="28.109375" style="32" customWidth="1"/>
    <col min="14861" max="14861" width="25.44140625" style="32" customWidth="1"/>
    <col min="14862" max="14862" width="35.33203125" style="32" bestFit="1" customWidth="1"/>
    <col min="14863" max="14863" width="30.109375" style="32" customWidth="1"/>
    <col min="14864" max="14864" width="11.44140625" style="32" bestFit="1" customWidth="1"/>
    <col min="14865" max="14865" width="24.88671875" style="32" bestFit="1" customWidth="1"/>
    <col min="14866" max="14866" width="16.44140625" style="32" bestFit="1" customWidth="1"/>
    <col min="14867" max="14867" width="24.5546875" style="32" bestFit="1" customWidth="1"/>
    <col min="14868" max="14868" width="17.44140625" style="32" bestFit="1" customWidth="1"/>
    <col min="14869" max="14869" width="21.6640625" style="32" bestFit="1" customWidth="1"/>
    <col min="14870" max="15104" width="9.109375" style="32"/>
    <col min="15105" max="15105" width="29.6640625" style="32" customWidth="1"/>
    <col min="15106" max="15106" width="25.44140625" style="32" bestFit="1" customWidth="1"/>
    <col min="15107" max="15107" width="41.88671875" style="32" customWidth="1"/>
    <col min="15108" max="15108" width="14" style="32" bestFit="1" customWidth="1"/>
    <col min="15109" max="15109" width="25.33203125" style="32" bestFit="1" customWidth="1"/>
    <col min="15110" max="15110" width="27.44140625" style="32" bestFit="1" customWidth="1"/>
    <col min="15111" max="15113" width="22.109375" style="32" bestFit="1" customWidth="1"/>
    <col min="15114" max="15114" width="27.6640625" style="32" bestFit="1" customWidth="1"/>
    <col min="15115" max="15115" width="24.44140625" style="32" customWidth="1"/>
    <col min="15116" max="15116" width="28.109375" style="32" customWidth="1"/>
    <col min="15117" max="15117" width="25.44140625" style="32" customWidth="1"/>
    <col min="15118" max="15118" width="35.33203125" style="32" bestFit="1" customWidth="1"/>
    <col min="15119" max="15119" width="30.109375" style="32" customWidth="1"/>
    <col min="15120" max="15120" width="11.44140625" style="32" bestFit="1" customWidth="1"/>
    <col min="15121" max="15121" width="24.88671875" style="32" bestFit="1" customWidth="1"/>
    <col min="15122" max="15122" width="16.44140625" style="32" bestFit="1" customWidth="1"/>
    <col min="15123" max="15123" width="24.5546875" style="32" bestFit="1" customWidth="1"/>
    <col min="15124" max="15124" width="17.44140625" style="32" bestFit="1" customWidth="1"/>
    <col min="15125" max="15125" width="21.6640625" style="32" bestFit="1" customWidth="1"/>
    <col min="15126" max="15360" width="9.109375" style="32"/>
    <col min="15361" max="15361" width="29.6640625" style="32" customWidth="1"/>
    <col min="15362" max="15362" width="25.44140625" style="32" bestFit="1" customWidth="1"/>
    <col min="15363" max="15363" width="41.88671875" style="32" customWidth="1"/>
    <col min="15364" max="15364" width="14" style="32" bestFit="1" customWidth="1"/>
    <col min="15365" max="15365" width="25.33203125" style="32" bestFit="1" customWidth="1"/>
    <col min="15366" max="15366" width="27.44140625" style="32" bestFit="1" customWidth="1"/>
    <col min="15367" max="15369" width="22.109375" style="32" bestFit="1" customWidth="1"/>
    <col min="15370" max="15370" width="27.6640625" style="32" bestFit="1" customWidth="1"/>
    <col min="15371" max="15371" width="24.44140625" style="32" customWidth="1"/>
    <col min="15372" max="15372" width="28.109375" style="32" customWidth="1"/>
    <col min="15373" max="15373" width="25.44140625" style="32" customWidth="1"/>
    <col min="15374" max="15374" width="35.33203125" style="32" bestFit="1" customWidth="1"/>
    <col min="15375" max="15375" width="30.109375" style="32" customWidth="1"/>
    <col min="15376" max="15376" width="11.44140625" style="32" bestFit="1" customWidth="1"/>
    <col min="15377" max="15377" width="24.88671875" style="32" bestFit="1" customWidth="1"/>
    <col min="15378" max="15378" width="16.44140625" style="32" bestFit="1" customWidth="1"/>
    <col min="15379" max="15379" width="24.5546875" style="32" bestFit="1" customWidth="1"/>
    <col min="15380" max="15380" width="17.44140625" style="32" bestFit="1" customWidth="1"/>
    <col min="15381" max="15381" width="21.6640625" style="32" bestFit="1" customWidth="1"/>
    <col min="15382" max="15616" width="9.109375" style="32"/>
    <col min="15617" max="15617" width="29.6640625" style="32" customWidth="1"/>
    <col min="15618" max="15618" width="25.44140625" style="32" bestFit="1" customWidth="1"/>
    <col min="15619" max="15619" width="41.88671875" style="32" customWidth="1"/>
    <col min="15620" max="15620" width="14" style="32" bestFit="1" customWidth="1"/>
    <col min="15621" max="15621" width="25.33203125" style="32" bestFit="1" customWidth="1"/>
    <col min="15622" max="15622" width="27.44140625" style="32" bestFit="1" customWidth="1"/>
    <col min="15623" max="15625" width="22.109375" style="32" bestFit="1" customWidth="1"/>
    <col min="15626" max="15626" width="27.6640625" style="32" bestFit="1" customWidth="1"/>
    <col min="15627" max="15627" width="24.44140625" style="32" customWidth="1"/>
    <col min="15628" max="15628" width="28.109375" style="32" customWidth="1"/>
    <col min="15629" max="15629" width="25.44140625" style="32" customWidth="1"/>
    <col min="15630" max="15630" width="35.33203125" style="32" bestFit="1" customWidth="1"/>
    <col min="15631" max="15631" width="30.109375" style="32" customWidth="1"/>
    <col min="15632" max="15632" width="11.44140625" style="32" bestFit="1" customWidth="1"/>
    <col min="15633" max="15633" width="24.88671875" style="32" bestFit="1" customWidth="1"/>
    <col min="15634" max="15634" width="16.44140625" style="32" bestFit="1" customWidth="1"/>
    <col min="15635" max="15635" width="24.5546875" style="32" bestFit="1" customWidth="1"/>
    <col min="15636" max="15636" width="17.44140625" style="32" bestFit="1" customWidth="1"/>
    <col min="15637" max="15637" width="21.6640625" style="32" bestFit="1" customWidth="1"/>
    <col min="15638" max="15872" width="9.109375" style="32"/>
    <col min="15873" max="15873" width="29.6640625" style="32" customWidth="1"/>
    <col min="15874" max="15874" width="25.44140625" style="32" bestFit="1" customWidth="1"/>
    <col min="15875" max="15875" width="41.88671875" style="32" customWidth="1"/>
    <col min="15876" max="15876" width="14" style="32" bestFit="1" customWidth="1"/>
    <col min="15877" max="15877" width="25.33203125" style="32" bestFit="1" customWidth="1"/>
    <col min="15878" max="15878" width="27.44140625" style="32" bestFit="1" customWidth="1"/>
    <col min="15879" max="15881" width="22.109375" style="32" bestFit="1" customWidth="1"/>
    <col min="15882" max="15882" width="27.6640625" style="32" bestFit="1" customWidth="1"/>
    <col min="15883" max="15883" width="24.44140625" style="32" customWidth="1"/>
    <col min="15884" max="15884" width="28.109375" style="32" customWidth="1"/>
    <col min="15885" max="15885" width="25.44140625" style="32" customWidth="1"/>
    <col min="15886" max="15886" width="35.33203125" style="32" bestFit="1" customWidth="1"/>
    <col min="15887" max="15887" width="30.109375" style="32" customWidth="1"/>
    <col min="15888" max="15888" width="11.44140625" style="32" bestFit="1" customWidth="1"/>
    <col min="15889" max="15889" width="24.88671875" style="32" bestFit="1" customWidth="1"/>
    <col min="15890" max="15890" width="16.44140625" style="32" bestFit="1" customWidth="1"/>
    <col min="15891" max="15891" width="24.5546875" style="32" bestFit="1" customWidth="1"/>
    <col min="15892" max="15892" width="17.44140625" style="32" bestFit="1" customWidth="1"/>
    <col min="15893" max="15893" width="21.6640625" style="32" bestFit="1" customWidth="1"/>
    <col min="15894" max="16128" width="9.109375" style="32"/>
    <col min="16129" max="16129" width="29.6640625" style="32" customWidth="1"/>
    <col min="16130" max="16130" width="25.44140625" style="32" bestFit="1" customWidth="1"/>
    <col min="16131" max="16131" width="41.88671875" style="32" customWidth="1"/>
    <col min="16132" max="16132" width="14" style="32" bestFit="1" customWidth="1"/>
    <col min="16133" max="16133" width="25.33203125" style="32" bestFit="1" customWidth="1"/>
    <col min="16134" max="16134" width="27.44140625" style="32" bestFit="1" customWidth="1"/>
    <col min="16135" max="16137" width="22.109375" style="32" bestFit="1" customWidth="1"/>
    <col min="16138" max="16138" width="27.6640625" style="32" bestFit="1" customWidth="1"/>
    <col min="16139" max="16139" width="24.44140625" style="32" customWidth="1"/>
    <col min="16140" max="16140" width="28.109375" style="32" customWidth="1"/>
    <col min="16141" max="16141" width="25.44140625" style="32" customWidth="1"/>
    <col min="16142" max="16142" width="35.33203125" style="32" bestFit="1" customWidth="1"/>
    <col min="16143" max="16143" width="30.109375" style="32" customWidth="1"/>
    <col min="16144" max="16144" width="11.44140625" style="32" bestFit="1" customWidth="1"/>
    <col min="16145" max="16145" width="24.88671875" style="32" bestFit="1" customWidth="1"/>
    <col min="16146" max="16146" width="16.44140625" style="32" bestFit="1" customWidth="1"/>
    <col min="16147" max="16147" width="24.5546875" style="32" bestFit="1" customWidth="1"/>
    <col min="16148" max="16148" width="17.44140625" style="32" bestFit="1" customWidth="1"/>
    <col min="16149" max="16149" width="21.6640625" style="32" bestFit="1" customWidth="1"/>
    <col min="16150" max="16384" width="9.109375" style="32"/>
  </cols>
  <sheetData>
    <row r="1" spans="2:23" ht="17.25" customHeight="1" x14ac:dyDescent="0.25"/>
    <row r="2" spans="2:23" ht="17.25" customHeight="1" x14ac:dyDescent="0.25">
      <c r="B2" s="64" t="s">
        <v>687</v>
      </c>
      <c r="L2" s="36"/>
      <c r="M2" s="36"/>
      <c r="N2" s="36"/>
      <c r="O2" s="36"/>
      <c r="P2" s="49"/>
      <c r="Q2" s="49"/>
      <c r="R2" s="36"/>
      <c r="S2" s="36"/>
      <c r="T2" s="36"/>
    </row>
    <row r="3" spans="2:23" ht="17.25" customHeight="1" x14ac:dyDescent="0.25">
      <c r="B3" s="32" t="s">
        <v>688</v>
      </c>
      <c r="O3" s="32" t="s">
        <v>121</v>
      </c>
      <c r="P3" s="32"/>
      <c r="Q3" s="32"/>
      <c r="S3" s="35"/>
      <c r="T3" s="35"/>
    </row>
    <row r="4" spans="2:23" ht="17.25" customHeight="1" x14ac:dyDescent="0.25">
      <c r="P4" s="32"/>
      <c r="Q4" s="32"/>
      <c r="S4" s="35"/>
      <c r="T4" s="35"/>
    </row>
    <row r="5" spans="2:23" ht="17.25" customHeight="1" x14ac:dyDescent="0.25">
      <c r="D5" s="137" t="s">
        <v>15</v>
      </c>
      <c r="E5" s="137"/>
      <c r="F5" s="31"/>
      <c r="I5" s="33"/>
      <c r="O5" s="62" t="s">
        <v>42</v>
      </c>
      <c r="P5" s="62"/>
      <c r="Q5" s="62"/>
      <c r="R5" s="62"/>
      <c r="S5" s="266"/>
      <c r="T5" s="266"/>
      <c r="U5" s="62"/>
      <c r="V5" s="62"/>
      <c r="W5" s="62"/>
    </row>
    <row r="6" spans="2:23" ht="17.25" customHeight="1" x14ac:dyDescent="0.25">
      <c r="B6" s="71" t="s">
        <v>1</v>
      </c>
      <c r="C6" s="71" t="s">
        <v>45</v>
      </c>
      <c r="D6" s="93" t="s">
        <v>8</v>
      </c>
      <c r="E6" s="66" t="s">
        <v>47</v>
      </c>
      <c r="F6" s="66" t="str">
        <f>"ACT_BND"</f>
        <v>ACT_BND</v>
      </c>
      <c r="H6" s="33"/>
      <c r="I6" s="34"/>
      <c r="O6" s="136" t="s">
        <v>20</v>
      </c>
      <c r="P6" s="136"/>
      <c r="Q6" s="62"/>
      <c r="R6" s="62"/>
      <c r="S6" s="266"/>
      <c r="T6" s="266"/>
      <c r="U6" s="62"/>
      <c r="V6" s="62"/>
      <c r="W6" s="62"/>
    </row>
    <row r="7" spans="2:23" ht="17.25" customHeight="1" thickBot="1" x14ac:dyDescent="0.3">
      <c r="B7" s="267" t="s">
        <v>108</v>
      </c>
      <c r="C7" s="69" t="s">
        <v>681</v>
      </c>
      <c r="D7" s="70" t="s">
        <v>128</v>
      </c>
      <c r="E7" s="69" t="s">
        <v>682</v>
      </c>
      <c r="F7" s="69" t="s">
        <v>683</v>
      </c>
      <c r="H7" s="34"/>
      <c r="I7" s="34"/>
      <c r="O7" s="63" t="s">
        <v>13</v>
      </c>
      <c r="P7" s="63" t="s">
        <v>35</v>
      </c>
      <c r="Q7" s="63" t="s">
        <v>1</v>
      </c>
      <c r="R7" s="63" t="s">
        <v>2</v>
      </c>
      <c r="S7" s="143" t="s">
        <v>21</v>
      </c>
      <c r="T7" s="143" t="s">
        <v>22</v>
      </c>
      <c r="U7" s="63" t="s">
        <v>23</v>
      </c>
      <c r="V7" s="63" t="s">
        <v>24</v>
      </c>
      <c r="W7" s="63" t="s">
        <v>25</v>
      </c>
    </row>
    <row r="8" spans="2:23" ht="17.25" customHeight="1" thickBot="1" x14ac:dyDescent="0.3">
      <c r="B8" s="198"/>
      <c r="C8" s="99"/>
      <c r="D8" s="100" t="s">
        <v>101</v>
      </c>
      <c r="E8" s="147" t="str">
        <f>General!$D$12</f>
        <v>$/GJ</v>
      </c>
      <c r="F8" s="74" t="str">
        <f>General!$D$13</f>
        <v>PJ/year</v>
      </c>
      <c r="H8" s="34"/>
      <c r="I8" s="49"/>
      <c r="O8" s="68" t="s">
        <v>51</v>
      </c>
      <c r="P8" s="68" t="s">
        <v>36</v>
      </c>
      <c r="Q8" s="68" t="s">
        <v>26</v>
      </c>
      <c r="R8" s="68" t="s">
        <v>27</v>
      </c>
      <c r="S8" s="145" t="s">
        <v>28</v>
      </c>
      <c r="T8" s="145" t="s">
        <v>29</v>
      </c>
      <c r="U8" s="68" t="s">
        <v>57</v>
      </c>
      <c r="V8" s="68" t="s">
        <v>56</v>
      </c>
      <c r="W8" s="68" t="s">
        <v>30</v>
      </c>
    </row>
    <row r="9" spans="2:23" x14ac:dyDescent="0.25">
      <c r="B9" s="36" t="str">
        <f t="shared" ref="B9:B17" si="0">Q9</f>
        <v>MINBIOLOGA01</v>
      </c>
      <c r="C9" s="36" t="str">
        <f t="shared" ref="C9:C17" si="1">R9</f>
        <v>Agricultural Recidues Potential Step 1</v>
      </c>
      <c r="D9" s="113" t="str">
        <f>Commodities!D32</f>
        <v>BIOLOG</v>
      </c>
      <c r="E9" s="150">
        <v>3.24</v>
      </c>
      <c r="F9" s="51">
        <f>'En.Bal-Primary-Transf.'!BJ4*0.25/1000*41.868</f>
        <v>0</v>
      </c>
      <c r="H9" s="49"/>
      <c r="I9" s="36"/>
      <c r="O9" s="32" t="s">
        <v>684</v>
      </c>
      <c r="P9" s="32"/>
      <c r="Q9" s="32" t="str">
        <f>$O$9&amp;Commodities!D32&amp;"A01"</f>
        <v>MINBIOLOGA01</v>
      </c>
      <c r="R9" s="32" t="s">
        <v>772</v>
      </c>
      <c r="S9" s="35" t="str">
        <f>General!$B$2</f>
        <v>PJ</v>
      </c>
      <c r="T9" s="35" t="str">
        <f>General!$B$2&amp;"a"</f>
        <v>PJa</v>
      </c>
    </row>
    <row r="10" spans="2:23" x14ac:dyDescent="0.25">
      <c r="B10" s="36" t="str">
        <f t="shared" si="0"/>
        <v>MINBIOLOGA02</v>
      </c>
      <c r="C10" s="36" t="str">
        <f t="shared" si="1"/>
        <v>Agricultural Recidues Potential Step 2</v>
      </c>
      <c r="D10" s="107" t="str">
        <f>D9</f>
        <v>BIOLOG</v>
      </c>
      <c r="E10" s="150">
        <v>3.6</v>
      </c>
      <c r="F10" s="51">
        <f>'En.Bal-Primary-Transf.'!BJ4*0.5/1000*41.868</f>
        <v>0</v>
      </c>
      <c r="H10" s="36"/>
      <c r="I10" s="36"/>
      <c r="P10" s="32"/>
      <c r="Q10" s="32" t="str">
        <f>$O$9&amp;Commodities!D32&amp;"A02"</f>
        <v>MINBIOLOGA02</v>
      </c>
      <c r="R10" s="32" t="s">
        <v>773</v>
      </c>
      <c r="S10" s="35" t="str">
        <f>General!$B$2</f>
        <v>PJ</v>
      </c>
      <c r="T10" s="35" t="str">
        <f>General!$B$2&amp;"a"</f>
        <v>PJa</v>
      </c>
    </row>
    <row r="11" spans="2:23" x14ac:dyDescent="0.25">
      <c r="B11" s="88" t="str">
        <f t="shared" si="0"/>
        <v>MINBIOLOGA03</v>
      </c>
      <c r="C11" s="88" t="str">
        <f t="shared" si="1"/>
        <v>Agricultural Recidues Potential Step 3</v>
      </c>
      <c r="D11" s="111" t="str">
        <f>D10</f>
        <v>BIOLOG</v>
      </c>
      <c r="E11" s="89">
        <v>3.9600000000000004</v>
      </c>
      <c r="F11" s="172">
        <f>'En.Bal-Primary-Transf.'!BJ4*0.25/1000*41.868</f>
        <v>0</v>
      </c>
      <c r="H11" s="36"/>
      <c r="I11" s="36"/>
      <c r="P11" s="32"/>
      <c r="Q11" s="32" t="str">
        <f>$O$9&amp;Commodities!D32&amp;"A03"</f>
        <v>MINBIOLOGA03</v>
      </c>
      <c r="R11" s="32" t="s">
        <v>774</v>
      </c>
      <c r="S11" s="35" t="str">
        <f>General!$B$2</f>
        <v>PJ</v>
      </c>
      <c r="T11" s="35" t="str">
        <f>General!$B$2&amp;"a"</f>
        <v>PJa</v>
      </c>
    </row>
    <row r="12" spans="2:23" x14ac:dyDescent="0.25">
      <c r="B12" s="36" t="str">
        <f t="shared" si="0"/>
        <v>MINBIOLOGF01</v>
      </c>
      <c r="C12" s="36" t="str">
        <f t="shared" si="1"/>
        <v>Firewood Potential Step 1</v>
      </c>
      <c r="D12" s="113" t="str">
        <f>Commodities!$D$32</f>
        <v>BIOLOG</v>
      </c>
      <c r="E12" s="150">
        <v>1.71</v>
      </c>
      <c r="F12" s="51">
        <f>('En.Bal-Primary-Transf.'!BG4+'En.Bal-Primary-Transf.'!BH4+'En.Bal-Primary-Transf.'!BI4)*0.25/1000*41.868</f>
        <v>2.8260900000000002E-2</v>
      </c>
      <c r="H12" s="36"/>
      <c r="P12" s="32"/>
      <c r="Q12" s="32" t="str">
        <f>$O$9&amp;Commodities!D32&amp;"F01"</f>
        <v>MINBIOLOGF01</v>
      </c>
      <c r="R12" s="32" t="s">
        <v>826</v>
      </c>
      <c r="S12" s="35" t="str">
        <f>General!$B$2</f>
        <v>PJ</v>
      </c>
      <c r="T12" s="35" t="str">
        <f>General!$B$2&amp;"a"</f>
        <v>PJa</v>
      </c>
    </row>
    <row r="13" spans="2:23" x14ac:dyDescent="0.25">
      <c r="B13" s="36" t="str">
        <f t="shared" si="0"/>
        <v>MINBIOLOGF02</v>
      </c>
      <c r="C13" s="36" t="str">
        <f t="shared" si="1"/>
        <v>Firewood Potential Step 2</v>
      </c>
      <c r="D13" s="107" t="str">
        <f>D12</f>
        <v>BIOLOG</v>
      </c>
      <c r="E13" s="150">
        <v>1.9</v>
      </c>
      <c r="F13" s="51">
        <f>('En.Bal-Primary-Transf.'!BG4+'En.Bal-Primary-Transf.'!BH4+'En.Bal-Primary-Transf.'!BI4)*0.5/1000*41.868</f>
        <v>5.6521800000000004E-2</v>
      </c>
      <c r="P13" s="32"/>
      <c r="Q13" s="32" t="str">
        <f>$O$9&amp;Commodities!D32&amp;"F02"</f>
        <v>MINBIOLOGF02</v>
      </c>
      <c r="R13" s="32" t="s">
        <v>827</v>
      </c>
      <c r="S13" s="35" t="str">
        <f>General!$B$2</f>
        <v>PJ</v>
      </c>
      <c r="T13" s="35" t="str">
        <f>General!$B$2&amp;"a"</f>
        <v>PJa</v>
      </c>
    </row>
    <row r="14" spans="2:23" x14ac:dyDescent="0.25">
      <c r="B14" s="88" t="str">
        <f t="shared" si="0"/>
        <v>MINBIOLOGF03</v>
      </c>
      <c r="C14" s="88" t="str">
        <f t="shared" si="1"/>
        <v>Firewood Potential Step 3</v>
      </c>
      <c r="D14" s="111" t="str">
        <f>D13</f>
        <v>BIOLOG</v>
      </c>
      <c r="E14" s="89">
        <v>2.09</v>
      </c>
      <c r="F14" s="172">
        <f>('En.Bal-Primary-Transf.'!BG4+'En.Bal-Primary-Transf.'!BH4+'En.Bal-Primary-Transf.'!BI4)*0.25/1000*41.868</f>
        <v>2.8260900000000002E-2</v>
      </c>
      <c r="P14" s="32"/>
      <c r="Q14" s="32" t="str">
        <f>$O$9&amp;Commodities!D32&amp;"F03"</f>
        <v>MINBIOLOGF03</v>
      </c>
      <c r="R14" s="32" t="s">
        <v>828</v>
      </c>
      <c r="S14" s="35" t="str">
        <f>General!$B$2</f>
        <v>PJ</v>
      </c>
      <c r="T14" s="35" t="str">
        <f>General!$B$2&amp;"a"</f>
        <v>PJa</v>
      </c>
    </row>
    <row r="15" spans="2:23" ht="13.5" customHeight="1" x14ac:dyDescent="0.25">
      <c r="B15" s="36" t="str">
        <f t="shared" si="0"/>
        <v>MINBIOWMU01</v>
      </c>
      <c r="C15" s="36" t="str">
        <f t="shared" si="1"/>
        <v>Municipal waste Potential</v>
      </c>
      <c r="D15" s="113" t="str">
        <f>Commodities!D33</f>
        <v>BIOWMU</v>
      </c>
      <c r="E15" s="150">
        <v>161</v>
      </c>
      <c r="F15" s="51">
        <v>0</v>
      </c>
      <c r="I15" s="36"/>
      <c r="P15" s="32"/>
      <c r="Q15" s="32" t="str">
        <f>$O$9&amp;Commodities!D33&amp;"01"</f>
        <v>MINBIOWMU01</v>
      </c>
      <c r="R15" s="32" t="s">
        <v>775</v>
      </c>
      <c r="S15" s="35" t="str">
        <f>General!$B$2</f>
        <v>PJ</v>
      </c>
      <c r="T15" s="35" t="str">
        <f>General!$B$2&amp;"a"</f>
        <v>PJa</v>
      </c>
    </row>
    <row r="16" spans="2:23" x14ac:dyDescent="0.25">
      <c r="B16" s="32" t="str">
        <f t="shared" si="0"/>
        <v>MINBIOWID01</v>
      </c>
      <c r="C16" s="32" t="str">
        <f t="shared" si="1"/>
        <v>Industrial Waste Potential</v>
      </c>
      <c r="D16" s="268" t="str">
        <f>Commodities!D34</f>
        <v>BIOWID</v>
      </c>
      <c r="E16" s="150">
        <v>6.5</v>
      </c>
      <c r="F16" s="269">
        <v>0</v>
      </c>
      <c r="H16" s="36"/>
      <c r="P16" s="32"/>
      <c r="Q16" s="32" t="str">
        <f>$O$9&amp;Commodities!D34&amp;"01"</f>
        <v>MINBIOWID01</v>
      </c>
      <c r="R16" s="32" t="s">
        <v>776</v>
      </c>
      <c r="S16" s="35" t="str">
        <f>General!$B$2</f>
        <v>PJ</v>
      </c>
      <c r="T16" s="35" t="str">
        <f>General!$B$2&amp;"a"</f>
        <v>PJa</v>
      </c>
    </row>
    <row r="17" spans="2:23" ht="15.75" customHeight="1" x14ac:dyDescent="0.25">
      <c r="B17" s="88" t="str">
        <f t="shared" si="0"/>
        <v>MINBIOWAN01</v>
      </c>
      <c r="C17" s="88" t="str">
        <f t="shared" si="1"/>
        <v>Animal waste Potential</v>
      </c>
      <c r="D17" s="114" t="str">
        <f>Commodities!D35</f>
        <v>BIOWAN</v>
      </c>
      <c r="E17" s="89">
        <v>4.3</v>
      </c>
      <c r="F17" s="172">
        <f>TRN_Bio!J15*TRN_Bio!G16/TRN_Bio!H15</f>
        <v>0</v>
      </c>
      <c r="P17" s="32"/>
      <c r="Q17" s="32" t="str">
        <f>$O$9&amp;Commodities!D35&amp;"01"</f>
        <v>MINBIOWAN01</v>
      </c>
      <c r="R17" s="32" t="s">
        <v>777</v>
      </c>
      <c r="S17" s="35" t="str">
        <f>General!$B$2</f>
        <v>PJ</v>
      </c>
      <c r="T17" s="35" t="str">
        <f>General!$B$2&amp;"a"</f>
        <v>PJa</v>
      </c>
    </row>
    <row r="18" spans="2:23" x14ac:dyDescent="0.25">
      <c r="B18" s="88" t="str">
        <f>Q22</f>
        <v>SPRSTCKBIOLOG_00</v>
      </c>
      <c r="C18" s="88" t="str">
        <f>R22</f>
        <v>Stocks of Wood</v>
      </c>
      <c r="D18" s="111" t="str">
        <f>Commodities!$D$32</f>
        <v>BIOLOG</v>
      </c>
      <c r="E18" s="89">
        <f>E10</f>
        <v>3.6</v>
      </c>
      <c r="F18" s="172">
        <f>'En.Bal-Primary-Transf.'!BF13/1000*41.868</f>
        <v>0</v>
      </c>
      <c r="O18" s="32" t="s">
        <v>115</v>
      </c>
      <c r="P18" s="32"/>
      <c r="Q18" s="32" t="str">
        <f>O18&amp;Commodities!D32&amp;"01"</f>
        <v>IMPBIOLOG01</v>
      </c>
      <c r="R18" s="32" t="s">
        <v>778</v>
      </c>
      <c r="S18" s="35" t="str">
        <f>General!$B$2</f>
        <v>PJ</v>
      </c>
      <c r="T18" s="35" t="str">
        <f>General!$B$2&amp;"a"</f>
        <v>PJa</v>
      </c>
    </row>
    <row r="19" spans="2:23" x14ac:dyDescent="0.25">
      <c r="I19" s="36"/>
      <c r="P19" s="32"/>
      <c r="Q19" s="32" t="str">
        <f>O18&amp;Commodities!D50&amp;"01"</f>
        <v>IMPBIOCHR01</v>
      </c>
      <c r="R19" s="32" t="s">
        <v>779</v>
      </c>
      <c r="S19" s="35" t="str">
        <f>General!$B$2</f>
        <v>PJ</v>
      </c>
      <c r="T19" s="35" t="str">
        <f>General!$B$2&amp;"a"</f>
        <v>PJa</v>
      </c>
    </row>
    <row r="20" spans="2:23" ht="15" customHeight="1" x14ac:dyDescent="0.25">
      <c r="B20" s="32" t="s">
        <v>934</v>
      </c>
      <c r="C20" s="32" t="s">
        <v>967</v>
      </c>
      <c r="H20" s="36"/>
      <c r="O20" s="32" t="s">
        <v>118</v>
      </c>
      <c r="P20" s="32"/>
      <c r="Q20" s="32" t="str">
        <f>O20&amp;Commodities!D32&amp;"01"</f>
        <v>EXPBIOLOG01</v>
      </c>
      <c r="R20" s="32" t="s">
        <v>780</v>
      </c>
      <c r="S20" s="35" t="str">
        <f>General!$B$2</f>
        <v>PJ</v>
      </c>
      <c r="T20" s="35" t="str">
        <f>General!$B$2&amp;"a"</f>
        <v>PJa</v>
      </c>
    </row>
    <row r="21" spans="2:23" x14ac:dyDescent="0.25">
      <c r="P21" s="32"/>
      <c r="Q21" s="32" t="str">
        <f>O20&amp;Commodities!D50&amp;"01"</f>
        <v>EXPBIOCHR01</v>
      </c>
      <c r="R21" s="32" t="s">
        <v>781</v>
      </c>
      <c r="S21" s="135" t="str">
        <f>General!$B$2</f>
        <v>PJ</v>
      </c>
      <c r="T21" s="135" t="str">
        <f>General!$B$2&amp;"a"</f>
        <v>PJa</v>
      </c>
    </row>
    <row r="22" spans="2:23" ht="16.5" customHeight="1" x14ac:dyDescent="0.25">
      <c r="O22" s="80" t="s">
        <v>111</v>
      </c>
      <c r="P22" s="80"/>
      <c r="Q22" s="80" t="str">
        <f>"SPRSTCK"&amp;Commodities!D32&amp;"_00"</f>
        <v>SPRSTCKBIOLOG_00</v>
      </c>
      <c r="R22" s="80" t="s">
        <v>782</v>
      </c>
      <c r="S22" s="135" t="str">
        <f>General!$B$2</f>
        <v>PJ</v>
      </c>
      <c r="T22" s="135" t="str">
        <f>General!$B$2&amp;"a"</f>
        <v>PJa</v>
      </c>
      <c r="U22" s="80"/>
      <c r="V22" s="80"/>
      <c r="W22" s="80"/>
    </row>
    <row r="23" spans="2:23" x14ac:dyDescent="0.25">
      <c r="I23" s="36"/>
    </row>
    <row r="24" spans="2:23" x14ac:dyDescent="0.25">
      <c r="P24" s="32"/>
    </row>
    <row r="25" spans="2:23" x14ac:dyDescent="0.25">
      <c r="P25" s="32"/>
      <c r="Q25" s="32"/>
    </row>
    <row r="26" spans="2:23" x14ac:dyDescent="0.25">
      <c r="P26" s="32"/>
      <c r="Q26" s="32"/>
    </row>
    <row r="27" spans="2:23" ht="17.25" customHeight="1" x14ac:dyDescent="0.25">
      <c r="B27" s="64" t="s">
        <v>689</v>
      </c>
      <c r="G27" s="65" t="s">
        <v>690</v>
      </c>
      <c r="H27" s="66"/>
      <c r="I27" s="66"/>
      <c r="J27" s="67"/>
      <c r="K27" s="66"/>
      <c r="L27" s="65" t="s">
        <v>691</v>
      </c>
      <c r="M27" s="66"/>
      <c r="P27" s="32"/>
      <c r="Q27" s="33"/>
    </row>
    <row r="28" spans="2:23" ht="17.25" customHeight="1" thickBot="1" x14ac:dyDescent="0.3">
      <c r="G28" s="69">
        <v>1.1000000000000001</v>
      </c>
      <c r="H28" s="69">
        <v>1.5</v>
      </c>
      <c r="I28" s="69">
        <v>2</v>
      </c>
      <c r="J28" s="70">
        <v>3</v>
      </c>
      <c r="K28" s="69">
        <v>0.95</v>
      </c>
      <c r="L28" s="69">
        <v>0.7</v>
      </c>
      <c r="M28" s="69"/>
      <c r="P28" s="32"/>
      <c r="Q28" s="34"/>
    </row>
    <row r="29" spans="2:23" ht="17.25" customHeight="1" x14ac:dyDescent="0.25">
      <c r="D29" s="137" t="s">
        <v>15</v>
      </c>
      <c r="E29" s="137"/>
      <c r="F29" s="31"/>
      <c r="G29" s="31"/>
      <c r="P29" s="32"/>
      <c r="Q29" s="32"/>
    </row>
    <row r="30" spans="2:23" ht="17.25" customHeight="1" x14ac:dyDescent="0.25">
      <c r="B30" s="71" t="s">
        <v>1</v>
      </c>
      <c r="C30" s="71" t="s">
        <v>45</v>
      </c>
      <c r="D30" s="67" t="s">
        <v>8</v>
      </c>
      <c r="E30" s="66" t="s">
        <v>47</v>
      </c>
      <c r="F30" s="66" t="s">
        <v>540</v>
      </c>
      <c r="G30" s="66" t="s">
        <v>692</v>
      </c>
      <c r="H30" s="66" t="s">
        <v>693</v>
      </c>
      <c r="I30" s="66" t="s">
        <v>694</v>
      </c>
      <c r="J30" s="67" t="s">
        <v>695</v>
      </c>
      <c r="K30" s="66" t="s">
        <v>703</v>
      </c>
      <c r="L30" s="66" t="s">
        <v>696</v>
      </c>
      <c r="M30" s="66" t="s">
        <v>697</v>
      </c>
      <c r="P30" s="32"/>
      <c r="Q30" s="33"/>
    </row>
    <row r="31" spans="2:23" ht="17.25" customHeight="1" thickBot="1" x14ac:dyDescent="0.3">
      <c r="B31" s="69" t="s">
        <v>52</v>
      </c>
      <c r="C31" s="69" t="s">
        <v>27</v>
      </c>
      <c r="D31" s="70" t="s">
        <v>38</v>
      </c>
      <c r="E31" s="69" t="s">
        <v>116</v>
      </c>
      <c r="F31" s="69" t="s">
        <v>117</v>
      </c>
      <c r="G31" s="69" t="s">
        <v>117</v>
      </c>
      <c r="H31" s="69" t="s">
        <v>117</v>
      </c>
      <c r="I31" s="69" t="s">
        <v>117</v>
      </c>
      <c r="J31" s="70" t="s">
        <v>117</v>
      </c>
      <c r="K31" s="69" t="s">
        <v>678</v>
      </c>
      <c r="L31" s="69" t="s">
        <v>678</v>
      </c>
      <c r="M31" s="69" t="s">
        <v>678</v>
      </c>
      <c r="P31" s="32"/>
      <c r="Q31" s="34"/>
    </row>
    <row r="32" spans="2:23" ht="17.25" customHeight="1" x14ac:dyDescent="0.25">
      <c r="B32" s="72"/>
      <c r="C32" s="72"/>
      <c r="D32" s="73" t="s">
        <v>101</v>
      </c>
      <c r="E32" s="74" t="str">
        <f>General!$D$12</f>
        <v>$/GJ</v>
      </c>
      <c r="F32" s="74" t="str">
        <f>General!$D$13</f>
        <v>PJ/year</v>
      </c>
      <c r="G32" s="74" t="str">
        <f>General!$D$13</f>
        <v>PJ/year</v>
      </c>
      <c r="H32" s="74" t="str">
        <f>General!$D$13</f>
        <v>PJ/year</v>
      </c>
      <c r="I32" s="74" t="str">
        <f>General!$D$13</f>
        <v>PJ/year</v>
      </c>
      <c r="J32" s="73" t="str">
        <f>General!$D$13</f>
        <v>PJ/year</v>
      </c>
      <c r="K32" s="74" t="str">
        <f>General!$D$13</f>
        <v>PJ/year</v>
      </c>
      <c r="L32" s="74" t="str">
        <f>General!$D$13</f>
        <v>PJ/year</v>
      </c>
      <c r="M32" s="74" t="str">
        <f>General!$D$13</f>
        <v>PJ/year</v>
      </c>
      <c r="P32" s="32"/>
      <c r="Q32" s="34"/>
    </row>
    <row r="33" spans="2:17" ht="17.25" customHeight="1" x14ac:dyDescent="0.25">
      <c r="B33" s="32" t="str">
        <f>$Q$18</f>
        <v>IMPBIOLOG01</v>
      </c>
      <c r="C33" s="32" t="str">
        <f>$R$18</f>
        <v>Import Wood</v>
      </c>
      <c r="D33" s="132" t="str">
        <f>Commodities!$D$32</f>
        <v>BIOLOG</v>
      </c>
      <c r="E33" s="35">
        <v>3.76</v>
      </c>
      <c r="F33" s="269">
        <f>'En.Bal-Primary-Transf.'!BF12/1000*41.868</f>
        <v>0.293076</v>
      </c>
      <c r="G33" s="270">
        <f>$F33*G$28</f>
        <v>0.32238360000000005</v>
      </c>
      <c r="H33" s="270">
        <f t="shared" ref="H33:J34" si="2">$G33*H$28</f>
        <v>0.4835754000000001</v>
      </c>
      <c r="I33" s="270">
        <f t="shared" si="2"/>
        <v>0.6447672000000001</v>
      </c>
      <c r="J33" s="271">
        <f t="shared" si="2"/>
        <v>0.9671508000000002</v>
      </c>
      <c r="K33" s="270">
        <f>$F33*K$28</f>
        <v>0.27842220000000001</v>
      </c>
      <c r="L33" s="270">
        <f>$F33*L$28</f>
        <v>0.20515319999999998</v>
      </c>
      <c r="M33" s="270">
        <f>$F33*M$28</f>
        <v>0</v>
      </c>
      <c r="P33" s="32"/>
    </row>
    <row r="34" spans="2:17" ht="17.25" customHeight="1" x14ac:dyDescent="0.25">
      <c r="B34" s="32" t="str">
        <f>$Q$19</f>
        <v>IMPBIOCHR01</v>
      </c>
      <c r="C34" s="32" t="str">
        <f>$R$19</f>
        <v>Import Charcoal</v>
      </c>
      <c r="D34" s="132" t="str">
        <f>Commodities!$D$50</f>
        <v>BIOCHR</v>
      </c>
      <c r="E34" s="35">
        <v>3.76</v>
      </c>
      <c r="F34" s="269">
        <f>'En.Bal-Primary-Transf.'!BK12/1000*41.868</f>
        <v>0</v>
      </c>
      <c r="G34" s="270">
        <f t="shared" ref="G34" si="3">$F34*G$28</f>
        <v>0</v>
      </c>
      <c r="H34" s="270">
        <f t="shared" si="2"/>
        <v>0</v>
      </c>
      <c r="I34" s="270">
        <f t="shared" si="2"/>
        <v>0</v>
      </c>
      <c r="J34" s="272">
        <f t="shared" si="2"/>
        <v>0</v>
      </c>
      <c r="K34" s="270">
        <f t="shared" ref="K34" si="4">F34*0.97</f>
        <v>0</v>
      </c>
      <c r="L34" s="270">
        <f>$F34*L$28</f>
        <v>0</v>
      </c>
      <c r="M34" s="270">
        <f>$F34*M$28</f>
        <v>0</v>
      </c>
      <c r="P34" s="32"/>
    </row>
    <row r="35" spans="2:17" ht="17.25" customHeight="1" x14ac:dyDescent="0.25">
      <c r="P35" s="32"/>
      <c r="Q35" s="32"/>
    </row>
    <row r="36" spans="2:17" ht="17.25" customHeight="1" x14ac:dyDescent="0.25">
      <c r="P36" s="32"/>
      <c r="Q36" s="32"/>
    </row>
    <row r="37" spans="2:17" ht="17.25" customHeight="1" x14ac:dyDescent="0.25">
      <c r="B37" s="64" t="s">
        <v>700</v>
      </c>
      <c r="G37" s="65" t="s">
        <v>690</v>
      </c>
      <c r="H37" s="66"/>
      <c r="I37" s="66"/>
      <c r="J37" s="67"/>
      <c r="K37" s="66"/>
      <c r="L37" s="65" t="s">
        <v>691</v>
      </c>
      <c r="M37" s="66"/>
      <c r="P37" s="32"/>
      <c r="Q37" s="33"/>
    </row>
    <row r="38" spans="2:17" ht="17.25" customHeight="1" thickBot="1" x14ac:dyDescent="0.3">
      <c r="G38" s="69">
        <v>5</v>
      </c>
      <c r="H38" s="69">
        <v>5</v>
      </c>
      <c r="I38" s="69">
        <v>5</v>
      </c>
      <c r="J38" s="70">
        <v>5</v>
      </c>
      <c r="K38" s="69">
        <v>0</v>
      </c>
      <c r="L38" s="69">
        <v>0</v>
      </c>
      <c r="M38" s="69">
        <v>0</v>
      </c>
      <c r="P38" s="32"/>
      <c r="Q38" s="34"/>
    </row>
    <row r="39" spans="2:17" ht="17.25" customHeight="1" x14ac:dyDescent="0.25">
      <c r="D39" s="137" t="s">
        <v>15</v>
      </c>
      <c r="E39" s="137"/>
      <c r="F39" s="31"/>
      <c r="G39" s="31"/>
      <c r="P39" s="32"/>
      <c r="Q39" s="32"/>
    </row>
    <row r="40" spans="2:17" ht="17.25" customHeight="1" x14ac:dyDescent="0.25">
      <c r="B40" s="71" t="s">
        <v>1</v>
      </c>
      <c r="C40" s="71" t="s">
        <v>45</v>
      </c>
      <c r="D40" s="67" t="s">
        <v>7</v>
      </c>
      <c r="E40" s="66" t="s">
        <v>47</v>
      </c>
      <c r="F40" s="66" t="s">
        <v>540</v>
      </c>
      <c r="G40" s="66" t="s">
        <v>692</v>
      </c>
      <c r="H40" s="66" t="s">
        <v>693</v>
      </c>
      <c r="I40" s="66" t="s">
        <v>694</v>
      </c>
      <c r="J40" s="67" t="s">
        <v>695</v>
      </c>
      <c r="K40" s="66" t="s">
        <v>703</v>
      </c>
      <c r="L40" s="66" t="s">
        <v>696</v>
      </c>
      <c r="M40" s="66" t="s">
        <v>697</v>
      </c>
      <c r="P40" s="32"/>
      <c r="Q40" s="33"/>
    </row>
    <row r="41" spans="2:17" ht="17.25" customHeight="1" thickBot="1" x14ac:dyDescent="0.3">
      <c r="B41" s="69" t="s">
        <v>52</v>
      </c>
      <c r="C41" s="69" t="s">
        <v>27</v>
      </c>
      <c r="D41" s="70" t="s">
        <v>37</v>
      </c>
      <c r="E41" s="69" t="s">
        <v>162</v>
      </c>
      <c r="F41" s="69" t="s">
        <v>163</v>
      </c>
      <c r="G41" s="69" t="s">
        <v>163</v>
      </c>
      <c r="H41" s="69" t="s">
        <v>163</v>
      </c>
      <c r="I41" s="69" t="s">
        <v>163</v>
      </c>
      <c r="J41" s="70" t="s">
        <v>163</v>
      </c>
      <c r="K41" s="69" t="s">
        <v>701</v>
      </c>
      <c r="L41" s="69" t="s">
        <v>701</v>
      </c>
      <c r="M41" s="69" t="s">
        <v>701</v>
      </c>
      <c r="P41" s="32"/>
      <c r="Q41" s="34"/>
    </row>
    <row r="42" spans="2:17" ht="17.25" customHeight="1" x14ac:dyDescent="0.25">
      <c r="B42" s="72" t="s">
        <v>108</v>
      </c>
      <c r="C42" s="72"/>
      <c r="D42" s="73" t="s">
        <v>101</v>
      </c>
      <c r="E42" s="73" t="str">
        <f>General!$D$12</f>
        <v>$/GJ</v>
      </c>
      <c r="F42" s="74" t="str">
        <f>General!B2&amp;"/year"</f>
        <v>PJ/year</v>
      </c>
      <c r="G42" s="74" t="str">
        <f>F42</f>
        <v>PJ/year</v>
      </c>
      <c r="H42" s="74" t="str">
        <f t="shared" ref="H42:M42" si="5">G42</f>
        <v>PJ/year</v>
      </c>
      <c r="I42" s="74" t="str">
        <f t="shared" si="5"/>
        <v>PJ/year</v>
      </c>
      <c r="J42" s="73" t="str">
        <f t="shared" si="5"/>
        <v>PJ/year</v>
      </c>
      <c r="K42" s="74" t="str">
        <f>I42</f>
        <v>PJ/year</v>
      </c>
      <c r="L42" s="74" t="str">
        <f>J42</f>
        <v>PJ/year</v>
      </c>
      <c r="M42" s="74" t="str">
        <f t="shared" si="5"/>
        <v>PJ/year</v>
      </c>
      <c r="P42" s="32"/>
      <c r="Q42" s="34"/>
    </row>
    <row r="43" spans="2:17" ht="17.25" customHeight="1" x14ac:dyDescent="0.25">
      <c r="B43" s="32" t="str">
        <f>$Q$20</f>
        <v>EXPBIOLOG01</v>
      </c>
      <c r="C43" s="32" t="str">
        <f>$R$20</f>
        <v>Export Wood</v>
      </c>
      <c r="D43" s="132" t="str">
        <f>Commodities!$D$32</f>
        <v>BIOLOG</v>
      </c>
      <c r="E43" s="199">
        <v>3.7223999999999999</v>
      </c>
      <c r="F43" s="35">
        <f>'En.Bal-Primary-Transf.'!BF14/1000*41.868</f>
        <v>0</v>
      </c>
      <c r="G43" s="35">
        <f>$F43*G$38</f>
        <v>0</v>
      </c>
      <c r="H43" s="35">
        <f>$F43*H$38</f>
        <v>0</v>
      </c>
      <c r="I43" s="35">
        <f>$F43*I$38</f>
        <v>0</v>
      </c>
      <c r="J43" s="54">
        <f>$F43*J$38</f>
        <v>0</v>
      </c>
      <c r="K43" s="269"/>
      <c r="L43" s="269"/>
      <c r="M43" s="269"/>
      <c r="P43" s="32"/>
    </row>
    <row r="44" spans="2:17" ht="17.25" customHeight="1" x14ac:dyDescent="0.25">
      <c r="B44" s="32" t="str">
        <f>$Q$21</f>
        <v>EXPBIOCHR01</v>
      </c>
      <c r="C44" s="32" t="str">
        <f>$R$21</f>
        <v>Export Charcoal</v>
      </c>
      <c r="D44" s="132" t="str">
        <f>Commodities!$D$50</f>
        <v>BIOCHR</v>
      </c>
      <c r="E44" s="199">
        <v>3.7223999999999999</v>
      </c>
      <c r="F44" s="35">
        <f>'En.Bal-Primary-Transf.'!BK13/1000*41.868</f>
        <v>0</v>
      </c>
      <c r="G44" s="35">
        <f t="shared" ref="G44:J44" si="6">$F44*G$38</f>
        <v>0</v>
      </c>
      <c r="H44" s="35">
        <f t="shared" si="6"/>
        <v>0</v>
      </c>
      <c r="I44" s="35">
        <f t="shared" si="6"/>
        <v>0</v>
      </c>
      <c r="J44" s="50">
        <f t="shared" si="6"/>
        <v>0</v>
      </c>
      <c r="K44" s="269"/>
      <c r="L44" s="269"/>
      <c r="M44" s="269"/>
      <c r="P44" s="32"/>
    </row>
    <row r="45" spans="2:17" x14ac:dyDescent="0.25">
      <c r="P45" s="32"/>
    </row>
    <row r="46" spans="2:17" x14ac:dyDescent="0.25">
      <c r="P46" s="32"/>
    </row>
    <row r="47" spans="2:17" x14ac:dyDescent="0.25">
      <c r="P47" s="32"/>
      <c r="Q47" s="32"/>
    </row>
    <row r="48" spans="2:17" x14ac:dyDescent="0.25">
      <c r="O48" s="35"/>
      <c r="Q48" s="32"/>
    </row>
    <row r="49" spans="15:17" x14ac:dyDescent="0.25">
      <c r="O49" s="35"/>
      <c r="Q49" s="32"/>
    </row>
    <row r="50" spans="15:17" x14ac:dyDescent="0.25">
      <c r="O50" s="35"/>
      <c r="Q50" s="3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2:Y20"/>
  <sheetViews>
    <sheetView zoomScale="70" zoomScaleNormal="70" workbookViewId="0">
      <selection sqref="A1:XFD1048576"/>
    </sheetView>
  </sheetViews>
  <sheetFormatPr defaultRowHeight="13.8" x14ac:dyDescent="0.25"/>
  <cols>
    <col min="1" max="1" width="6.44140625" style="32" customWidth="1"/>
    <col min="2" max="2" width="22.44140625" style="32" customWidth="1"/>
    <col min="3" max="3" width="40.33203125" style="32" customWidth="1"/>
    <col min="4" max="5" width="18.6640625" style="32" customWidth="1"/>
    <col min="6" max="6" width="17.44140625" style="32" customWidth="1"/>
    <col min="7" max="7" width="21.5546875" style="35" customWidth="1"/>
    <col min="8" max="8" width="17.44140625" style="35" customWidth="1"/>
    <col min="9" max="9" width="20.33203125" style="35" customWidth="1"/>
    <col min="10" max="10" width="27.109375" style="35" bestFit="1" customWidth="1"/>
    <col min="11" max="11" width="15.6640625" style="35" bestFit="1" customWidth="1"/>
    <col min="12" max="12" width="12.33203125" style="32" bestFit="1" customWidth="1"/>
    <col min="13" max="13" width="15.109375" style="32" bestFit="1" customWidth="1"/>
    <col min="14" max="14" width="21.109375" style="35" bestFit="1" customWidth="1"/>
    <col min="15" max="15" width="17" style="35" bestFit="1" customWidth="1"/>
    <col min="16" max="16" width="9.109375" style="32"/>
    <col min="17" max="17" width="15.6640625" style="32" customWidth="1"/>
    <col min="18" max="18" width="13.44140625" style="32" customWidth="1"/>
    <col min="19" max="19" width="33.109375" style="32" customWidth="1"/>
    <col min="20" max="20" width="39.109375" style="32" customWidth="1"/>
    <col min="21" max="21" width="11.44140625" style="32" customWidth="1"/>
    <col min="22" max="22" width="10.5546875" style="32" customWidth="1"/>
    <col min="23" max="23" width="35" style="32" bestFit="1" customWidth="1"/>
    <col min="24" max="24" width="23.44140625" style="32" bestFit="1" customWidth="1"/>
    <col min="25" max="25" width="11.6640625" style="32" customWidth="1"/>
    <col min="26" max="252" width="9.109375" style="32"/>
    <col min="253" max="253" width="6.44140625" style="32" customWidth="1"/>
    <col min="254" max="254" width="8.44140625" style="32" customWidth="1"/>
    <col min="255" max="255" width="22.44140625" style="32" customWidth="1"/>
    <col min="256" max="256" width="40.33203125" style="32" customWidth="1"/>
    <col min="257" max="258" width="18.6640625" style="32" customWidth="1"/>
    <col min="259" max="259" width="17.44140625" style="32" customWidth="1"/>
    <col min="260" max="260" width="20.33203125" style="32" customWidth="1"/>
    <col min="261" max="261" width="19" style="32" customWidth="1"/>
    <col min="262" max="262" width="14.88671875" style="32" customWidth="1"/>
    <col min="263" max="263" width="27.109375" style="32" bestFit="1" customWidth="1"/>
    <col min="264" max="264" width="15.6640625" style="32" bestFit="1" customWidth="1"/>
    <col min="265" max="265" width="12.33203125" style="32" bestFit="1" customWidth="1"/>
    <col min="266" max="266" width="15.109375" style="32" bestFit="1" customWidth="1"/>
    <col min="267" max="267" width="21.109375" style="32" bestFit="1" customWidth="1"/>
    <col min="268" max="271" width="9.109375" style="32"/>
    <col min="272" max="272" width="15.6640625" style="32" customWidth="1"/>
    <col min="273" max="273" width="13.44140625" style="32" customWidth="1"/>
    <col min="274" max="274" width="23.6640625" style="32" customWidth="1"/>
    <col min="275" max="275" width="37.5546875" style="32" customWidth="1"/>
    <col min="276" max="276" width="11.44140625" style="32" customWidth="1"/>
    <col min="277" max="277" width="10.5546875" style="32" customWidth="1"/>
    <col min="278" max="278" width="9.109375" style="32"/>
    <col min="279" max="279" width="23.44140625" style="32" bestFit="1" customWidth="1"/>
    <col min="280" max="281" width="9.109375" style="32"/>
    <col min="282" max="282" width="20.5546875" style="32" bestFit="1" customWidth="1"/>
    <col min="283" max="508" width="9.109375" style="32"/>
    <col min="509" max="509" width="6.44140625" style="32" customWidth="1"/>
    <col min="510" max="510" width="8.44140625" style="32" customWidth="1"/>
    <col min="511" max="511" width="22.44140625" style="32" customWidth="1"/>
    <col min="512" max="512" width="40.33203125" style="32" customWidth="1"/>
    <col min="513" max="514" width="18.6640625" style="32" customWidth="1"/>
    <col min="515" max="515" width="17.44140625" style="32" customWidth="1"/>
    <col min="516" max="516" width="20.33203125" style="32" customWidth="1"/>
    <col min="517" max="517" width="19" style="32" customWidth="1"/>
    <col min="518" max="518" width="14.88671875" style="32" customWidth="1"/>
    <col min="519" max="519" width="27.109375" style="32" bestFit="1" customWidth="1"/>
    <col min="520" max="520" width="15.6640625" style="32" bestFit="1" customWidth="1"/>
    <col min="521" max="521" width="12.33203125" style="32" bestFit="1" customWidth="1"/>
    <col min="522" max="522" width="15.109375" style="32" bestFit="1" customWidth="1"/>
    <col min="523" max="523" width="21.109375" style="32" bestFit="1" customWidth="1"/>
    <col min="524" max="527" width="9.109375" style="32"/>
    <col min="528" max="528" width="15.6640625" style="32" customWidth="1"/>
    <col min="529" max="529" width="13.44140625" style="32" customWidth="1"/>
    <col min="530" max="530" width="23.6640625" style="32" customWidth="1"/>
    <col min="531" max="531" width="37.5546875" style="32" customWidth="1"/>
    <col min="532" max="532" width="11.44140625" style="32" customWidth="1"/>
    <col min="533" max="533" width="10.5546875" style="32" customWidth="1"/>
    <col min="534" max="534" width="9.109375" style="32"/>
    <col min="535" max="535" width="23.44140625" style="32" bestFit="1" customWidth="1"/>
    <col min="536" max="537" width="9.109375" style="32"/>
    <col min="538" max="538" width="20.5546875" style="32" bestFit="1" customWidth="1"/>
    <col min="539" max="764" width="9.109375" style="32"/>
    <col min="765" max="765" width="6.44140625" style="32" customWidth="1"/>
    <col min="766" max="766" width="8.44140625" style="32" customWidth="1"/>
    <col min="767" max="767" width="22.44140625" style="32" customWidth="1"/>
    <col min="768" max="768" width="40.33203125" style="32" customWidth="1"/>
    <col min="769" max="770" width="18.6640625" style="32" customWidth="1"/>
    <col min="771" max="771" width="17.44140625" style="32" customWidth="1"/>
    <col min="772" max="772" width="20.33203125" style="32" customWidth="1"/>
    <col min="773" max="773" width="19" style="32" customWidth="1"/>
    <col min="774" max="774" width="14.88671875" style="32" customWidth="1"/>
    <col min="775" max="775" width="27.109375" style="32" bestFit="1" customWidth="1"/>
    <col min="776" max="776" width="15.6640625" style="32" bestFit="1" customWidth="1"/>
    <col min="777" max="777" width="12.33203125" style="32" bestFit="1" customWidth="1"/>
    <col min="778" max="778" width="15.109375" style="32" bestFit="1" customWidth="1"/>
    <col min="779" max="779" width="21.109375" style="32" bestFit="1" customWidth="1"/>
    <col min="780" max="783" width="9.109375" style="32"/>
    <col min="784" max="784" width="15.6640625" style="32" customWidth="1"/>
    <col min="785" max="785" width="13.44140625" style="32" customWidth="1"/>
    <col min="786" max="786" width="23.6640625" style="32" customWidth="1"/>
    <col min="787" max="787" width="37.5546875" style="32" customWidth="1"/>
    <col min="788" max="788" width="11.44140625" style="32" customWidth="1"/>
    <col min="789" max="789" width="10.5546875" style="32" customWidth="1"/>
    <col min="790" max="790" width="9.109375" style="32"/>
    <col min="791" max="791" width="23.44140625" style="32" bestFit="1" customWidth="1"/>
    <col min="792" max="793" width="9.109375" style="32"/>
    <col min="794" max="794" width="20.5546875" style="32" bestFit="1" customWidth="1"/>
    <col min="795" max="1020" width="9.109375" style="32"/>
    <col min="1021" max="1021" width="6.44140625" style="32" customWidth="1"/>
    <col min="1022" max="1022" width="8.44140625" style="32" customWidth="1"/>
    <col min="1023" max="1023" width="22.44140625" style="32" customWidth="1"/>
    <col min="1024" max="1024" width="40.33203125" style="32" customWidth="1"/>
    <col min="1025" max="1026" width="18.6640625" style="32" customWidth="1"/>
    <col min="1027" max="1027" width="17.44140625" style="32" customWidth="1"/>
    <col min="1028" max="1028" width="20.33203125" style="32" customWidth="1"/>
    <col min="1029" max="1029" width="19" style="32" customWidth="1"/>
    <col min="1030" max="1030" width="14.88671875" style="32" customWidth="1"/>
    <col min="1031" max="1031" width="27.109375" style="32" bestFit="1" customWidth="1"/>
    <col min="1032" max="1032" width="15.6640625" style="32" bestFit="1" customWidth="1"/>
    <col min="1033" max="1033" width="12.33203125" style="32" bestFit="1" customWidth="1"/>
    <col min="1034" max="1034" width="15.109375" style="32" bestFit="1" customWidth="1"/>
    <col min="1035" max="1035" width="21.109375" style="32" bestFit="1" customWidth="1"/>
    <col min="1036" max="1039" width="9.109375" style="32"/>
    <col min="1040" max="1040" width="15.6640625" style="32" customWidth="1"/>
    <col min="1041" max="1041" width="13.44140625" style="32" customWidth="1"/>
    <col min="1042" max="1042" width="23.6640625" style="32" customWidth="1"/>
    <col min="1043" max="1043" width="37.5546875" style="32" customWidth="1"/>
    <col min="1044" max="1044" width="11.44140625" style="32" customWidth="1"/>
    <col min="1045" max="1045" width="10.5546875" style="32" customWidth="1"/>
    <col min="1046" max="1046" width="9.109375" style="32"/>
    <col min="1047" max="1047" width="23.44140625" style="32" bestFit="1" customWidth="1"/>
    <col min="1048" max="1049" width="9.109375" style="32"/>
    <col min="1050" max="1050" width="20.5546875" style="32" bestFit="1" customWidth="1"/>
    <col min="1051" max="1276" width="9.109375" style="32"/>
    <col min="1277" max="1277" width="6.44140625" style="32" customWidth="1"/>
    <col min="1278" max="1278" width="8.44140625" style="32" customWidth="1"/>
    <col min="1279" max="1279" width="22.44140625" style="32" customWidth="1"/>
    <col min="1280" max="1280" width="40.33203125" style="32" customWidth="1"/>
    <col min="1281" max="1282" width="18.6640625" style="32" customWidth="1"/>
    <col min="1283" max="1283" width="17.44140625" style="32" customWidth="1"/>
    <col min="1284" max="1284" width="20.33203125" style="32" customWidth="1"/>
    <col min="1285" max="1285" width="19" style="32" customWidth="1"/>
    <col min="1286" max="1286" width="14.88671875" style="32" customWidth="1"/>
    <col min="1287" max="1287" width="27.109375" style="32" bestFit="1" customWidth="1"/>
    <col min="1288" max="1288" width="15.6640625" style="32" bestFit="1" customWidth="1"/>
    <col min="1289" max="1289" width="12.33203125" style="32" bestFit="1" customWidth="1"/>
    <col min="1290" max="1290" width="15.109375" style="32" bestFit="1" customWidth="1"/>
    <col min="1291" max="1291" width="21.109375" style="32" bestFit="1" customWidth="1"/>
    <col min="1292" max="1295" width="9.109375" style="32"/>
    <col min="1296" max="1296" width="15.6640625" style="32" customWidth="1"/>
    <col min="1297" max="1297" width="13.44140625" style="32" customWidth="1"/>
    <col min="1298" max="1298" width="23.6640625" style="32" customWidth="1"/>
    <col min="1299" max="1299" width="37.5546875" style="32" customWidth="1"/>
    <col min="1300" max="1300" width="11.44140625" style="32" customWidth="1"/>
    <col min="1301" max="1301" width="10.5546875" style="32" customWidth="1"/>
    <col min="1302" max="1302" width="9.109375" style="32"/>
    <col min="1303" max="1303" width="23.44140625" style="32" bestFit="1" customWidth="1"/>
    <col min="1304" max="1305" width="9.109375" style="32"/>
    <col min="1306" max="1306" width="20.5546875" style="32" bestFit="1" customWidth="1"/>
    <col min="1307" max="1532" width="9.109375" style="32"/>
    <col min="1533" max="1533" width="6.44140625" style="32" customWidth="1"/>
    <col min="1534" max="1534" width="8.44140625" style="32" customWidth="1"/>
    <col min="1535" max="1535" width="22.44140625" style="32" customWidth="1"/>
    <col min="1536" max="1536" width="40.33203125" style="32" customWidth="1"/>
    <col min="1537" max="1538" width="18.6640625" style="32" customWidth="1"/>
    <col min="1539" max="1539" width="17.44140625" style="32" customWidth="1"/>
    <col min="1540" max="1540" width="20.33203125" style="32" customWidth="1"/>
    <col min="1541" max="1541" width="19" style="32" customWidth="1"/>
    <col min="1542" max="1542" width="14.88671875" style="32" customWidth="1"/>
    <col min="1543" max="1543" width="27.109375" style="32" bestFit="1" customWidth="1"/>
    <col min="1544" max="1544" width="15.6640625" style="32" bestFit="1" customWidth="1"/>
    <col min="1545" max="1545" width="12.33203125" style="32" bestFit="1" customWidth="1"/>
    <col min="1546" max="1546" width="15.109375" style="32" bestFit="1" customWidth="1"/>
    <col min="1547" max="1547" width="21.109375" style="32" bestFit="1" customWidth="1"/>
    <col min="1548" max="1551" width="9.109375" style="32"/>
    <col min="1552" max="1552" width="15.6640625" style="32" customWidth="1"/>
    <col min="1553" max="1553" width="13.44140625" style="32" customWidth="1"/>
    <col min="1554" max="1554" width="23.6640625" style="32" customWidth="1"/>
    <col min="1555" max="1555" width="37.5546875" style="32" customWidth="1"/>
    <col min="1556" max="1556" width="11.44140625" style="32" customWidth="1"/>
    <col min="1557" max="1557" width="10.5546875" style="32" customWidth="1"/>
    <col min="1558" max="1558" width="9.109375" style="32"/>
    <col min="1559" max="1559" width="23.44140625" style="32" bestFit="1" customWidth="1"/>
    <col min="1560" max="1561" width="9.109375" style="32"/>
    <col min="1562" max="1562" width="20.5546875" style="32" bestFit="1" customWidth="1"/>
    <col min="1563" max="1788" width="9.109375" style="32"/>
    <col min="1789" max="1789" width="6.44140625" style="32" customWidth="1"/>
    <col min="1790" max="1790" width="8.44140625" style="32" customWidth="1"/>
    <col min="1791" max="1791" width="22.44140625" style="32" customWidth="1"/>
    <col min="1792" max="1792" width="40.33203125" style="32" customWidth="1"/>
    <col min="1793" max="1794" width="18.6640625" style="32" customWidth="1"/>
    <col min="1795" max="1795" width="17.44140625" style="32" customWidth="1"/>
    <col min="1796" max="1796" width="20.33203125" style="32" customWidth="1"/>
    <col min="1797" max="1797" width="19" style="32" customWidth="1"/>
    <col min="1798" max="1798" width="14.88671875" style="32" customWidth="1"/>
    <col min="1799" max="1799" width="27.109375" style="32" bestFit="1" customWidth="1"/>
    <col min="1800" max="1800" width="15.6640625" style="32" bestFit="1" customWidth="1"/>
    <col min="1801" max="1801" width="12.33203125" style="32" bestFit="1" customWidth="1"/>
    <col min="1802" max="1802" width="15.109375" style="32" bestFit="1" customWidth="1"/>
    <col min="1803" max="1803" width="21.109375" style="32" bestFit="1" customWidth="1"/>
    <col min="1804" max="1807" width="9.109375" style="32"/>
    <col min="1808" max="1808" width="15.6640625" style="32" customWidth="1"/>
    <col min="1809" max="1809" width="13.44140625" style="32" customWidth="1"/>
    <col min="1810" max="1810" width="23.6640625" style="32" customWidth="1"/>
    <col min="1811" max="1811" width="37.5546875" style="32" customWidth="1"/>
    <col min="1812" max="1812" width="11.44140625" style="32" customWidth="1"/>
    <col min="1813" max="1813" width="10.5546875" style="32" customWidth="1"/>
    <col min="1814" max="1814" width="9.109375" style="32"/>
    <col min="1815" max="1815" width="23.44140625" style="32" bestFit="1" customWidth="1"/>
    <col min="1816" max="1817" width="9.109375" style="32"/>
    <col min="1818" max="1818" width="20.5546875" style="32" bestFit="1" customWidth="1"/>
    <col min="1819" max="2044" width="9.109375" style="32"/>
    <col min="2045" max="2045" width="6.44140625" style="32" customWidth="1"/>
    <col min="2046" max="2046" width="8.44140625" style="32" customWidth="1"/>
    <col min="2047" max="2047" width="22.44140625" style="32" customWidth="1"/>
    <col min="2048" max="2048" width="40.33203125" style="32" customWidth="1"/>
    <col min="2049" max="2050" width="18.6640625" style="32" customWidth="1"/>
    <col min="2051" max="2051" width="17.44140625" style="32" customWidth="1"/>
    <col min="2052" max="2052" width="20.33203125" style="32" customWidth="1"/>
    <col min="2053" max="2053" width="19" style="32" customWidth="1"/>
    <col min="2054" max="2054" width="14.88671875" style="32" customWidth="1"/>
    <col min="2055" max="2055" width="27.109375" style="32" bestFit="1" customWidth="1"/>
    <col min="2056" max="2056" width="15.6640625" style="32" bestFit="1" customWidth="1"/>
    <col min="2057" max="2057" width="12.33203125" style="32" bestFit="1" customWidth="1"/>
    <col min="2058" max="2058" width="15.109375" style="32" bestFit="1" customWidth="1"/>
    <col min="2059" max="2059" width="21.109375" style="32" bestFit="1" customWidth="1"/>
    <col min="2060" max="2063" width="9.109375" style="32"/>
    <col min="2064" max="2064" width="15.6640625" style="32" customWidth="1"/>
    <col min="2065" max="2065" width="13.44140625" style="32" customWidth="1"/>
    <col min="2066" max="2066" width="23.6640625" style="32" customWidth="1"/>
    <col min="2067" max="2067" width="37.5546875" style="32" customWidth="1"/>
    <col min="2068" max="2068" width="11.44140625" style="32" customWidth="1"/>
    <col min="2069" max="2069" width="10.5546875" style="32" customWidth="1"/>
    <col min="2070" max="2070" width="9.109375" style="32"/>
    <col min="2071" max="2071" width="23.44140625" style="32" bestFit="1" customWidth="1"/>
    <col min="2072" max="2073" width="9.109375" style="32"/>
    <col min="2074" max="2074" width="20.5546875" style="32" bestFit="1" customWidth="1"/>
    <col min="2075" max="2300" width="9.109375" style="32"/>
    <col min="2301" max="2301" width="6.44140625" style="32" customWidth="1"/>
    <col min="2302" max="2302" width="8.44140625" style="32" customWidth="1"/>
    <col min="2303" max="2303" width="22.44140625" style="32" customWidth="1"/>
    <col min="2304" max="2304" width="40.33203125" style="32" customWidth="1"/>
    <col min="2305" max="2306" width="18.6640625" style="32" customWidth="1"/>
    <col min="2307" max="2307" width="17.44140625" style="32" customWidth="1"/>
    <col min="2308" max="2308" width="20.33203125" style="32" customWidth="1"/>
    <col min="2309" max="2309" width="19" style="32" customWidth="1"/>
    <col min="2310" max="2310" width="14.88671875" style="32" customWidth="1"/>
    <col min="2311" max="2311" width="27.109375" style="32" bestFit="1" customWidth="1"/>
    <col min="2312" max="2312" width="15.6640625" style="32" bestFit="1" customWidth="1"/>
    <col min="2313" max="2313" width="12.33203125" style="32" bestFit="1" customWidth="1"/>
    <col min="2314" max="2314" width="15.109375" style="32" bestFit="1" customWidth="1"/>
    <col min="2315" max="2315" width="21.109375" style="32" bestFit="1" customWidth="1"/>
    <col min="2316" max="2319" width="9.109375" style="32"/>
    <col min="2320" max="2320" width="15.6640625" style="32" customWidth="1"/>
    <col min="2321" max="2321" width="13.44140625" style="32" customWidth="1"/>
    <col min="2322" max="2322" width="23.6640625" style="32" customWidth="1"/>
    <col min="2323" max="2323" width="37.5546875" style="32" customWidth="1"/>
    <col min="2324" max="2324" width="11.44140625" style="32" customWidth="1"/>
    <col min="2325" max="2325" width="10.5546875" style="32" customWidth="1"/>
    <col min="2326" max="2326" width="9.109375" style="32"/>
    <col min="2327" max="2327" width="23.44140625" style="32" bestFit="1" customWidth="1"/>
    <col min="2328" max="2329" width="9.109375" style="32"/>
    <col min="2330" max="2330" width="20.5546875" style="32" bestFit="1" customWidth="1"/>
    <col min="2331" max="2556" width="9.109375" style="32"/>
    <col min="2557" max="2557" width="6.44140625" style="32" customWidth="1"/>
    <col min="2558" max="2558" width="8.44140625" style="32" customWidth="1"/>
    <col min="2559" max="2559" width="22.44140625" style="32" customWidth="1"/>
    <col min="2560" max="2560" width="40.33203125" style="32" customWidth="1"/>
    <col min="2561" max="2562" width="18.6640625" style="32" customWidth="1"/>
    <col min="2563" max="2563" width="17.44140625" style="32" customWidth="1"/>
    <col min="2564" max="2564" width="20.33203125" style="32" customWidth="1"/>
    <col min="2565" max="2565" width="19" style="32" customWidth="1"/>
    <col min="2566" max="2566" width="14.88671875" style="32" customWidth="1"/>
    <col min="2567" max="2567" width="27.109375" style="32" bestFit="1" customWidth="1"/>
    <col min="2568" max="2568" width="15.6640625" style="32" bestFit="1" customWidth="1"/>
    <col min="2569" max="2569" width="12.33203125" style="32" bestFit="1" customWidth="1"/>
    <col min="2570" max="2570" width="15.109375" style="32" bestFit="1" customWidth="1"/>
    <col min="2571" max="2571" width="21.109375" style="32" bestFit="1" customWidth="1"/>
    <col min="2572" max="2575" width="9.109375" style="32"/>
    <col min="2576" max="2576" width="15.6640625" style="32" customWidth="1"/>
    <col min="2577" max="2577" width="13.44140625" style="32" customWidth="1"/>
    <col min="2578" max="2578" width="23.6640625" style="32" customWidth="1"/>
    <col min="2579" max="2579" width="37.5546875" style="32" customWidth="1"/>
    <col min="2580" max="2580" width="11.44140625" style="32" customWidth="1"/>
    <col min="2581" max="2581" width="10.5546875" style="32" customWidth="1"/>
    <col min="2582" max="2582" width="9.109375" style="32"/>
    <col min="2583" max="2583" width="23.44140625" style="32" bestFit="1" customWidth="1"/>
    <col min="2584" max="2585" width="9.109375" style="32"/>
    <col min="2586" max="2586" width="20.5546875" style="32" bestFit="1" customWidth="1"/>
    <col min="2587" max="2812" width="9.109375" style="32"/>
    <col min="2813" max="2813" width="6.44140625" style="32" customWidth="1"/>
    <col min="2814" max="2814" width="8.44140625" style="32" customWidth="1"/>
    <col min="2815" max="2815" width="22.44140625" style="32" customWidth="1"/>
    <col min="2816" max="2816" width="40.33203125" style="32" customWidth="1"/>
    <col min="2817" max="2818" width="18.6640625" style="32" customWidth="1"/>
    <col min="2819" max="2819" width="17.44140625" style="32" customWidth="1"/>
    <col min="2820" max="2820" width="20.33203125" style="32" customWidth="1"/>
    <col min="2821" max="2821" width="19" style="32" customWidth="1"/>
    <col min="2822" max="2822" width="14.88671875" style="32" customWidth="1"/>
    <col min="2823" max="2823" width="27.109375" style="32" bestFit="1" customWidth="1"/>
    <col min="2824" max="2824" width="15.6640625" style="32" bestFit="1" customWidth="1"/>
    <col min="2825" max="2825" width="12.33203125" style="32" bestFit="1" customWidth="1"/>
    <col min="2826" max="2826" width="15.109375" style="32" bestFit="1" customWidth="1"/>
    <col min="2827" max="2827" width="21.109375" style="32" bestFit="1" customWidth="1"/>
    <col min="2828" max="2831" width="9.109375" style="32"/>
    <col min="2832" max="2832" width="15.6640625" style="32" customWidth="1"/>
    <col min="2833" max="2833" width="13.44140625" style="32" customWidth="1"/>
    <col min="2834" max="2834" width="23.6640625" style="32" customWidth="1"/>
    <col min="2835" max="2835" width="37.5546875" style="32" customWidth="1"/>
    <col min="2836" max="2836" width="11.44140625" style="32" customWidth="1"/>
    <col min="2837" max="2837" width="10.5546875" style="32" customWidth="1"/>
    <col min="2838" max="2838" width="9.109375" style="32"/>
    <col min="2839" max="2839" width="23.44140625" style="32" bestFit="1" customWidth="1"/>
    <col min="2840" max="2841" width="9.109375" style="32"/>
    <col min="2842" max="2842" width="20.5546875" style="32" bestFit="1" customWidth="1"/>
    <col min="2843" max="3068" width="9.109375" style="32"/>
    <col min="3069" max="3069" width="6.44140625" style="32" customWidth="1"/>
    <col min="3070" max="3070" width="8.44140625" style="32" customWidth="1"/>
    <col min="3071" max="3071" width="22.44140625" style="32" customWidth="1"/>
    <col min="3072" max="3072" width="40.33203125" style="32" customWidth="1"/>
    <col min="3073" max="3074" width="18.6640625" style="32" customWidth="1"/>
    <col min="3075" max="3075" width="17.44140625" style="32" customWidth="1"/>
    <col min="3076" max="3076" width="20.33203125" style="32" customWidth="1"/>
    <col min="3077" max="3077" width="19" style="32" customWidth="1"/>
    <col min="3078" max="3078" width="14.88671875" style="32" customWidth="1"/>
    <col min="3079" max="3079" width="27.109375" style="32" bestFit="1" customWidth="1"/>
    <col min="3080" max="3080" width="15.6640625" style="32" bestFit="1" customWidth="1"/>
    <col min="3081" max="3081" width="12.33203125" style="32" bestFit="1" customWidth="1"/>
    <col min="3082" max="3082" width="15.109375" style="32" bestFit="1" customWidth="1"/>
    <col min="3083" max="3083" width="21.109375" style="32" bestFit="1" customWidth="1"/>
    <col min="3084" max="3087" width="9.109375" style="32"/>
    <col min="3088" max="3088" width="15.6640625" style="32" customWidth="1"/>
    <col min="3089" max="3089" width="13.44140625" style="32" customWidth="1"/>
    <col min="3090" max="3090" width="23.6640625" style="32" customWidth="1"/>
    <col min="3091" max="3091" width="37.5546875" style="32" customWidth="1"/>
    <col min="3092" max="3092" width="11.44140625" style="32" customWidth="1"/>
    <col min="3093" max="3093" width="10.5546875" style="32" customWidth="1"/>
    <col min="3094" max="3094" width="9.109375" style="32"/>
    <col min="3095" max="3095" width="23.44140625" style="32" bestFit="1" customWidth="1"/>
    <col min="3096" max="3097" width="9.109375" style="32"/>
    <col min="3098" max="3098" width="20.5546875" style="32" bestFit="1" customWidth="1"/>
    <col min="3099" max="3324" width="9.109375" style="32"/>
    <col min="3325" max="3325" width="6.44140625" style="32" customWidth="1"/>
    <col min="3326" max="3326" width="8.44140625" style="32" customWidth="1"/>
    <col min="3327" max="3327" width="22.44140625" style="32" customWidth="1"/>
    <col min="3328" max="3328" width="40.33203125" style="32" customWidth="1"/>
    <col min="3329" max="3330" width="18.6640625" style="32" customWidth="1"/>
    <col min="3331" max="3331" width="17.44140625" style="32" customWidth="1"/>
    <col min="3332" max="3332" width="20.33203125" style="32" customWidth="1"/>
    <col min="3333" max="3333" width="19" style="32" customWidth="1"/>
    <col min="3334" max="3334" width="14.88671875" style="32" customWidth="1"/>
    <col min="3335" max="3335" width="27.109375" style="32" bestFit="1" customWidth="1"/>
    <col min="3336" max="3336" width="15.6640625" style="32" bestFit="1" customWidth="1"/>
    <col min="3337" max="3337" width="12.33203125" style="32" bestFit="1" customWidth="1"/>
    <col min="3338" max="3338" width="15.109375" style="32" bestFit="1" customWidth="1"/>
    <col min="3339" max="3339" width="21.109375" style="32" bestFit="1" customWidth="1"/>
    <col min="3340" max="3343" width="9.109375" style="32"/>
    <col min="3344" max="3344" width="15.6640625" style="32" customWidth="1"/>
    <col min="3345" max="3345" width="13.44140625" style="32" customWidth="1"/>
    <col min="3346" max="3346" width="23.6640625" style="32" customWidth="1"/>
    <col min="3347" max="3347" width="37.5546875" style="32" customWidth="1"/>
    <col min="3348" max="3348" width="11.44140625" style="32" customWidth="1"/>
    <col min="3349" max="3349" width="10.5546875" style="32" customWidth="1"/>
    <col min="3350" max="3350" width="9.109375" style="32"/>
    <col min="3351" max="3351" width="23.44140625" style="32" bestFit="1" customWidth="1"/>
    <col min="3352" max="3353" width="9.109375" style="32"/>
    <col min="3354" max="3354" width="20.5546875" style="32" bestFit="1" customWidth="1"/>
    <col min="3355" max="3580" width="9.109375" style="32"/>
    <col min="3581" max="3581" width="6.44140625" style="32" customWidth="1"/>
    <col min="3582" max="3582" width="8.44140625" style="32" customWidth="1"/>
    <col min="3583" max="3583" width="22.44140625" style="32" customWidth="1"/>
    <col min="3584" max="3584" width="40.33203125" style="32" customWidth="1"/>
    <col min="3585" max="3586" width="18.6640625" style="32" customWidth="1"/>
    <col min="3587" max="3587" width="17.44140625" style="32" customWidth="1"/>
    <col min="3588" max="3588" width="20.33203125" style="32" customWidth="1"/>
    <col min="3589" max="3589" width="19" style="32" customWidth="1"/>
    <col min="3590" max="3590" width="14.88671875" style="32" customWidth="1"/>
    <col min="3591" max="3591" width="27.109375" style="32" bestFit="1" customWidth="1"/>
    <col min="3592" max="3592" width="15.6640625" style="32" bestFit="1" customWidth="1"/>
    <col min="3593" max="3593" width="12.33203125" style="32" bestFit="1" customWidth="1"/>
    <col min="3594" max="3594" width="15.109375" style="32" bestFit="1" customWidth="1"/>
    <col min="3595" max="3595" width="21.109375" style="32" bestFit="1" customWidth="1"/>
    <col min="3596" max="3599" width="9.109375" style="32"/>
    <col min="3600" max="3600" width="15.6640625" style="32" customWidth="1"/>
    <col min="3601" max="3601" width="13.44140625" style="32" customWidth="1"/>
    <col min="3602" max="3602" width="23.6640625" style="32" customWidth="1"/>
    <col min="3603" max="3603" width="37.5546875" style="32" customWidth="1"/>
    <col min="3604" max="3604" width="11.44140625" style="32" customWidth="1"/>
    <col min="3605" max="3605" width="10.5546875" style="32" customWidth="1"/>
    <col min="3606" max="3606" width="9.109375" style="32"/>
    <col min="3607" max="3607" width="23.44140625" style="32" bestFit="1" customWidth="1"/>
    <col min="3608" max="3609" width="9.109375" style="32"/>
    <col min="3610" max="3610" width="20.5546875" style="32" bestFit="1" customWidth="1"/>
    <col min="3611" max="3836" width="9.109375" style="32"/>
    <col min="3837" max="3837" width="6.44140625" style="32" customWidth="1"/>
    <col min="3838" max="3838" width="8.44140625" style="32" customWidth="1"/>
    <col min="3839" max="3839" width="22.44140625" style="32" customWidth="1"/>
    <col min="3840" max="3840" width="40.33203125" style="32" customWidth="1"/>
    <col min="3841" max="3842" width="18.6640625" style="32" customWidth="1"/>
    <col min="3843" max="3843" width="17.44140625" style="32" customWidth="1"/>
    <col min="3844" max="3844" width="20.33203125" style="32" customWidth="1"/>
    <col min="3845" max="3845" width="19" style="32" customWidth="1"/>
    <col min="3846" max="3846" width="14.88671875" style="32" customWidth="1"/>
    <col min="3847" max="3847" width="27.109375" style="32" bestFit="1" customWidth="1"/>
    <col min="3848" max="3848" width="15.6640625" style="32" bestFit="1" customWidth="1"/>
    <col min="3849" max="3849" width="12.33203125" style="32" bestFit="1" customWidth="1"/>
    <col min="3850" max="3850" width="15.109375" style="32" bestFit="1" customWidth="1"/>
    <col min="3851" max="3851" width="21.109375" style="32" bestFit="1" customWidth="1"/>
    <col min="3852" max="3855" width="9.109375" style="32"/>
    <col min="3856" max="3856" width="15.6640625" style="32" customWidth="1"/>
    <col min="3857" max="3857" width="13.44140625" style="32" customWidth="1"/>
    <col min="3858" max="3858" width="23.6640625" style="32" customWidth="1"/>
    <col min="3859" max="3859" width="37.5546875" style="32" customWidth="1"/>
    <col min="3860" max="3860" width="11.44140625" style="32" customWidth="1"/>
    <col min="3861" max="3861" width="10.5546875" style="32" customWidth="1"/>
    <col min="3862" max="3862" width="9.109375" style="32"/>
    <col min="3863" max="3863" width="23.44140625" style="32" bestFit="1" customWidth="1"/>
    <col min="3864" max="3865" width="9.109375" style="32"/>
    <col min="3866" max="3866" width="20.5546875" style="32" bestFit="1" customWidth="1"/>
    <col min="3867" max="4092" width="9.109375" style="32"/>
    <col min="4093" max="4093" width="6.44140625" style="32" customWidth="1"/>
    <col min="4094" max="4094" width="8.44140625" style="32" customWidth="1"/>
    <col min="4095" max="4095" width="22.44140625" style="32" customWidth="1"/>
    <col min="4096" max="4096" width="40.33203125" style="32" customWidth="1"/>
    <col min="4097" max="4098" width="18.6640625" style="32" customWidth="1"/>
    <col min="4099" max="4099" width="17.44140625" style="32" customWidth="1"/>
    <col min="4100" max="4100" width="20.33203125" style="32" customWidth="1"/>
    <col min="4101" max="4101" width="19" style="32" customWidth="1"/>
    <col min="4102" max="4102" width="14.88671875" style="32" customWidth="1"/>
    <col min="4103" max="4103" width="27.109375" style="32" bestFit="1" customWidth="1"/>
    <col min="4104" max="4104" width="15.6640625" style="32" bestFit="1" customWidth="1"/>
    <col min="4105" max="4105" width="12.33203125" style="32" bestFit="1" customWidth="1"/>
    <col min="4106" max="4106" width="15.109375" style="32" bestFit="1" customWidth="1"/>
    <col min="4107" max="4107" width="21.109375" style="32" bestFit="1" customWidth="1"/>
    <col min="4108" max="4111" width="9.109375" style="32"/>
    <col min="4112" max="4112" width="15.6640625" style="32" customWidth="1"/>
    <col min="4113" max="4113" width="13.44140625" style="32" customWidth="1"/>
    <col min="4114" max="4114" width="23.6640625" style="32" customWidth="1"/>
    <col min="4115" max="4115" width="37.5546875" style="32" customWidth="1"/>
    <col min="4116" max="4116" width="11.44140625" style="32" customWidth="1"/>
    <col min="4117" max="4117" width="10.5546875" style="32" customWidth="1"/>
    <col min="4118" max="4118" width="9.109375" style="32"/>
    <col min="4119" max="4119" width="23.44140625" style="32" bestFit="1" customWidth="1"/>
    <col min="4120" max="4121" width="9.109375" style="32"/>
    <col min="4122" max="4122" width="20.5546875" style="32" bestFit="1" customWidth="1"/>
    <col min="4123" max="4348" width="9.109375" style="32"/>
    <col min="4349" max="4349" width="6.44140625" style="32" customWidth="1"/>
    <col min="4350" max="4350" width="8.44140625" style="32" customWidth="1"/>
    <col min="4351" max="4351" width="22.44140625" style="32" customWidth="1"/>
    <col min="4352" max="4352" width="40.33203125" style="32" customWidth="1"/>
    <col min="4353" max="4354" width="18.6640625" style="32" customWidth="1"/>
    <col min="4355" max="4355" width="17.44140625" style="32" customWidth="1"/>
    <col min="4356" max="4356" width="20.33203125" style="32" customWidth="1"/>
    <col min="4357" max="4357" width="19" style="32" customWidth="1"/>
    <col min="4358" max="4358" width="14.88671875" style="32" customWidth="1"/>
    <col min="4359" max="4359" width="27.109375" style="32" bestFit="1" customWidth="1"/>
    <col min="4360" max="4360" width="15.6640625" style="32" bestFit="1" customWidth="1"/>
    <col min="4361" max="4361" width="12.33203125" style="32" bestFit="1" customWidth="1"/>
    <col min="4362" max="4362" width="15.109375" style="32" bestFit="1" customWidth="1"/>
    <col min="4363" max="4363" width="21.109375" style="32" bestFit="1" customWidth="1"/>
    <col min="4364" max="4367" width="9.109375" style="32"/>
    <col min="4368" max="4368" width="15.6640625" style="32" customWidth="1"/>
    <col min="4369" max="4369" width="13.44140625" style="32" customWidth="1"/>
    <col min="4370" max="4370" width="23.6640625" style="32" customWidth="1"/>
    <col min="4371" max="4371" width="37.5546875" style="32" customWidth="1"/>
    <col min="4372" max="4372" width="11.44140625" style="32" customWidth="1"/>
    <col min="4373" max="4373" width="10.5546875" style="32" customWidth="1"/>
    <col min="4374" max="4374" width="9.109375" style="32"/>
    <col min="4375" max="4375" width="23.44140625" style="32" bestFit="1" customWidth="1"/>
    <col min="4376" max="4377" width="9.109375" style="32"/>
    <col min="4378" max="4378" width="20.5546875" style="32" bestFit="1" customWidth="1"/>
    <col min="4379" max="4604" width="9.109375" style="32"/>
    <col min="4605" max="4605" width="6.44140625" style="32" customWidth="1"/>
    <col min="4606" max="4606" width="8.44140625" style="32" customWidth="1"/>
    <col min="4607" max="4607" width="22.44140625" style="32" customWidth="1"/>
    <col min="4608" max="4608" width="40.33203125" style="32" customWidth="1"/>
    <col min="4609" max="4610" width="18.6640625" style="32" customWidth="1"/>
    <col min="4611" max="4611" width="17.44140625" style="32" customWidth="1"/>
    <col min="4612" max="4612" width="20.33203125" style="32" customWidth="1"/>
    <col min="4613" max="4613" width="19" style="32" customWidth="1"/>
    <col min="4614" max="4614" width="14.88671875" style="32" customWidth="1"/>
    <col min="4615" max="4615" width="27.109375" style="32" bestFit="1" customWidth="1"/>
    <col min="4616" max="4616" width="15.6640625" style="32" bestFit="1" customWidth="1"/>
    <col min="4617" max="4617" width="12.33203125" style="32" bestFit="1" customWidth="1"/>
    <col min="4618" max="4618" width="15.109375" style="32" bestFit="1" customWidth="1"/>
    <col min="4619" max="4619" width="21.109375" style="32" bestFit="1" customWidth="1"/>
    <col min="4620" max="4623" width="9.109375" style="32"/>
    <col min="4624" max="4624" width="15.6640625" style="32" customWidth="1"/>
    <col min="4625" max="4625" width="13.44140625" style="32" customWidth="1"/>
    <col min="4626" max="4626" width="23.6640625" style="32" customWidth="1"/>
    <col min="4627" max="4627" width="37.5546875" style="32" customWidth="1"/>
    <col min="4628" max="4628" width="11.44140625" style="32" customWidth="1"/>
    <col min="4629" max="4629" width="10.5546875" style="32" customWidth="1"/>
    <col min="4630" max="4630" width="9.109375" style="32"/>
    <col min="4631" max="4631" width="23.44140625" style="32" bestFit="1" customWidth="1"/>
    <col min="4632" max="4633" width="9.109375" style="32"/>
    <col min="4634" max="4634" width="20.5546875" style="32" bestFit="1" customWidth="1"/>
    <col min="4635" max="4860" width="9.109375" style="32"/>
    <col min="4861" max="4861" width="6.44140625" style="32" customWidth="1"/>
    <col min="4862" max="4862" width="8.44140625" style="32" customWidth="1"/>
    <col min="4863" max="4863" width="22.44140625" style="32" customWidth="1"/>
    <col min="4864" max="4864" width="40.33203125" style="32" customWidth="1"/>
    <col min="4865" max="4866" width="18.6640625" style="32" customWidth="1"/>
    <col min="4867" max="4867" width="17.44140625" style="32" customWidth="1"/>
    <col min="4868" max="4868" width="20.33203125" style="32" customWidth="1"/>
    <col min="4869" max="4869" width="19" style="32" customWidth="1"/>
    <col min="4870" max="4870" width="14.88671875" style="32" customWidth="1"/>
    <col min="4871" max="4871" width="27.109375" style="32" bestFit="1" customWidth="1"/>
    <col min="4872" max="4872" width="15.6640625" style="32" bestFit="1" customWidth="1"/>
    <col min="4873" max="4873" width="12.33203125" style="32" bestFit="1" customWidth="1"/>
    <col min="4874" max="4874" width="15.109375" style="32" bestFit="1" customWidth="1"/>
    <col min="4875" max="4875" width="21.109375" style="32" bestFit="1" customWidth="1"/>
    <col min="4876" max="4879" width="9.109375" style="32"/>
    <col min="4880" max="4880" width="15.6640625" style="32" customWidth="1"/>
    <col min="4881" max="4881" width="13.44140625" style="32" customWidth="1"/>
    <col min="4882" max="4882" width="23.6640625" style="32" customWidth="1"/>
    <col min="4883" max="4883" width="37.5546875" style="32" customWidth="1"/>
    <col min="4884" max="4884" width="11.44140625" style="32" customWidth="1"/>
    <col min="4885" max="4885" width="10.5546875" style="32" customWidth="1"/>
    <col min="4886" max="4886" width="9.109375" style="32"/>
    <col min="4887" max="4887" width="23.44140625" style="32" bestFit="1" customWidth="1"/>
    <col min="4888" max="4889" width="9.109375" style="32"/>
    <col min="4890" max="4890" width="20.5546875" style="32" bestFit="1" customWidth="1"/>
    <col min="4891" max="5116" width="9.109375" style="32"/>
    <col min="5117" max="5117" width="6.44140625" style="32" customWidth="1"/>
    <col min="5118" max="5118" width="8.44140625" style="32" customWidth="1"/>
    <col min="5119" max="5119" width="22.44140625" style="32" customWidth="1"/>
    <col min="5120" max="5120" width="40.33203125" style="32" customWidth="1"/>
    <col min="5121" max="5122" width="18.6640625" style="32" customWidth="1"/>
    <col min="5123" max="5123" width="17.44140625" style="32" customWidth="1"/>
    <col min="5124" max="5124" width="20.33203125" style="32" customWidth="1"/>
    <col min="5125" max="5125" width="19" style="32" customWidth="1"/>
    <col min="5126" max="5126" width="14.88671875" style="32" customWidth="1"/>
    <col min="5127" max="5127" width="27.109375" style="32" bestFit="1" customWidth="1"/>
    <col min="5128" max="5128" width="15.6640625" style="32" bestFit="1" customWidth="1"/>
    <col min="5129" max="5129" width="12.33203125" style="32" bestFit="1" customWidth="1"/>
    <col min="5130" max="5130" width="15.109375" style="32" bestFit="1" customWidth="1"/>
    <col min="5131" max="5131" width="21.109375" style="32" bestFit="1" customWidth="1"/>
    <col min="5132" max="5135" width="9.109375" style="32"/>
    <col min="5136" max="5136" width="15.6640625" style="32" customWidth="1"/>
    <col min="5137" max="5137" width="13.44140625" style="32" customWidth="1"/>
    <col min="5138" max="5138" width="23.6640625" style="32" customWidth="1"/>
    <col min="5139" max="5139" width="37.5546875" style="32" customWidth="1"/>
    <col min="5140" max="5140" width="11.44140625" style="32" customWidth="1"/>
    <col min="5141" max="5141" width="10.5546875" style="32" customWidth="1"/>
    <col min="5142" max="5142" width="9.109375" style="32"/>
    <col min="5143" max="5143" width="23.44140625" style="32" bestFit="1" customWidth="1"/>
    <col min="5144" max="5145" width="9.109375" style="32"/>
    <col min="5146" max="5146" width="20.5546875" style="32" bestFit="1" customWidth="1"/>
    <col min="5147" max="5372" width="9.109375" style="32"/>
    <col min="5373" max="5373" width="6.44140625" style="32" customWidth="1"/>
    <col min="5374" max="5374" width="8.44140625" style="32" customWidth="1"/>
    <col min="5375" max="5375" width="22.44140625" style="32" customWidth="1"/>
    <col min="5376" max="5376" width="40.33203125" style="32" customWidth="1"/>
    <col min="5377" max="5378" width="18.6640625" style="32" customWidth="1"/>
    <col min="5379" max="5379" width="17.44140625" style="32" customWidth="1"/>
    <col min="5380" max="5380" width="20.33203125" style="32" customWidth="1"/>
    <col min="5381" max="5381" width="19" style="32" customWidth="1"/>
    <col min="5382" max="5382" width="14.88671875" style="32" customWidth="1"/>
    <col min="5383" max="5383" width="27.109375" style="32" bestFit="1" customWidth="1"/>
    <col min="5384" max="5384" width="15.6640625" style="32" bestFit="1" customWidth="1"/>
    <col min="5385" max="5385" width="12.33203125" style="32" bestFit="1" customWidth="1"/>
    <col min="5386" max="5386" width="15.109375" style="32" bestFit="1" customWidth="1"/>
    <col min="5387" max="5387" width="21.109375" style="32" bestFit="1" customWidth="1"/>
    <col min="5388" max="5391" width="9.109375" style="32"/>
    <col min="5392" max="5392" width="15.6640625" style="32" customWidth="1"/>
    <col min="5393" max="5393" width="13.44140625" style="32" customWidth="1"/>
    <col min="5394" max="5394" width="23.6640625" style="32" customWidth="1"/>
    <col min="5395" max="5395" width="37.5546875" style="32" customWidth="1"/>
    <col min="5396" max="5396" width="11.44140625" style="32" customWidth="1"/>
    <col min="5397" max="5397" width="10.5546875" style="32" customWidth="1"/>
    <col min="5398" max="5398" width="9.109375" style="32"/>
    <col min="5399" max="5399" width="23.44140625" style="32" bestFit="1" customWidth="1"/>
    <col min="5400" max="5401" width="9.109375" style="32"/>
    <col min="5402" max="5402" width="20.5546875" style="32" bestFit="1" customWidth="1"/>
    <col min="5403" max="5628" width="9.109375" style="32"/>
    <col min="5629" max="5629" width="6.44140625" style="32" customWidth="1"/>
    <col min="5630" max="5630" width="8.44140625" style="32" customWidth="1"/>
    <col min="5631" max="5631" width="22.44140625" style="32" customWidth="1"/>
    <col min="5632" max="5632" width="40.33203125" style="32" customWidth="1"/>
    <col min="5633" max="5634" width="18.6640625" style="32" customWidth="1"/>
    <col min="5635" max="5635" width="17.44140625" style="32" customWidth="1"/>
    <col min="5636" max="5636" width="20.33203125" style="32" customWidth="1"/>
    <col min="5637" max="5637" width="19" style="32" customWidth="1"/>
    <col min="5638" max="5638" width="14.88671875" style="32" customWidth="1"/>
    <col min="5639" max="5639" width="27.109375" style="32" bestFit="1" customWidth="1"/>
    <col min="5640" max="5640" width="15.6640625" style="32" bestFit="1" customWidth="1"/>
    <col min="5641" max="5641" width="12.33203125" style="32" bestFit="1" customWidth="1"/>
    <col min="5642" max="5642" width="15.109375" style="32" bestFit="1" customWidth="1"/>
    <col min="5643" max="5643" width="21.109375" style="32" bestFit="1" customWidth="1"/>
    <col min="5644" max="5647" width="9.109375" style="32"/>
    <col min="5648" max="5648" width="15.6640625" style="32" customWidth="1"/>
    <col min="5649" max="5649" width="13.44140625" style="32" customWidth="1"/>
    <col min="5650" max="5650" width="23.6640625" style="32" customWidth="1"/>
    <col min="5651" max="5651" width="37.5546875" style="32" customWidth="1"/>
    <col min="5652" max="5652" width="11.44140625" style="32" customWidth="1"/>
    <col min="5653" max="5653" width="10.5546875" style="32" customWidth="1"/>
    <col min="5654" max="5654" width="9.109375" style="32"/>
    <col min="5655" max="5655" width="23.44140625" style="32" bestFit="1" customWidth="1"/>
    <col min="5656" max="5657" width="9.109375" style="32"/>
    <col min="5658" max="5658" width="20.5546875" style="32" bestFit="1" customWidth="1"/>
    <col min="5659" max="5884" width="9.109375" style="32"/>
    <col min="5885" max="5885" width="6.44140625" style="32" customWidth="1"/>
    <col min="5886" max="5886" width="8.44140625" style="32" customWidth="1"/>
    <col min="5887" max="5887" width="22.44140625" style="32" customWidth="1"/>
    <col min="5888" max="5888" width="40.33203125" style="32" customWidth="1"/>
    <col min="5889" max="5890" width="18.6640625" style="32" customWidth="1"/>
    <col min="5891" max="5891" width="17.44140625" style="32" customWidth="1"/>
    <col min="5892" max="5892" width="20.33203125" style="32" customWidth="1"/>
    <col min="5893" max="5893" width="19" style="32" customWidth="1"/>
    <col min="5894" max="5894" width="14.88671875" style="32" customWidth="1"/>
    <col min="5895" max="5895" width="27.109375" style="32" bestFit="1" customWidth="1"/>
    <col min="5896" max="5896" width="15.6640625" style="32" bestFit="1" customWidth="1"/>
    <col min="5897" max="5897" width="12.33203125" style="32" bestFit="1" customWidth="1"/>
    <col min="5898" max="5898" width="15.109375" style="32" bestFit="1" customWidth="1"/>
    <col min="5899" max="5899" width="21.109375" style="32" bestFit="1" customWidth="1"/>
    <col min="5900" max="5903" width="9.109375" style="32"/>
    <col min="5904" max="5904" width="15.6640625" style="32" customWidth="1"/>
    <col min="5905" max="5905" width="13.44140625" style="32" customWidth="1"/>
    <col min="5906" max="5906" width="23.6640625" style="32" customWidth="1"/>
    <col min="5907" max="5907" width="37.5546875" style="32" customWidth="1"/>
    <col min="5908" max="5908" width="11.44140625" style="32" customWidth="1"/>
    <col min="5909" max="5909" width="10.5546875" style="32" customWidth="1"/>
    <col min="5910" max="5910" width="9.109375" style="32"/>
    <col min="5911" max="5911" width="23.44140625" style="32" bestFit="1" customWidth="1"/>
    <col min="5912" max="5913" width="9.109375" style="32"/>
    <col min="5914" max="5914" width="20.5546875" style="32" bestFit="1" customWidth="1"/>
    <col min="5915" max="6140" width="9.109375" style="32"/>
    <col min="6141" max="6141" width="6.44140625" style="32" customWidth="1"/>
    <col min="6142" max="6142" width="8.44140625" style="32" customWidth="1"/>
    <col min="6143" max="6143" width="22.44140625" style="32" customWidth="1"/>
    <col min="6144" max="6144" width="40.33203125" style="32" customWidth="1"/>
    <col min="6145" max="6146" width="18.6640625" style="32" customWidth="1"/>
    <col min="6147" max="6147" width="17.44140625" style="32" customWidth="1"/>
    <col min="6148" max="6148" width="20.33203125" style="32" customWidth="1"/>
    <col min="6149" max="6149" width="19" style="32" customWidth="1"/>
    <col min="6150" max="6150" width="14.88671875" style="32" customWidth="1"/>
    <col min="6151" max="6151" width="27.109375" style="32" bestFit="1" customWidth="1"/>
    <col min="6152" max="6152" width="15.6640625" style="32" bestFit="1" customWidth="1"/>
    <col min="6153" max="6153" width="12.33203125" style="32" bestFit="1" customWidth="1"/>
    <col min="6154" max="6154" width="15.109375" style="32" bestFit="1" customWidth="1"/>
    <col min="6155" max="6155" width="21.109375" style="32" bestFit="1" customWidth="1"/>
    <col min="6156" max="6159" width="9.109375" style="32"/>
    <col min="6160" max="6160" width="15.6640625" style="32" customWidth="1"/>
    <col min="6161" max="6161" width="13.44140625" style="32" customWidth="1"/>
    <col min="6162" max="6162" width="23.6640625" style="32" customWidth="1"/>
    <col min="6163" max="6163" width="37.5546875" style="32" customWidth="1"/>
    <col min="6164" max="6164" width="11.44140625" style="32" customWidth="1"/>
    <col min="6165" max="6165" width="10.5546875" style="32" customWidth="1"/>
    <col min="6166" max="6166" width="9.109375" style="32"/>
    <col min="6167" max="6167" width="23.44140625" style="32" bestFit="1" customWidth="1"/>
    <col min="6168" max="6169" width="9.109375" style="32"/>
    <col min="6170" max="6170" width="20.5546875" style="32" bestFit="1" customWidth="1"/>
    <col min="6171" max="6396" width="9.109375" style="32"/>
    <col min="6397" max="6397" width="6.44140625" style="32" customWidth="1"/>
    <col min="6398" max="6398" width="8.44140625" style="32" customWidth="1"/>
    <col min="6399" max="6399" width="22.44140625" style="32" customWidth="1"/>
    <col min="6400" max="6400" width="40.33203125" style="32" customWidth="1"/>
    <col min="6401" max="6402" width="18.6640625" style="32" customWidth="1"/>
    <col min="6403" max="6403" width="17.44140625" style="32" customWidth="1"/>
    <col min="6404" max="6404" width="20.33203125" style="32" customWidth="1"/>
    <col min="6405" max="6405" width="19" style="32" customWidth="1"/>
    <col min="6406" max="6406" width="14.88671875" style="32" customWidth="1"/>
    <col min="6407" max="6407" width="27.109375" style="32" bestFit="1" customWidth="1"/>
    <col min="6408" max="6408" width="15.6640625" style="32" bestFit="1" customWidth="1"/>
    <col min="6409" max="6409" width="12.33203125" style="32" bestFit="1" customWidth="1"/>
    <col min="6410" max="6410" width="15.109375" style="32" bestFit="1" customWidth="1"/>
    <col min="6411" max="6411" width="21.109375" style="32" bestFit="1" customWidth="1"/>
    <col min="6412" max="6415" width="9.109375" style="32"/>
    <col min="6416" max="6416" width="15.6640625" style="32" customWidth="1"/>
    <col min="6417" max="6417" width="13.44140625" style="32" customWidth="1"/>
    <col min="6418" max="6418" width="23.6640625" style="32" customWidth="1"/>
    <col min="6419" max="6419" width="37.5546875" style="32" customWidth="1"/>
    <col min="6420" max="6420" width="11.44140625" style="32" customWidth="1"/>
    <col min="6421" max="6421" width="10.5546875" style="32" customWidth="1"/>
    <col min="6422" max="6422" width="9.109375" style="32"/>
    <col min="6423" max="6423" width="23.44140625" style="32" bestFit="1" customWidth="1"/>
    <col min="6424" max="6425" width="9.109375" style="32"/>
    <col min="6426" max="6426" width="20.5546875" style="32" bestFit="1" customWidth="1"/>
    <col min="6427" max="6652" width="9.109375" style="32"/>
    <col min="6653" max="6653" width="6.44140625" style="32" customWidth="1"/>
    <col min="6654" max="6654" width="8.44140625" style="32" customWidth="1"/>
    <col min="6655" max="6655" width="22.44140625" style="32" customWidth="1"/>
    <col min="6656" max="6656" width="40.33203125" style="32" customWidth="1"/>
    <col min="6657" max="6658" width="18.6640625" style="32" customWidth="1"/>
    <col min="6659" max="6659" width="17.44140625" style="32" customWidth="1"/>
    <col min="6660" max="6660" width="20.33203125" style="32" customWidth="1"/>
    <col min="6661" max="6661" width="19" style="32" customWidth="1"/>
    <col min="6662" max="6662" width="14.88671875" style="32" customWidth="1"/>
    <col min="6663" max="6663" width="27.109375" style="32" bestFit="1" customWidth="1"/>
    <col min="6664" max="6664" width="15.6640625" style="32" bestFit="1" customWidth="1"/>
    <col min="6665" max="6665" width="12.33203125" style="32" bestFit="1" customWidth="1"/>
    <col min="6666" max="6666" width="15.109375" style="32" bestFit="1" customWidth="1"/>
    <col min="6667" max="6667" width="21.109375" style="32" bestFit="1" customWidth="1"/>
    <col min="6668" max="6671" width="9.109375" style="32"/>
    <col min="6672" max="6672" width="15.6640625" style="32" customWidth="1"/>
    <col min="6673" max="6673" width="13.44140625" style="32" customWidth="1"/>
    <col min="6674" max="6674" width="23.6640625" style="32" customWidth="1"/>
    <col min="6675" max="6675" width="37.5546875" style="32" customWidth="1"/>
    <col min="6676" max="6676" width="11.44140625" style="32" customWidth="1"/>
    <col min="6677" max="6677" width="10.5546875" style="32" customWidth="1"/>
    <col min="6678" max="6678" width="9.109375" style="32"/>
    <col min="6679" max="6679" width="23.44140625" style="32" bestFit="1" customWidth="1"/>
    <col min="6680" max="6681" width="9.109375" style="32"/>
    <col min="6682" max="6682" width="20.5546875" style="32" bestFit="1" customWidth="1"/>
    <col min="6683" max="6908" width="9.109375" style="32"/>
    <col min="6909" max="6909" width="6.44140625" style="32" customWidth="1"/>
    <col min="6910" max="6910" width="8.44140625" style="32" customWidth="1"/>
    <col min="6911" max="6911" width="22.44140625" style="32" customWidth="1"/>
    <col min="6912" max="6912" width="40.33203125" style="32" customWidth="1"/>
    <col min="6913" max="6914" width="18.6640625" style="32" customWidth="1"/>
    <col min="6915" max="6915" width="17.44140625" style="32" customWidth="1"/>
    <col min="6916" max="6916" width="20.33203125" style="32" customWidth="1"/>
    <col min="6917" max="6917" width="19" style="32" customWidth="1"/>
    <col min="6918" max="6918" width="14.88671875" style="32" customWidth="1"/>
    <col min="6919" max="6919" width="27.109375" style="32" bestFit="1" customWidth="1"/>
    <col min="6920" max="6920" width="15.6640625" style="32" bestFit="1" customWidth="1"/>
    <col min="6921" max="6921" width="12.33203125" style="32" bestFit="1" customWidth="1"/>
    <col min="6922" max="6922" width="15.109375" style="32" bestFit="1" customWidth="1"/>
    <col min="6923" max="6923" width="21.109375" style="32" bestFit="1" customWidth="1"/>
    <col min="6924" max="6927" width="9.109375" style="32"/>
    <col min="6928" max="6928" width="15.6640625" style="32" customWidth="1"/>
    <col min="6929" max="6929" width="13.44140625" style="32" customWidth="1"/>
    <col min="6930" max="6930" width="23.6640625" style="32" customWidth="1"/>
    <col min="6931" max="6931" width="37.5546875" style="32" customWidth="1"/>
    <col min="6932" max="6932" width="11.44140625" style="32" customWidth="1"/>
    <col min="6933" max="6933" width="10.5546875" style="32" customWidth="1"/>
    <col min="6934" max="6934" width="9.109375" style="32"/>
    <col min="6935" max="6935" width="23.44140625" style="32" bestFit="1" customWidth="1"/>
    <col min="6936" max="6937" width="9.109375" style="32"/>
    <col min="6938" max="6938" width="20.5546875" style="32" bestFit="1" customWidth="1"/>
    <col min="6939" max="7164" width="9.109375" style="32"/>
    <col min="7165" max="7165" width="6.44140625" style="32" customWidth="1"/>
    <col min="7166" max="7166" width="8.44140625" style="32" customWidth="1"/>
    <col min="7167" max="7167" width="22.44140625" style="32" customWidth="1"/>
    <col min="7168" max="7168" width="40.33203125" style="32" customWidth="1"/>
    <col min="7169" max="7170" width="18.6640625" style="32" customWidth="1"/>
    <col min="7171" max="7171" width="17.44140625" style="32" customWidth="1"/>
    <col min="7172" max="7172" width="20.33203125" style="32" customWidth="1"/>
    <col min="7173" max="7173" width="19" style="32" customWidth="1"/>
    <col min="7174" max="7174" width="14.88671875" style="32" customWidth="1"/>
    <col min="7175" max="7175" width="27.109375" style="32" bestFit="1" customWidth="1"/>
    <col min="7176" max="7176" width="15.6640625" style="32" bestFit="1" customWidth="1"/>
    <col min="7177" max="7177" width="12.33203125" style="32" bestFit="1" customWidth="1"/>
    <col min="7178" max="7178" width="15.109375" style="32" bestFit="1" customWidth="1"/>
    <col min="7179" max="7179" width="21.109375" style="32" bestFit="1" customWidth="1"/>
    <col min="7180" max="7183" width="9.109375" style="32"/>
    <col min="7184" max="7184" width="15.6640625" style="32" customWidth="1"/>
    <col min="7185" max="7185" width="13.44140625" style="32" customWidth="1"/>
    <col min="7186" max="7186" width="23.6640625" style="32" customWidth="1"/>
    <col min="7187" max="7187" width="37.5546875" style="32" customWidth="1"/>
    <col min="7188" max="7188" width="11.44140625" style="32" customWidth="1"/>
    <col min="7189" max="7189" width="10.5546875" style="32" customWidth="1"/>
    <col min="7190" max="7190" width="9.109375" style="32"/>
    <col min="7191" max="7191" width="23.44140625" style="32" bestFit="1" customWidth="1"/>
    <col min="7192" max="7193" width="9.109375" style="32"/>
    <col min="7194" max="7194" width="20.5546875" style="32" bestFit="1" customWidth="1"/>
    <col min="7195" max="7420" width="9.109375" style="32"/>
    <col min="7421" max="7421" width="6.44140625" style="32" customWidth="1"/>
    <col min="7422" max="7422" width="8.44140625" style="32" customWidth="1"/>
    <col min="7423" max="7423" width="22.44140625" style="32" customWidth="1"/>
    <col min="7424" max="7424" width="40.33203125" style="32" customWidth="1"/>
    <col min="7425" max="7426" width="18.6640625" style="32" customWidth="1"/>
    <col min="7427" max="7427" width="17.44140625" style="32" customWidth="1"/>
    <col min="7428" max="7428" width="20.33203125" style="32" customWidth="1"/>
    <col min="7429" max="7429" width="19" style="32" customWidth="1"/>
    <col min="7430" max="7430" width="14.88671875" style="32" customWidth="1"/>
    <col min="7431" max="7431" width="27.109375" style="32" bestFit="1" customWidth="1"/>
    <col min="7432" max="7432" width="15.6640625" style="32" bestFit="1" customWidth="1"/>
    <col min="7433" max="7433" width="12.33203125" style="32" bestFit="1" customWidth="1"/>
    <col min="7434" max="7434" width="15.109375" style="32" bestFit="1" customWidth="1"/>
    <col min="7435" max="7435" width="21.109375" style="32" bestFit="1" customWidth="1"/>
    <col min="7436" max="7439" width="9.109375" style="32"/>
    <col min="7440" max="7440" width="15.6640625" style="32" customWidth="1"/>
    <col min="7441" max="7441" width="13.44140625" style="32" customWidth="1"/>
    <col min="7442" max="7442" width="23.6640625" style="32" customWidth="1"/>
    <col min="7443" max="7443" width="37.5546875" style="32" customWidth="1"/>
    <col min="7444" max="7444" width="11.44140625" style="32" customWidth="1"/>
    <col min="7445" max="7445" width="10.5546875" style="32" customWidth="1"/>
    <col min="7446" max="7446" width="9.109375" style="32"/>
    <col min="7447" max="7447" width="23.44140625" style="32" bestFit="1" customWidth="1"/>
    <col min="7448" max="7449" width="9.109375" style="32"/>
    <col min="7450" max="7450" width="20.5546875" style="32" bestFit="1" customWidth="1"/>
    <col min="7451" max="7676" width="9.109375" style="32"/>
    <col min="7677" max="7677" width="6.44140625" style="32" customWidth="1"/>
    <col min="7678" max="7678" width="8.44140625" style="32" customWidth="1"/>
    <col min="7679" max="7679" width="22.44140625" style="32" customWidth="1"/>
    <col min="7680" max="7680" width="40.33203125" style="32" customWidth="1"/>
    <col min="7681" max="7682" width="18.6640625" style="32" customWidth="1"/>
    <col min="7683" max="7683" width="17.44140625" style="32" customWidth="1"/>
    <col min="7684" max="7684" width="20.33203125" style="32" customWidth="1"/>
    <col min="7685" max="7685" width="19" style="32" customWidth="1"/>
    <col min="7686" max="7686" width="14.88671875" style="32" customWidth="1"/>
    <col min="7687" max="7687" width="27.109375" style="32" bestFit="1" customWidth="1"/>
    <col min="7688" max="7688" width="15.6640625" style="32" bestFit="1" customWidth="1"/>
    <col min="7689" max="7689" width="12.33203125" style="32" bestFit="1" customWidth="1"/>
    <col min="7690" max="7690" width="15.109375" style="32" bestFit="1" customWidth="1"/>
    <col min="7691" max="7691" width="21.109375" style="32" bestFit="1" customWidth="1"/>
    <col min="7692" max="7695" width="9.109375" style="32"/>
    <col min="7696" max="7696" width="15.6640625" style="32" customWidth="1"/>
    <col min="7697" max="7697" width="13.44140625" style="32" customWidth="1"/>
    <col min="7698" max="7698" width="23.6640625" style="32" customWidth="1"/>
    <col min="7699" max="7699" width="37.5546875" style="32" customWidth="1"/>
    <col min="7700" max="7700" width="11.44140625" style="32" customWidth="1"/>
    <col min="7701" max="7701" width="10.5546875" style="32" customWidth="1"/>
    <col min="7702" max="7702" width="9.109375" style="32"/>
    <col min="7703" max="7703" width="23.44140625" style="32" bestFit="1" customWidth="1"/>
    <col min="7704" max="7705" width="9.109375" style="32"/>
    <col min="7706" max="7706" width="20.5546875" style="32" bestFit="1" customWidth="1"/>
    <col min="7707" max="7932" width="9.109375" style="32"/>
    <col min="7933" max="7933" width="6.44140625" style="32" customWidth="1"/>
    <col min="7934" max="7934" width="8.44140625" style="32" customWidth="1"/>
    <col min="7935" max="7935" width="22.44140625" style="32" customWidth="1"/>
    <col min="7936" max="7936" width="40.33203125" style="32" customWidth="1"/>
    <col min="7937" max="7938" width="18.6640625" style="32" customWidth="1"/>
    <col min="7939" max="7939" width="17.44140625" style="32" customWidth="1"/>
    <col min="7940" max="7940" width="20.33203125" style="32" customWidth="1"/>
    <col min="7941" max="7941" width="19" style="32" customWidth="1"/>
    <col min="7942" max="7942" width="14.88671875" style="32" customWidth="1"/>
    <col min="7943" max="7943" width="27.109375" style="32" bestFit="1" customWidth="1"/>
    <col min="7944" max="7944" width="15.6640625" style="32" bestFit="1" customWidth="1"/>
    <col min="7945" max="7945" width="12.33203125" style="32" bestFit="1" customWidth="1"/>
    <col min="7946" max="7946" width="15.109375" style="32" bestFit="1" customWidth="1"/>
    <col min="7947" max="7947" width="21.109375" style="32" bestFit="1" customWidth="1"/>
    <col min="7948" max="7951" width="9.109375" style="32"/>
    <col min="7952" max="7952" width="15.6640625" style="32" customWidth="1"/>
    <col min="7953" max="7953" width="13.44140625" style="32" customWidth="1"/>
    <col min="7954" max="7954" width="23.6640625" style="32" customWidth="1"/>
    <col min="7955" max="7955" width="37.5546875" style="32" customWidth="1"/>
    <col min="7956" max="7956" width="11.44140625" style="32" customWidth="1"/>
    <col min="7957" max="7957" width="10.5546875" style="32" customWidth="1"/>
    <col min="7958" max="7958" width="9.109375" style="32"/>
    <col min="7959" max="7959" width="23.44140625" style="32" bestFit="1" customWidth="1"/>
    <col min="7960" max="7961" width="9.109375" style="32"/>
    <col min="7962" max="7962" width="20.5546875" style="32" bestFit="1" customWidth="1"/>
    <col min="7963" max="8188" width="9.109375" style="32"/>
    <col min="8189" max="8189" width="6.44140625" style="32" customWidth="1"/>
    <col min="8190" max="8190" width="8.44140625" style="32" customWidth="1"/>
    <col min="8191" max="8191" width="22.44140625" style="32" customWidth="1"/>
    <col min="8192" max="8192" width="40.33203125" style="32" customWidth="1"/>
    <col min="8193" max="8194" width="18.6640625" style="32" customWidth="1"/>
    <col min="8195" max="8195" width="17.44140625" style="32" customWidth="1"/>
    <col min="8196" max="8196" width="20.33203125" style="32" customWidth="1"/>
    <col min="8197" max="8197" width="19" style="32" customWidth="1"/>
    <col min="8198" max="8198" width="14.88671875" style="32" customWidth="1"/>
    <col min="8199" max="8199" width="27.109375" style="32" bestFit="1" customWidth="1"/>
    <col min="8200" max="8200" width="15.6640625" style="32" bestFit="1" customWidth="1"/>
    <col min="8201" max="8201" width="12.33203125" style="32" bestFit="1" customWidth="1"/>
    <col min="8202" max="8202" width="15.109375" style="32" bestFit="1" customWidth="1"/>
    <col min="8203" max="8203" width="21.109375" style="32" bestFit="1" customWidth="1"/>
    <col min="8204" max="8207" width="9.109375" style="32"/>
    <col min="8208" max="8208" width="15.6640625" style="32" customWidth="1"/>
    <col min="8209" max="8209" width="13.44140625" style="32" customWidth="1"/>
    <col min="8210" max="8210" width="23.6640625" style="32" customWidth="1"/>
    <col min="8211" max="8211" width="37.5546875" style="32" customWidth="1"/>
    <col min="8212" max="8212" width="11.44140625" style="32" customWidth="1"/>
    <col min="8213" max="8213" width="10.5546875" style="32" customWidth="1"/>
    <col min="8214" max="8214" width="9.109375" style="32"/>
    <col min="8215" max="8215" width="23.44140625" style="32" bestFit="1" customWidth="1"/>
    <col min="8216" max="8217" width="9.109375" style="32"/>
    <col min="8218" max="8218" width="20.5546875" style="32" bestFit="1" customWidth="1"/>
    <col min="8219" max="8444" width="9.109375" style="32"/>
    <col min="8445" max="8445" width="6.44140625" style="32" customWidth="1"/>
    <col min="8446" max="8446" width="8.44140625" style="32" customWidth="1"/>
    <col min="8447" max="8447" width="22.44140625" style="32" customWidth="1"/>
    <col min="8448" max="8448" width="40.33203125" style="32" customWidth="1"/>
    <col min="8449" max="8450" width="18.6640625" style="32" customWidth="1"/>
    <col min="8451" max="8451" width="17.44140625" style="32" customWidth="1"/>
    <col min="8452" max="8452" width="20.33203125" style="32" customWidth="1"/>
    <col min="8453" max="8453" width="19" style="32" customWidth="1"/>
    <col min="8454" max="8454" width="14.88671875" style="32" customWidth="1"/>
    <col min="8455" max="8455" width="27.109375" style="32" bestFit="1" customWidth="1"/>
    <col min="8456" max="8456" width="15.6640625" style="32" bestFit="1" customWidth="1"/>
    <col min="8457" max="8457" width="12.33203125" style="32" bestFit="1" customWidth="1"/>
    <col min="8458" max="8458" width="15.109375" style="32" bestFit="1" customWidth="1"/>
    <col min="8459" max="8459" width="21.109375" style="32" bestFit="1" customWidth="1"/>
    <col min="8460" max="8463" width="9.109375" style="32"/>
    <col min="8464" max="8464" width="15.6640625" style="32" customWidth="1"/>
    <col min="8465" max="8465" width="13.44140625" style="32" customWidth="1"/>
    <col min="8466" max="8466" width="23.6640625" style="32" customWidth="1"/>
    <col min="8467" max="8467" width="37.5546875" style="32" customWidth="1"/>
    <col min="8468" max="8468" width="11.44140625" style="32" customWidth="1"/>
    <col min="8469" max="8469" width="10.5546875" style="32" customWidth="1"/>
    <col min="8470" max="8470" width="9.109375" style="32"/>
    <col min="8471" max="8471" width="23.44140625" style="32" bestFit="1" customWidth="1"/>
    <col min="8472" max="8473" width="9.109375" style="32"/>
    <col min="8474" max="8474" width="20.5546875" style="32" bestFit="1" customWidth="1"/>
    <col min="8475" max="8700" width="9.109375" style="32"/>
    <col min="8701" max="8701" width="6.44140625" style="32" customWidth="1"/>
    <col min="8702" max="8702" width="8.44140625" style="32" customWidth="1"/>
    <col min="8703" max="8703" width="22.44140625" style="32" customWidth="1"/>
    <col min="8704" max="8704" width="40.33203125" style="32" customWidth="1"/>
    <col min="8705" max="8706" width="18.6640625" style="32" customWidth="1"/>
    <col min="8707" max="8707" width="17.44140625" style="32" customWidth="1"/>
    <col min="8708" max="8708" width="20.33203125" style="32" customWidth="1"/>
    <col min="8709" max="8709" width="19" style="32" customWidth="1"/>
    <col min="8710" max="8710" width="14.88671875" style="32" customWidth="1"/>
    <col min="8711" max="8711" width="27.109375" style="32" bestFit="1" customWidth="1"/>
    <col min="8712" max="8712" width="15.6640625" style="32" bestFit="1" customWidth="1"/>
    <col min="8713" max="8713" width="12.33203125" style="32" bestFit="1" customWidth="1"/>
    <col min="8714" max="8714" width="15.109375" style="32" bestFit="1" customWidth="1"/>
    <col min="8715" max="8715" width="21.109375" style="32" bestFit="1" customWidth="1"/>
    <col min="8716" max="8719" width="9.109375" style="32"/>
    <col min="8720" max="8720" width="15.6640625" style="32" customWidth="1"/>
    <col min="8721" max="8721" width="13.44140625" style="32" customWidth="1"/>
    <col min="8722" max="8722" width="23.6640625" style="32" customWidth="1"/>
    <col min="8723" max="8723" width="37.5546875" style="32" customWidth="1"/>
    <col min="8724" max="8724" width="11.44140625" style="32" customWidth="1"/>
    <col min="8725" max="8725" width="10.5546875" style="32" customWidth="1"/>
    <col min="8726" max="8726" width="9.109375" style="32"/>
    <col min="8727" max="8727" width="23.44140625" style="32" bestFit="1" customWidth="1"/>
    <col min="8728" max="8729" width="9.109375" style="32"/>
    <col min="8730" max="8730" width="20.5546875" style="32" bestFit="1" customWidth="1"/>
    <col min="8731" max="8956" width="9.109375" style="32"/>
    <col min="8957" max="8957" width="6.44140625" style="32" customWidth="1"/>
    <col min="8958" max="8958" width="8.44140625" style="32" customWidth="1"/>
    <col min="8959" max="8959" width="22.44140625" style="32" customWidth="1"/>
    <col min="8960" max="8960" width="40.33203125" style="32" customWidth="1"/>
    <col min="8961" max="8962" width="18.6640625" style="32" customWidth="1"/>
    <col min="8963" max="8963" width="17.44140625" style="32" customWidth="1"/>
    <col min="8964" max="8964" width="20.33203125" style="32" customWidth="1"/>
    <col min="8965" max="8965" width="19" style="32" customWidth="1"/>
    <col min="8966" max="8966" width="14.88671875" style="32" customWidth="1"/>
    <col min="8967" max="8967" width="27.109375" style="32" bestFit="1" customWidth="1"/>
    <col min="8968" max="8968" width="15.6640625" style="32" bestFit="1" customWidth="1"/>
    <col min="8969" max="8969" width="12.33203125" style="32" bestFit="1" customWidth="1"/>
    <col min="8970" max="8970" width="15.109375" style="32" bestFit="1" customWidth="1"/>
    <col min="8971" max="8971" width="21.109375" style="32" bestFit="1" customWidth="1"/>
    <col min="8972" max="8975" width="9.109375" style="32"/>
    <col min="8976" max="8976" width="15.6640625" style="32" customWidth="1"/>
    <col min="8977" max="8977" width="13.44140625" style="32" customWidth="1"/>
    <col min="8978" max="8978" width="23.6640625" style="32" customWidth="1"/>
    <col min="8979" max="8979" width="37.5546875" style="32" customWidth="1"/>
    <col min="8980" max="8980" width="11.44140625" style="32" customWidth="1"/>
    <col min="8981" max="8981" width="10.5546875" style="32" customWidth="1"/>
    <col min="8982" max="8982" width="9.109375" style="32"/>
    <col min="8983" max="8983" width="23.44140625" style="32" bestFit="1" customWidth="1"/>
    <col min="8984" max="8985" width="9.109375" style="32"/>
    <col min="8986" max="8986" width="20.5546875" style="32" bestFit="1" customWidth="1"/>
    <col min="8987" max="9212" width="9.109375" style="32"/>
    <col min="9213" max="9213" width="6.44140625" style="32" customWidth="1"/>
    <col min="9214" max="9214" width="8.44140625" style="32" customWidth="1"/>
    <col min="9215" max="9215" width="22.44140625" style="32" customWidth="1"/>
    <col min="9216" max="9216" width="40.33203125" style="32" customWidth="1"/>
    <col min="9217" max="9218" width="18.6640625" style="32" customWidth="1"/>
    <col min="9219" max="9219" width="17.44140625" style="32" customWidth="1"/>
    <col min="9220" max="9220" width="20.33203125" style="32" customWidth="1"/>
    <col min="9221" max="9221" width="19" style="32" customWidth="1"/>
    <col min="9222" max="9222" width="14.88671875" style="32" customWidth="1"/>
    <col min="9223" max="9223" width="27.109375" style="32" bestFit="1" customWidth="1"/>
    <col min="9224" max="9224" width="15.6640625" style="32" bestFit="1" customWidth="1"/>
    <col min="9225" max="9225" width="12.33203125" style="32" bestFit="1" customWidth="1"/>
    <col min="9226" max="9226" width="15.109375" style="32" bestFit="1" customWidth="1"/>
    <col min="9227" max="9227" width="21.109375" style="32" bestFit="1" customWidth="1"/>
    <col min="9228" max="9231" width="9.109375" style="32"/>
    <col min="9232" max="9232" width="15.6640625" style="32" customWidth="1"/>
    <col min="9233" max="9233" width="13.44140625" style="32" customWidth="1"/>
    <col min="9234" max="9234" width="23.6640625" style="32" customWidth="1"/>
    <col min="9235" max="9235" width="37.5546875" style="32" customWidth="1"/>
    <col min="9236" max="9236" width="11.44140625" style="32" customWidth="1"/>
    <col min="9237" max="9237" width="10.5546875" style="32" customWidth="1"/>
    <col min="9238" max="9238" width="9.109375" style="32"/>
    <col min="9239" max="9239" width="23.44140625" style="32" bestFit="1" customWidth="1"/>
    <col min="9240" max="9241" width="9.109375" style="32"/>
    <col min="9242" max="9242" width="20.5546875" style="32" bestFit="1" customWidth="1"/>
    <col min="9243" max="9468" width="9.109375" style="32"/>
    <col min="9469" max="9469" width="6.44140625" style="32" customWidth="1"/>
    <col min="9470" max="9470" width="8.44140625" style="32" customWidth="1"/>
    <col min="9471" max="9471" width="22.44140625" style="32" customWidth="1"/>
    <col min="9472" max="9472" width="40.33203125" style="32" customWidth="1"/>
    <col min="9473" max="9474" width="18.6640625" style="32" customWidth="1"/>
    <col min="9475" max="9475" width="17.44140625" style="32" customWidth="1"/>
    <col min="9476" max="9476" width="20.33203125" style="32" customWidth="1"/>
    <col min="9477" max="9477" width="19" style="32" customWidth="1"/>
    <col min="9478" max="9478" width="14.88671875" style="32" customWidth="1"/>
    <col min="9479" max="9479" width="27.109375" style="32" bestFit="1" customWidth="1"/>
    <col min="9480" max="9480" width="15.6640625" style="32" bestFit="1" customWidth="1"/>
    <col min="9481" max="9481" width="12.33203125" style="32" bestFit="1" customWidth="1"/>
    <col min="9482" max="9482" width="15.109375" style="32" bestFit="1" customWidth="1"/>
    <col min="9483" max="9483" width="21.109375" style="32" bestFit="1" customWidth="1"/>
    <col min="9484" max="9487" width="9.109375" style="32"/>
    <col min="9488" max="9488" width="15.6640625" style="32" customWidth="1"/>
    <col min="9489" max="9489" width="13.44140625" style="32" customWidth="1"/>
    <col min="9490" max="9490" width="23.6640625" style="32" customWidth="1"/>
    <col min="9491" max="9491" width="37.5546875" style="32" customWidth="1"/>
    <col min="9492" max="9492" width="11.44140625" style="32" customWidth="1"/>
    <col min="9493" max="9493" width="10.5546875" style="32" customWidth="1"/>
    <col min="9494" max="9494" width="9.109375" style="32"/>
    <col min="9495" max="9495" width="23.44140625" style="32" bestFit="1" customWidth="1"/>
    <col min="9496" max="9497" width="9.109375" style="32"/>
    <col min="9498" max="9498" width="20.5546875" style="32" bestFit="1" customWidth="1"/>
    <col min="9499" max="9724" width="9.109375" style="32"/>
    <col min="9725" max="9725" width="6.44140625" style="32" customWidth="1"/>
    <col min="9726" max="9726" width="8.44140625" style="32" customWidth="1"/>
    <col min="9727" max="9727" width="22.44140625" style="32" customWidth="1"/>
    <col min="9728" max="9728" width="40.33203125" style="32" customWidth="1"/>
    <col min="9729" max="9730" width="18.6640625" style="32" customWidth="1"/>
    <col min="9731" max="9731" width="17.44140625" style="32" customWidth="1"/>
    <col min="9732" max="9732" width="20.33203125" style="32" customWidth="1"/>
    <col min="9733" max="9733" width="19" style="32" customWidth="1"/>
    <col min="9734" max="9734" width="14.88671875" style="32" customWidth="1"/>
    <col min="9735" max="9735" width="27.109375" style="32" bestFit="1" customWidth="1"/>
    <col min="9736" max="9736" width="15.6640625" style="32" bestFit="1" customWidth="1"/>
    <col min="9737" max="9737" width="12.33203125" style="32" bestFit="1" customWidth="1"/>
    <col min="9738" max="9738" width="15.109375" style="32" bestFit="1" customWidth="1"/>
    <col min="9739" max="9739" width="21.109375" style="32" bestFit="1" customWidth="1"/>
    <col min="9740" max="9743" width="9.109375" style="32"/>
    <col min="9744" max="9744" width="15.6640625" style="32" customWidth="1"/>
    <col min="9745" max="9745" width="13.44140625" style="32" customWidth="1"/>
    <col min="9746" max="9746" width="23.6640625" style="32" customWidth="1"/>
    <col min="9747" max="9747" width="37.5546875" style="32" customWidth="1"/>
    <col min="9748" max="9748" width="11.44140625" style="32" customWidth="1"/>
    <col min="9749" max="9749" width="10.5546875" style="32" customWidth="1"/>
    <col min="9750" max="9750" width="9.109375" style="32"/>
    <col min="9751" max="9751" width="23.44140625" style="32" bestFit="1" customWidth="1"/>
    <col min="9752" max="9753" width="9.109375" style="32"/>
    <col min="9754" max="9754" width="20.5546875" style="32" bestFit="1" customWidth="1"/>
    <col min="9755" max="9980" width="9.109375" style="32"/>
    <col min="9981" max="9981" width="6.44140625" style="32" customWidth="1"/>
    <col min="9982" max="9982" width="8.44140625" style="32" customWidth="1"/>
    <col min="9983" max="9983" width="22.44140625" style="32" customWidth="1"/>
    <col min="9984" max="9984" width="40.33203125" style="32" customWidth="1"/>
    <col min="9985" max="9986" width="18.6640625" style="32" customWidth="1"/>
    <col min="9987" max="9987" width="17.44140625" style="32" customWidth="1"/>
    <col min="9988" max="9988" width="20.33203125" style="32" customWidth="1"/>
    <col min="9989" max="9989" width="19" style="32" customWidth="1"/>
    <col min="9990" max="9990" width="14.88671875" style="32" customWidth="1"/>
    <col min="9991" max="9991" width="27.109375" style="32" bestFit="1" customWidth="1"/>
    <col min="9992" max="9992" width="15.6640625" style="32" bestFit="1" customWidth="1"/>
    <col min="9993" max="9993" width="12.33203125" style="32" bestFit="1" customWidth="1"/>
    <col min="9994" max="9994" width="15.109375" style="32" bestFit="1" customWidth="1"/>
    <col min="9995" max="9995" width="21.109375" style="32" bestFit="1" customWidth="1"/>
    <col min="9996" max="9999" width="9.109375" style="32"/>
    <col min="10000" max="10000" width="15.6640625" style="32" customWidth="1"/>
    <col min="10001" max="10001" width="13.44140625" style="32" customWidth="1"/>
    <col min="10002" max="10002" width="23.6640625" style="32" customWidth="1"/>
    <col min="10003" max="10003" width="37.5546875" style="32" customWidth="1"/>
    <col min="10004" max="10004" width="11.44140625" style="32" customWidth="1"/>
    <col min="10005" max="10005" width="10.5546875" style="32" customWidth="1"/>
    <col min="10006" max="10006" width="9.109375" style="32"/>
    <col min="10007" max="10007" width="23.44140625" style="32" bestFit="1" customWidth="1"/>
    <col min="10008" max="10009" width="9.109375" style="32"/>
    <col min="10010" max="10010" width="20.5546875" style="32" bestFit="1" customWidth="1"/>
    <col min="10011" max="10236" width="9.109375" style="32"/>
    <col min="10237" max="10237" width="6.44140625" style="32" customWidth="1"/>
    <col min="10238" max="10238" width="8.44140625" style="32" customWidth="1"/>
    <col min="10239" max="10239" width="22.44140625" style="32" customWidth="1"/>
    <col min="10240" max="10240" width="40.33203125" style="32" customWidth="1"/>
    <col min="10241" max="10242" width="18.6640625" style="32" customWidth="1"/>
    <col min="10243" max="10243" width="17.44140625" style="32" customWidth="1"/>
    <col min="10244" max="10244" width="20.33203125" style="32" customWidth="1"/>
    <col min="10245" max="10245" width="19" style="32" customWidth="1"/>
    <col min="10246" max="10246" width="14.88671875" style="32" customWidth="1"/>
    <col min="10247" max="10247" width="27.109375" style="32" bestFit="1" customWidth="1"/>
    <col min="10248" max="10248" width="15.6640625" style="32" bestFit="1" customWidth="1"/>
    <col min="10249" max="10249" width="12.33203125" style="32" bestFit="1" customWidth="1"/>
    <col min="10250" max="10250" width="15.109375" style="32" bestFit="1" customWidth="1"/>
    <col min="10251" max="10251" width="21.109375" style="32" bestFit="1" customWidth="1"/>
    <col min="10252" max="10255" width="9.109375" style="32"/>
    <col min="10256" max="10256" width="15.6640625" style="32" customWidth="1"/>
    <col min="10257" max="10257" width="13.44140625" style="32" customWidth="1"/>
    <col min="10258" max="10258" width="23.6640625" style="32" customWidth="1"/>
    <col min="10259" max="10259" width="37.5546875" style="32" customWidth="1"/>
    <col min="10260" max="10260" width="11.44140625" style="32" customWidth="1"/>
    <col min="10261" max="10261" width="10.5546875" style="32" customWidth="1"/>
    <col min="10262" max="10262" width="9.109375" style="32"/>
    <col min="10263" max="10263" width="23.44140625" style="32" bestFit="1" customWidth="1"/>
    <col min="10264" max="10265" width="9.109375" style="32"/>
    <col min="10266" max="10266" width="20.5546875" style="32" bestFit="1" customWidth="1"/>
    <col min="10267" max="10492" width="9.109375" style="32"/>
    <col min="10493" max="10493" width="6.44140625" style="32" customWidth="1"/>
    <col min="10494" max="10494" width="8.44140625" style="32" customWidth="1"/>
    <col min="10495" max="10495" width="22.44140625" style="32" customWidth="1"/>
    <col min="10496" max="10496" width="40.33203125" style="32" customWidth="1"/>
    <col min="10497" max="10498" width="18.6640625" style="32" customWidth="1"/>
    <col min="10499" max="10499" width="17.44140625" style="32" customWidth="1"/>
    <col min="10500" max="10500" width="20.33203125" style="32" customWidth="1"/>
    <col min="10501" max="10501" width="19" style="32" customWidth="1"/>
    <col min="10502" max="10502" width="14.88671875" style="32" customWidth="1"/>
    <col min="10503" max="10503" width="27.109375" style="32" bestFit="1" customWidth="1"/>
    <col min="10504" max="10504" width="15.6640625" style="32" bestFit="1" customWidth="1"/>
    <col min="10505" max="10505" width="12.33203125" style="32" bestFit="1" customWidth="1"/>
    <col min="10506" max="10506" width="15.109375" style="32" bestFit="1" customWidth="1"/>
    <col min="10507" max="10507" width="21.109375" style="32" bestFit="1" customWidth="1"/>
    <col min="10508" max="10511" width="9.109375" style="32"/>
    <col min="10512" max="10512" width="15.6640625" style="32" customWidth="1"/>
    <col min="10513" max="10513" width="13.44140625" style="32" customWidth="1"/>
    <col min="10514" max="10514" width="23.6640625" style="32" customWidth="1"/>
    <col min="10515" max="10515" width="37.5546875" style="32" customWidth="1"/>
    <col min="10516" max="10516" width="11.44140625" style="32" customWidth="1"/>
    <col min="10517" max="10517" width="10.5546875" style="32" customWidth="1"/>
    <col min="10518" max="10518" width="9.109375" style="32"/>
    <col min="10519" max="10519" width="23.44140625" style="32" bestFit="1" customWidth="1"/>
    <col min="10520" max="10521" width="9.109375" style="32"/>
    <col min="10522" max="10522" width="20.5546875" style="32" bestFit="1" customWidth="1"/>
    <col min="10523" max="10748" width="9.109375" style="32"/>
    <col min="10749" max="10749" width="6.44140625" style="32" customWidth="1"/>
    <col min="10750" max="10750" width="8.44140625" style="32" customWidth="1"/>
    <col min="10751" max="10751" width="22.44140625" style="32" customWidth="1"/>
    <col min="10752" max="10752" width="40.33203125" style="32" customWidth="1"/>
    <col min="10753" max="10754" width="18.6640625" style="32" customWidth="1"/>
    <col min="10755" max="10755" width="17.44140625" style="32" customWidth="1"/>
    <col min="10756" max="10756" width="20.33203125" style="32" customWidth="1"/>
    <col min="10757" max="10757" width="19" style="32" customWidth="1"/>
    <col min="10758" max="10758" width="14.88671875" style="32" customWidth="1"/>
    <col min="10759" max="10759" width="27.109375" style="32" bestFit="1" customWidth="1"/>
    <col min="10760" max="10760" width="15.6640625" style="32" bestFit="1" customWidth="1"/>
    <col min="10761" max="10761" width="12.33203125" style="32" bestFit="1" customWidth="1"/>
    <col min="10762" max="10762" width="15.109375" style="32" bestFit="1" customWidth="1"/>
    <col min="10763" max="10763" width="21.109375" style="32" bestFit="1" customWidth="1"/>
    <col min="10764" max="10767" width="9.109375" style="32"/>
    <col min="10768" max="10768" width="15.6640625" style="32" customWidth="1"/>
    <col min="10769" max="10769" width="13.44140625" style="32" customWidth="1"/>
    <col min="10770" max="10770" width="23.6640625" style="32" customWidth="1"/>
    <col min="10771" max="10771" width="37.5546875" style="32" customWidth="1"/>
    <col min="10772" max="10772" width="11.44140625" style="32" customWidth="1"/>
    <col min="10773" max="10773" width="10.5546875" style="32" customWidth="1"/>
    <col min="10774" max="10774" width="9.109375" style="32"/>
    <col min="10775" max="10775" width="23.44140625" style="32" bestFit="1" customWidth="1"/>
    <col min="10776" max="10777" width="9.109375" style="32"/>
    <col min="10778" max="10778" width="20.5546875" style="32" bestFit="1" customWidth="1"/>
    <col min="10779" max="11004" width="9.109375" style="32"/>
    <col min="11005" max="11005" width="6.44140625" style="32" customWidth="1"/>
    <col min="11006" max="11006" width="8.44140625" style="32" customWidth="1"/>
    <col min="11007" max="11007" width="22.44140625" style="32" customWidth="1"/>
    <col min="11008" max="11008" width="40.33203125" style="32" customWidth="1"/>
    <col min="11009" max="11010" width="18.6640625" style="32" customWidth="1"/>
    <col min="11011" max="11011" width="17.44140625" style="32" customWidth="1"/>
    <col min="11012" max="11012" width="20.33203125" style="32" customWidth="1"/>
    <col min="11013" max="11013" width="19" style="32" customWidth="1"/>
    <col min="11014" max="11014" width="14.88671875" style="32" customWidth="1"/>
    <col min="11015" max="11015" width="27.109375" style="32" bestFit="1" customWidth="1"/>
    <col min="11016" max="11016" width="15.6640625" style="32" bestFit="1" customWidth="1"/>
    <col min="11017" max="11017" width="12.33203125" style="32" bestFit="1" customWidth="1"/>
    <col min="11018" max="11018" width="15.109375" style="32" bestFit="1" customWidth="1"/>
    <col min="11019" max="11019" width="21.109375" style="32" bestFit="1" customWidth="1"/>
    <col min="11020" max="11023" width="9.109375" style="32"/>
    <col min="11024" max="11024" width="15.6640625" style="32" customWidth="1"/>
    <col min="11025" max="11025" width="13.44140625" style="32" customWidth="1"/>
    <col min="11026" max="11026" width="23.6640625" style="32" customWidth="1"/>
    <col min="11027" max="11027" width="37.5546875" style="32" customWidth="1"/>
    <col min="11028" max="11028" width="11.44140625" style="32" customWidth="1"/>
    <col min="11029" max="11029" width="10.5546875" style="32" customWidth="1"/>
    <col min="11030" max="11030" width="9.109375" style="32"/>
    <col min="11031" max="11031" width="23.44140625" style="32" bestFit="1" customWidth="1"/>
    <col min="11032" max="11033" width="9.109375" style="32"/>
    <col min="11034" max="11034" width="20.5546875" style="32" bestFit="1" customWidth="1"/>
    <col min="11035" max="11260" width="9.109375" style="32"/>
    <col min="11261" max="11261" width="6.44140625" style="32" customWidth="1"/>
    <col min="11262" max="11262" width="8.44140625" style="32" customWidth="1"/>
    <col min="11263" max="11263" width="22.44140625" style="32" customWidth="1"/>
    <col min="11264" max="11264" width="40.33203125" style="32" customWidth="1"/>
    <col min="11265" max="11266" width="18.6640625" style="32" customWidth="1"/>
    <col min="11267" max="11267" width="17.44140625" style="32" customWidth="1"/>
    <col min="11268" max="11268" width="20.33203125" style="32" customWidth="1"/>
    <col min="11269" max="11269" width="19" style="32" customWidth="1"/>
    <col min="11270" max="11270" width="14.88671875" style="32" customWidth="1"/>
    <col min="11271" max="11271" width="27.109375" style="32" bestFit="1" customWidth="1"/>
    <col min="11272" max="11272" width="15.6640625" style="32" bestFit="1" customWidth="1"/>
    <col min="11273" max="11273" width="12.33203125" style="32" bestFit="1" customWidth="1"/>
    <col min="11274" max="11274" width="15.109375" style="32" bestFit="1" customWidth="1"/>
    <col min="11275" max="11275" width="21.109375" style="32" bestFit="1" customWidth="1"/>
    <col min="11276" max="11279" width="9.109375" style="32"/>
    <col min="11280" max="11280" width="15.6640625" style="32" customWidth="1"/>
    <col min="11281" max="11281" width="13.44140625" style="32" customWidth="1"/>
    <col min="11282" max="11282" width="23.6640625" style="32" customWidth="1"/>
    <col min="11283" max="11283" width="37.5546875" style="32" customWidth="1"/>
    <col min="11284" max="11284" width="11.44140625" style="32" customWidth="1"/>
    <col min="11285" max="11285" width="10.5546875" style="32" customWidth="1"/>
    <col min="11286" max="11286" width="9.109375" style="32"/>
    <col min="11287" max="11287" width="23.44140625" style="32" bestFit="1" customWidth="1"/>
    <col min="11288" max="11289" width="9.109375" style="32"/>
    <col min="11290" max="11290" width="20.5546875" style="32" bestFit="1" customWidth="1"/>
    <col min="11291" max="11516" width="9.109375" style="32"/>
    <col min="11517" max="11517" width="6.44140625" style="32" customWidth="1"/>
    <col min="11518" max="11518" width="8.44140625" style="32" customWidth="1"/>
    <col min="11519" max="11519" width="22.44140625" style="32" customWidth="1"/>
    <col min="11520" max="11520" width="40.33203125" style="32" customWidth="1"/>
    <col min="11521" max="11522" width="18.6640625" style="32" customWidth="1"/>
    <col min="11523" max="11523" width="17.44140625" style="32" customWidth="1"/>
    <col min="11524" max="11524" width="20.33203125" style="32" customWidth="1"/>
    <col min="11525" max="11525" width="19" style="32" customWidth="1"/>
    <col min="11526" max="11526" width="14.88671875" style="32" customWidth="1"/>
    <col min="11527" max="11527" width="27.109375" style="32" bestFit="1" customWidth="1"/>
    <col min="11528" max="11528" width="15.6640625" style="32" bestFit="1" customWidth="1"/>
    <col min="11529" max="11529" width="12.33203125" style="32" bestFit="1" customWidth="1"/>
    <col min="11530" max="11530" width="15.109375" style="32" bestFit="1" customWidth="1"/>
    <col min="11531" max="11531" width="21.109375" style="32" bestFit="1" customWidth="1"/>
    <col min="11532" max="11535" width="9.109375" style="32"/>
    <col min="11536" max="11536" width="15.6640625" style="32" customWidth="1"/>
    <col min="11537" max="11537" width="13.44140625" style="32" customWidth="1"/>
    <col min="11538" max="11538" width="23.6640625" style="32" customWidth="1"/>
    <col min="11539" max="11539" width="37.5546875" style="32" customWidth="1"/>
    <col min="11540" max="11540" width="11.44140625" style="32" customWidth="1"/>
    <col min="11541" max="11541" width="10.5546875" style="32" customWidth="1"/>
    <col min="11542" max="11542" width="9.109375" style="32"/>
    <col min="11543" max="11543" width="23.44140625" style="32" bestFit="1" customWidth="1"/>
    <col min="11544" max="11545" width="9.109375" style="32"/>
    <col min="11546" max="11546" width="20.5546875" style="32" bestFit="1" customWidth="1"/>
    <col min="11547" max="11772" width="9.109375" style="32"/>
    <col min="11773" max="11773" width="6.44140625" style="32" customWidth="1"/>
    <col min="11774" max="11774" width="8.44140625" style="32" customWidth="1"/>
    <col min="11775" max="11775" width="22.44140625" style="32" customWidth="1"/>
    <col min="11776" max="11776" width="40.33203125" style="32" customWidth="1"/>
    <col min="11777" max="11778" width="18.6640625" style="32" customWidth="1"/>
    <col min="11779" max="11779" width="17.44140625" style="32" customWidth="1"/>
    <col min="11780" max="11780" width="20.33203125" style="32" customWidth="1"/>
    <col min="11781" max="11781" width="19" style="32" customWidth="1"/>
    <col min="11782" max="11782" width="14.88671875" style="32" customWidth="1"/>
    <col min="11783" max="11783" width="27.109375" style="32" bestFit="1" customWidth="1"/>
    <col min="11784" max="11784" width="15.6640625" style="32" bestFit="1" customWidth="1"/>
    <col min="11785" max="11785" width="12.33203125" style="32" bestFit="1" customWidth="1"/>
    <col min="11786" max="11786" width="15.109375" style="32" bestFit="1" customWidth="1"/>
    <col min="11787" max="11787" width="21.109375" style="32" bestFit="1" customWidth="1"/>
    <col min="11788" max="11791" width="9.109375" style="32"/>
    <col min="11792" max="11792" width="15.6640625" style="32" customWidth="1"/>
    <col min="11793" max="11793" width="13.44140625" style="32" customWidth="1"/>
    <col min="11794" max="11794" width="23.6640625" style="32" customWidth="1"/>
    <col min="11795" max="11795" width="37.5546875" style="32" customWidth="1"/>
    <col min="11796" max="11796" width="11.44140625" style="32" customWidth="1"/>
    <col min="11797" max="11797" width="10.5546875" style="32" customWidth="1"/>
    <col min="11798" max="11798" width="9.109375" style="32"/>
    <col min="11799" max="11799" width="23.44140625" style="32" bestFit="1" customWidth="1"/>
    <col min="11800" max="11801" width="9.109375" style="32"/>
    <col min="11802" max="11802" width="20.5546875" style="32" bestFit="1" customWidth="1"/>
    <col min="11803" max="12028" width="9.109375" style="32"/>
    <col min="12029" max="12029" width="6.44140625" style="32" customWidth="1"/>
    <col min="12030" max="12030" width="8.44140625" style="32" customWidth="1"/>
    <col min="12031" max="12031" width="22.44140625" style="32" customWidth="1"/>
    <col min="12032" max="12032" width="40.33203125" style="32" customWidth="1"/>
    <col min="12033" max="12034" width="18.6640625" style="32" customWidth="1"/>
    <col min="12035" max="12035" width="17.44140625" style="32" customWidth="1"/>
    <col min="12036" max="12036" width="20.33203125" style="32" customWidth="1"/>
    <col min="12037" max="12037" width="19" style="32" customWidth="1"/>
    <col min="12038" max="12038" width="14.88671875" style="32" customWidth="1"/>
    <col min="12039" max="12039" width="27.109375" style="32" bestFit="1" customWidth="1"/>
    <col min="12040" max="12040" width="15.6640625" style="32" bestFit="1" customWidth="1"/>
    <col min="12041" max="12041" width="12.33203125" style="32" bestFit="1" customWidth="1"/>
    <col min="12042" max="12042" width="15.109375" style="32" bestFit="1" customWidth="1"/>
    <col min="12043" max="12043" width="21.109375" style="32" bestFit="1" customWidth="1"/>
    <col min="12044" max="12047" width="9.109375" style="32"/>
    <col min="12048" max="12048" width="15.6640625" style="32" customWidth="1"/>
    <col min="12049" max="12049" width="13.44140625" style="32" customWidth="1"/>
    <col min="12050" max="12050" width="23.6640625" style="32" customWidth="1"/>
    <col min="12051" max="12051" width="37.5546875" style="32" customWidth="1"/>
    <col min="12052" max="12052" width="11.44140625" style="32" customWidth="1"/>
    <col min="12053" max="12053" width="10.5546875" style="32" customWidth="1"/>
    <col min="12054" max="12054" width="9.109375" style="32"/>
    <col min="12055" max="12055" width="23.44140625" style="32" bestFit="1" customWidth="1"/>
    <col min="12056" max="12057" width="9.109375" style="32"/>
    <col min="12058" max="12058" width="20.5546875" style="32" bestFit="1" customWidth="1"/>
    <col min="12059" max="12284" width="9.109375" style="32"/>
    <col min="12285" max="12285" width="6.44140625" style="32" customWidth="1"/>
    <col min="12286" max="12286" width="8.44140625" style="32" customWidth="1"/>
    <col min="12287" max="12287" width="22.44140625" style="32" customWidth="1"/>
    <col min="12288" max="12288" width="40.33203125" style="32" customWidth="1"/>
    <col min="12289" max="12290" width="18.6640625" style="32" customWidth="1"/>
    <col min="12291" max="12291" width="17.44140625" style="32" customWidth="1"/>
    <col min="12292" max="12292" width="20.33203125" style="32" customWidth="1"/>
    <col min="12293" max="12293" width="19" style="32" customWidth="1"/>
    <col min="12294" max="12294" width="14.88671875" style="32" customWidth="1"/>
    <col min="12295" max="12295" width="27.109375" style="32" bestFit="1" customWidth="1"/>
    <col min="12296" max="12296" width="15.6640625" style="32" bestFit="1" customWidth="1"/>
    <col min="12297" max="12297" width="12.33203125" style="32" bestFit="1" customWidth="1"/>
    <col min="12298" max="12298" width="15.109375" style="32" bestFit="1" customWidth="1"/>
    <col min="12299" max="12299" width="21.109375" style="32" bestFit="1" customWidth="1"/>
    <col min="12300" max="12303" width="9.109375" style="32"/>
    <col min="12304" max="12304" width="15.6640625" style="32" customWidth="1"/>
    <col min="12305" max="12305" width="13.44140625" style="32" customWidth="1"/>
    <col min="12306" max="12306" width="23.6640625" style="32" customWidth="1"/>
    <col min="12307" max="12307" width="37.5546875" style="32" customWidth="1"/>
    <col min="12308" max="12308" width="11.44140625" style="32" customWidth="1"/>
    <col min="12309" max="12309" width="10.5546875" style="32" customWidth="1"/>
    <col min="12310" max="12310" width="9.109375" style="32"/>
    <col min="12311" max="12311" width="23.44140625" style="32" bestFit="1" customWidth="1"/>
    <col min="12312" max="12313" width="9.109375" style="32"/>
    <col min="12314" max="12314" width="20.5546875" style="32" bestFit="1" customWidth="1"/>
    <col min="12315" max="12540" width="9.109375" style="32"/>
    <col min="12541" max="12541" width="6.44140625" style="32" customWidth="1"/>
    <col min="12542" max="12542" width="8.44140625" style="32" customWidth="1"/>
    <col min="12543" max="12543" width="22.44140625" style="32" customWidth="1"/>
    <col min="12544" max="12544" width="40.33203125" style="32" customWidth="1"/>
    <col min="12545" max="12546" width="18.6640625" style="32" customWidth="1"/>
    <col min="12547" max="12547" width="17.44140625" style="32" customWidth="1"/>
    <col min="12548" max="12548" width="20.33203125" style="32" customWidth="1"/>
    <col min="12549" max="12549" width="19" style="32" customWidth="1"/>
    <col min="12550" max="12550" width="14.88671875" style="32" customWidth="1"/>
    <col min="12551" max="12551" width="27.109375" style="32" bestFit="1" customWidth="1"/>
    <col min="12552" max="12552" width="15.6640625" style="32" bestFit="1" customWidth="1"/>
    <col min="12553" max="12553" width="12.33203125" style="32" bestFit="1" customWidth="1"/>
    <col min="12554" max="12554" width="15.109375" style="32" bestFit="1" customWidth="1"/>
    <col min="12555" max="12555" width="21.109375" style="32" bestFit="1" customWidth="1"/>
    <col min="12556" max="12559" width="9.109375" style="32"/>
    <col min="12560" max="12560" width="15.6640625" style="32" customWidth="1"/>
    <col min="12561" max="12561" width="13.44140625" style="32" customWidth="1"/>
    <col min="12562" max="12562" width="23.6640625" style="32" customWidth="1"/>
    <col min="12563" max="12563" width="37.5546875" style="32" customWidth="1"/>
    <col min="12564" max="12564" width="11.44140625" style="32" customWidth="1"/>
    <col min="12565" max="12565" width="10.5546875" style="32" customWidth="1"/>
    <col min="12566" max="12566" width="9.109375" style="32"/>
    <col min="12567" max="12567" width="23.44140625" style="32" bestFit="1" customWidth="1"/>
    <col min="12568" max="12569" width="9.109375" style="32"/>
    <col min="12570" max="12570" width="20.5546875" style="32" bestFit="1" customWidth="1"/>
    <col min="12571" max="12796" width="9.109375" style="32"/>
    <col min="12797" max="12797" width="6.44140625" style="32" customWidth="1"/>
    <col min="12798" max="12798" width="8.44140625" style="32" customWidth="1"/>
    <col min="12799" max="12799" width="22.44140625" style="32" customWidth="1"/>
    <col min="12800" max="12800" width="40.33203125" style="32" customWidth="1"/>
    <col min="12801" max="12802" width="18.6640625" style="32" customWidth="1"/>
    <col min="12803" max="12803" width="17.44140625" style="32" customWidth="1"/>
    <col min="12804" max="12804" width="20.33203125" style="32" customWidth="1"/>
    <col min="12805" max="12805" width="19" style="32" customWidth="1"/>
    <col min="12806" max="12806" width="14.88671875" style="32" customWidth="1"/>
    <col min="12807" max="12807" width="27.109375" style="32" bestFit="1" customWidth="1"/>
    <col min="12808" max="12808" width="15.6640625" style="32" bestFit="1" customWidth="1"/>
    <col min="12809" max="12809" width="12.33203125" style="32" bestFit="1" customWidth="1"/>
    <col min="12810" max="12810" width="15.109375" style="32" bestFit="1" customWidth="1"/>
    <col min="12811" max="12811" width="21.109375" style="32" bestFit="1" customWidth="1"/>
    <col min="12812" max="12815" width="9.109375" style="32"/>
    <col min="12816" max="12816" width="15.6640625" style="32" customWidth="1"/>
    <col min="12817" max="12817" width="13.44140625" style="32" customWidth="1"/>
    <col min="12818" max="12818" width="23.6640625" style="32" customWidth="1"/>
    <col min="12819" max="12819" width="37.5546875" style="32" customWidth="1"/>
    <col min="12820" max="12820" width="11.44140625" style="32" customWidth="1"/>
    <col min="12821" max="12821" width="10.5546875" style="32" customWidth="1"/>
    <col min="12822" max="12822" width="9.109375" style="32"/>
    <col min="12823" max="12823" width="23.44140625" style="32" bestFit="1" customWidth="1"/>
    <col min="12824" max="12825" width="9.109375" style="32"/>
    <col min="12826" max="12826" width="20.5546875" style="32" bestFit="1" customWidth="1"/>
    <col min="12827" max="13052" width="9.109375" style="32"/>
    <col min="13053" max="13053" width="6.44140625" style="32" customWidth="1"/>
    <col min="13054" max="13054" width="8.44140625" style="32" customWidth="1"/>
    <col min="13055" max="13055" width="22.44140625" style="32" customWidth="1"/>
    <col min="13056" max="13056" width="40.33203125" style="32" customWidth="1"/>
    <col min="13057" max="13058" width="18.6640625" style="32" customWidth="1"/>
    <col min="13059" max="13059" width="17.44140625" style="32" customWidth="1"/>
    <col min="13060" max="13060" width="20.33203125" style="32" customWidth="1"/>
    <col min="13061" max="13061" width="19" style="32" customWidth="1"/>
    <col min="13062" max="13062" width="14.88671875" style="32" customWidth="1"/>
    <col min="13063" max="13063" width="27.109375" style="32" bestFit="1" customWidth="1"/>
    <col min="13064" max="13064" width="15.6640625" style="32" bestFit="1" customWidth="1"/>
    <col min="13065" max="13065" width="12.33203125" style="32" bestFit="1" customWidth="1"/>
    <col min="13066" max="13066" width="15.109375" style="32" bestFit="1" customWidth="1"/>
    <col min="13067" max="13067" width="21.109375" style="32" bestFit="1" customWidth="1"/>
    <col min="13068" max="13071" width="9.109375" style="32"/>
    <col min="13072" max="13072" width="15.6640625" style="32" customWidth="1"/>
    <col min="13073" max="13073" width="13.44140625" style="32" customWidth="1"/>
    <col min="13074" max="13074" width="23.6640625" style="32" customWidth="1"/>
    <col min="13075" max="13075" width="37.5546875" style="32" customWidth="1"/>
    <col min="13076" max="13076" width="11.44140625" style="32" customWidth="1"/>
    <col min="13077" max="13077" width="10.5546875" style="32" customWidth="1"/>
    <col min="13078" max="13078" width="9.109375" style="32"/>
    <col min="13079" max="13079" width="23.44140625" style="32" bestFit="1" customWidth="1"/>
    <col min="13080" max="13081" width="9.109375" style="32"/>
    <col min="13082" max="13082" width="20.5546875" style="32" bestFit="1" customWidth="1"/>
    <col min="13083" max="13308" width="9.109375" style="32"/>
    <col min="13309" max="13309" width="6.44140625" style="32" customWidth="1"/>
    <col min="13310" max="13310" width="8.44140625" style="32" customWidth="1"/>
    <col min="13311" max="13311" width="22.44140625" style="32" customWidth="1"/>
    <col min="13312" max="13312" width="40.33203125" style="32" customWidth="1"/>
    <col min="13313" max="13314" width="18.6640625" style="32" customWidth="1"/>
    <col min="13315" max="13315" width="17.44140625" style="32" customWidth="1"/>
    <col min="13316" max="13316" width="20.33203125" style="32" customWidth="1"/>
    <col min="13317" max="13317" width="19" style="32" customWidth="1"/>
    <col min="13318" max="13318" width="14.88671875" style="32" customWidth="1"/>
    <col min="13319" max="13319" width="27.109375" style="32" bestFit="1" customWidth="1"/>
    <col min="13320" max="13320" width="15.6640625" style="32" bestFit="1" customWidth="1"/>
    <col min="13321" max="13321" width="12.33203125" style="32" bestFit="1" customWidth="1"/>
    <col min="13322" max="13322" width="15.109375" style="32" bestFit="1" customWidth="1"/>
    <col min="13323" max="13323" width="21.109375" style="32" bestFit="1" customWidth="1"/>
    <col min="13324" max="13327" width="9.109375" style="32"/>
    <col min="13328" max="13328" width="15.6640625" style="32" customWidth="1"/>
    <col min="13329" max="13329" width="13.44140625" style="32" customWidth="1"/>
    <col min="13330" max="13330" width="23.6640625" style="32" customWidth="1"/>
    <col min="13331" max="13331" width="37.5546875" style="32" customWidth="1"/>
    <col min="13332" max="13332" width="11.44140625" style="32" customWidth="1"/>
    <col min="13333" max="13333" width="10.5546875" style="32" customWidth="1"/>
    <col min="13334" max="13334" width="9.109375" style="32"/>
    <col min="13335" max="13335" width="23.44140625" style="32" bestFit="1" customWidth="1"/>
    <col min="13336" max="13337" width="9.109375" style="32"/>
    <col min="13338" max="13338" width="20.5546875" style="32" bestFit="1" customWidth="1"/>
    <col min="13339" max="13564" width="9.109375" style="32"/>
    <col min="13565" max="13565" width="6.44140625" style="32" customWidth="1"/>
    <col min="13566" max="13566" width="8.44140625" style="32" customWidth="1"/>
    <col min="13567" max="13567" width="22.44140625" style="32" customWidth="1"/>
    <col min="13568" max="13568" width="40.33203125" style="32" customWidth="1"/>
    <col min="13569" max="13570" width="18.6640625" style="32" customWidth="1"/>
    <col min="13571" max="13571" width="17.44140625" style="32" customWidth="1"/>
    <col min="13572" max="13572" width="20.33203125" style="32" customWidth="1"/>
    <col min="13573" max="13573" width="19" style="32" customWidth="1"/>
    <col min="13574" max="13574" width="14.88671875" style="32" customWidth="1"/>
    <col min="13575" max="13575" width="27.109375" style="32" bestFit="1" customWidth="1"/>
    <col min="13576" max="13576" width="15.6640625" style="32" bestFit="1" customWidth="1"/>
    <col min="13577" max="13577" width="12.33203125" style="32" bestFit="1" customWidth="1"/>
    <col min="13578" max="13578" width="15.109375" style="32" bestFit="1" customWidth="1"/>
    <col min="13579" max="13579" width="21.109375" style="32" bestFit="1" customWidth="1"/>
    <col min="13580" max="13583" width="9.109375" style="32"/>
    <col min="13584" max="13584" width="15.6640625" style="32" customWidth="1"/>
    <col min="13585" max="13585" width="13.44140625" style="32" customWidth="1"/>
    <col min="13586" max="13586" width="23.6640625" style="32" customWidth="1"/>
    <col min="13587" max="13587" width="37.5546875" style="32" customWidth="1"/>
    <col min="13588" max="13588" width="11.44140625" style="32" customWidth="1"/>
    <col min="13589" max="13589" width="10.5546875" style="32" customWidth="1"/>
    <col min="13590" max="13590" width="9.109375" style="32"/>
    <col min="13591" max="13591" width="23.44140625" style="32" bestFit="1" customWidth="1"/>
    <col min="13592" max="13593" width="9.109375" style="32"/>
    <col min="13594" max="13594" width="20.5546875" style="32" bestFit="1" customWidth="1"/>
    <col min="13595" max="13820" width="9.109375" style="32"/>
    <col min="13821" max="13821" width="6.44140625" style="32" customWidth="1"/>
    <col min="13822" max="13822" width="8.44140625" style="32" customWidth="1"/>
    <col min="13823" max="13823" width="22.44140625" style="32" customWidth="1"/>
    <col min="13824" max="13824" width="40.33203125" style="32" customWidth="1"/>
    <col min="13825" max="13826" width="18.6640625" style="32" customWidth="1"/>
    <col min="13827" max="13827" width="17.44140625" style="32" customWidth="1"/>
    <col min="13828" max="13828" width="20.33203125" style="32" customWidth="1"/>
    <col min="13829" max="13829" width="19" style="32" customWidth="1"/>
    <col min="13830" max="13830" width="14.88671875" style="32" customWidth="1"/>
    <col min="13831" max="13831" width="27.109375" style="32" bestFit="1" customWidth="1"/>
    <col min="13832" max="13832" width="15.6640625" style="32" bestFit="1" customWidth="1"/>
    <col min="13833" max="13833" width="12.33203125" style="32" bestFit="1" customWidth="1"/>
    <col min="13834" max="13834" width="15.109375" style="32" bestFit="1" customWidth="1"/>
    <col min="13835" max="13835" width="21.109375" style="32" bestFit="1" customWidth="1"/>
    <col min="13836" max="13839" width="9.109375" style="32"/>
    <col min="13840" max="13840" width="15.6640625" style="32" customWidth="1"/>
    <col min="13841" max="13841" width="13.44140625" style="32" customWidth="1"/>
    <col min="13842" max="13842" width="23.6640625" style="32" customWidth="1"/>
    <col min="13843" max="13843" width="37.5546875" style="32" customWidth="1"/>
    <col min="13844" max="13844" width="11.44140625" style="32" customWidth="1"/>
    <col min="13845" max="13845" width="10.5546875" style="32" customWidth="1"/>
    <col min="13846" max="13846" width="9.109375" style="32"/>
    <col min="13847" max="13847" width="23.44140625" style="32" bestFit="1" customWidth="1"/>
    <col min="13848" max="13849" width="9.109375" style="32"/>
    <col min="13850" max="13850" width="20.5546875" style="32" bestFit="1" customWidth="1"/>
    <col min="13851" max="14076" width="9.109375" style="32"/>
    <col min="14077" max="14077" width="6.44140625" style="32" customWidth="1"/>
    <col min="14078" max="14078" width="8.44140625" style="32" customWidth="1"/>
    <col min="14079" max="14079" width="22.44140625" style="32" customWidth="1"/>
    <col min="14080" max="14080" width="40.33203125" style="32" customWidth="1"/>
    <col min="14081" max="14082" width="18.6640625" style="32" customWidth="1"/>
    <col min="14083" max="14083" width="17.44140625" style="32" customWidth="1"/>
    <col min="14084" max="14084" width="20.33203125" style="32" customWidth="1"/>
    <col min="14085" max="14085" width="19" style="32" customWidth="1"/>
    <col min="14086" max="14086" width="14.88671875" style="32" customWidth="1"/>
    <col min="14087" max="14087" width="27.109375" style="32" bestFit="1" customWidth="1"/>
    <col min="14088" max="14088" width="15.6640625" style="32" bestFit="1" customWidth="1"/>
    <col min="14089" max="14089" width="12.33203125" style="32" bestFit="1" customWidth="1"/>
    <col min="14090" max="14090" width="15.109375" style="32" bestFit="1" customWidth="1"/>
    <col min="14091" max="14091" width="21.109375" style="32" bestFit="1" customWidth="1"/>
    <col min="14092" max="14095" width="9.109375" style="32"/>
    <col min="14096" max="14096" width="15.6640625" style="32" customWidth="1"/>
    <col min="14097" max="14097" width="13.44140625" style="32" customWidth="1"/>
    <col min="14098" max="14098" width="23.6640625" style="32" customWidth="1"/>
    <col min="14099" max="14099" width="37.5546875" style="32" customWidth="1"/>
    <col min="14100" max="14100" width="11.44140625" style="32" customWidth="1"/>
    <col min="14101" max="14101" width="10.5546875" style="32" customWidth="1"/>
    <col min="14102" max="14102" width="9.109375" style="32"/>
    <col min="14103" max="14103" width="23.44140625" style="32" bestFit="1" customWidth="1"/>
    <col min="14104" max="14105" width="9.109375" style="32"/>
    <col min="14106" max="14106" width="20.5546875" style="32" bestFit="1" customWidth="1"/>
    <col min="14107" max="14332" width="9.109375" style="32"/>
    <col min="14333" max="14333" width="6.44140625" style="32" customWidth="1"/>
    <col min="14334" max="14334" width="8.44140625" style="32" customWidth="1"/>
    <col min="14335" max="14335" width="22.44140625" style="32" customWidth="1"/>
    <col min="14336" max="14336" width="40.33203125" style="32" customWidth="1"/>
    <col min="14337" max="14338" width="18.6640625" style="32" customWidth="1"/>
    <col min="14339" max="14339" width="17.44140625" style="32" customWidth="1"/>
    <col min="14340" max="14340" width="20.33203125" style="32" customWidth="1"/>
    <col min="14341" max="14341" width="19" style="32" customWidth="1"/>
    <col min="14342" max="14342" width="14.88671875" style="32" customWidth="1"/>
    <col min="14343" max="14343" width="27.109375" style="32" bestFit="1" customWidth="1"/>
    <col min="14344" max="14344" width="15.6640625" style="32" bestFit="1" customWidth="1"/>
    <col min="14345" max="14345" width="12.33203125" style="32" bestFit="1" customWidth="1"/>
    <col min="14346" max="14346" width="15.109375" style="32" bestFit="1" customWidth="1"/>
    <col min="14347" max="14347" width="21.109375" style="32" bestFit="1" customWidth="1"/>
    <col min="14348" max="14351" width="9.109375" style="32"/>
    <col min="14352" max="14352" width="15.6640625" style="32" customWidth="1"/>
    <col min="14353" max="14353" width="13.44140625" style="32" customWidth="1"/>
    <col min="14354" max="14354" width="23.6640625" style="32" customWidth="1"/>
    <col min="14355" max="14355" width="37.5546875" style="32" customWidth="1"/>
    <col min="14356" max="14356" width="11.44140625" style="32" customWidth="1"/>
    <col min="14357" max="14357" width="10.5546875" style="32" customWidth="1"/>
    <col min="14358" max="14358" width="9.109375" style="32"/>
    <col min="14359" max="14359" width="23.44140625" style="32" bestFit="1" customWidth="1"/>
    <col min="14360" max="14361" width="9.109375" style="32"/>
    <col min="14362" max="14362" width="20.5546875" style="32" bestFit="1" customWidth="1"/>
    <col min="14363" max="14588" width="9.109375" style="32"/>
    <col min="14589" max="14589" width="6.44140625" style="32" customWidth="1"/>
    <col min="14590" max="14590" width="8.44140625" style="32" customWidth="1"/>
    <col min="14591" max="14591" width="22.44140625" style="32" customWidth="1"/>
    <col min="14592" max="14592" width="40.33203125" style="32" customWidth="1"/>
    <col min="14593" max="14594" width="18.6640625" style="32" customWidth="1"/>
    <col min="14595" max="14595" width="17.44140625" style="32" customWidth="1"/>
    <col min="14596" max="14596" width="20.33203125" style="32" customWidth="1"/>
    <col min="14597" max="14597" width="19" style="32" customWidth="1"/>
    <col min="14598" max="14598" width="14.88671875" style="32" customWidth="1"/>
    <col min="14599" max="14599" width="27.109375" style="32" bestFit="1" customWidth="1"/>
    <col min="14600" max="14600" width="15.6640625" style="32" bestFit="1" customWidth="1"/>
    <col min="14601" max="14601" width="12.33203125" style="32" bestFit="1" customWidth="1"/>
    <col min="14602" max="14602" width="15.109375" style="32" bestFit="1" customWidth="1"/>
    <col min="14603" max="14603" width="21.109375" style="32" bestFit="1" customWidth="1"/>
    <col min="14604" max="14607" width="9.109375" style="32"/>
    <col min="14608" max="14608" width="15.6640625" style="32" customWidth="1"/>
    <col min="14609" max="14609" width="13.44140625" style="32" customWidth="1"/>
    <col min="14610" max="14610" width="23.6640625" style="32" customWidth="1"/>
    <col min="14611" max="14611" width="37.5546875" style="32" customWidth="1"/>
    <col min="14612" max="14612" width="11.44140625" style="32" customWidth="1"/>
    <col min="14613" max="14613" width="10.5546875" style="32" customWidth="1"/>
    <col min="14614" max="14614" width="9.109375" style="32"/>
    <col min="14615" max="14615" width="23.44140625" style="32" bestFit="1" customWidth="1"/>
    <col min="14616" max="14617" width="9.109375" style="32"/>
    <col min="14618" max="14618" width="20.5546875" style="32" bestFit="1" customWidth="1"/>
    <col min="14619" max="14844" width="9.109375" style="32"/>
    <col min="14845" max="14845" width="6.44140625" style="32" customWidth="1"/>
    <col min="14846" max="14846" width="8.44140625" style="32" customWidth="1"/>
    <col min="14847" max="14847" width="22.44140625" style="32" customWidth="1"/>
    <col min="14848" max="14848" width="40.33203125" style="32" customWidth="1"/>
    <col min="14849" max="14850" width="18.6640625" style="32" customWidth="1"/>
    <col min="14851" max="14851" width="17.44140625" style="32" customWidth="1"/>
    <col min="14852" max="14852" width="20.33203125" style="32" customWidth="1"/>
    <col min="14853" max="14853" width="19" style="32" customWidth="1"/>
    <col min="14854" max="14854" width="14.88671875" style="32" customWidth="1"/>
    <col min="14855" max="14855" width="27.109375" style="32" bestFit="1" customWidth="1"/>
    <col min="14856" max="14856" width="15.6640625" style="32" bestFit="1" customWidth="1"/>
    <col min="14857" max="14857" width="12.33203125" style="32" bestFit="1" customWidth="1"/>
    <col min="14858" max="14858" width="15.109375" style="32" bestFit="1" customWidth="1"/>
    <col min="14859" max="14859" width="21.109375" style="32" bestFit="1" customWidth="1"/>
    <col min="14860" max="14863" width="9.109375" style="32"/>
    <col min="14864" max="14864" width="15.6640625" style="32" customWidth="1"/>
    <col min="14865" max="14865" width="13.44140625" style="32" customWidth="1"/>
    <col min="14866" max="14866" width="23.6640625" style="32" customWidth="1"/>
    <col min="14867" max="14867" width="37.5546875" style="32" customWidth="1"/>
    <col min="14868" max="14868" width="11.44140625" style="32" customWidth="1"/>
    <col min="14869" max="14869" width="10.5546875" style="32" customWidth="1"/>
    <col min="14870" max="14870" width="9.109375" style="32"/>
    <col min="14871" max="14871" width="23.44140625" style="32" bestFit="1" customWidth="1"/>
    <col min="14872" max="14873" width="9.109375" style="32"/>
    <col min="14874" max="14874" width="20.5546875" style="32" bestFit="1" customWidth="1"/>
    <col min="14875" max="15100" width="9.109375" style="32"/>
    <col min="15101" max="15101" width="6.44140625" style="32" customWidth="1"/>
    <col min="15102" max="15102" width="8.44140625" style="32" customWidth="1"/>
    <col min="15103" max="15103" width="22.44140625" style="32" customWidth="1"/>
    <col min="15104" max="15104" width="40.33203125" style="32" customWidth="1"/>
    <col min="15105" max="15106" width="18.6640625" style="32" customWidth="1"/>
    <col min="15107" max="15107" width="17.44140625" style="32" customWidth="1"/>
    <col min="15108" max="15108" width="20.33203125" style="32" customWidth="1"/>
    <col min="15109" max="15109" width="19" style="32" customWidth="1"/>
    <col min="15110" max="15110" width="14.88671875" style="32" customWidth="1"/>
    <col min="15111" max="15111" width="27.109375" style="32" bestFit="1" customWidth="1"/>
    <col min="15112" max="15112" width="15.6640625" style="32" bestFit="1" customWidth="1"/>
    <col min="15113" max="15113" width="12.33203125" style="32" bestFit="1" customWidth="1"/>
    <col min="15114" max="15114" width="15.109375" style="32" bestFit="1" customWidth="1"/>
    <col min="15115" max="15115" width="21.109375" style="32" bestFit="1" customWidth="1"/>
    <col min="15116" max="15119" width="9.109375" style="32"/>
    <col min="15120" max="15120" width="15.6640625" style="32" customWidth="1"/>
    <col min="15121" max="15121" width="13.44140625" style="32" customWidth="1"/>
    <col min="15122" max="15122" width="23.6640625" style="32" customWidth="1"/>
    <col min="15123" max="15123" width="37.5546875" style="32" customWidth="1"/>
    <col min="15124" max="15124" width="11.44140625" style="32" customWidth="1"/>
    <col min="15125" max="15125" width="10.5546875" style="32" customWidth="1"/>
    <col min="15126" max="15126" width="9.109375" style="32"/>
    <col min="15127" max="15127" width="23.44140625" style="32" bestFit="1" customWidth="1"/>
    <col min="15128" max="15129" width="9.109375" style="32"/>
    <col min="15130" max="15130" width="20.5546875" style="32" bestFit="1" customWidth="1"/>
    <col min="15131" max="15356" width="9.109375" style="32"/>
    <col min="15357" max="15357" width="6.44140625" style="32" customWidth="1"/>
    <col min="15358" max="15358" width="8.44140625" style="32" customWidth="1"/>
    <col min="15359" max="15359" width="22.44140625" style="32" customWidth="1"/>
    <col min="15360" max="15360" width="40.33203125" style="32" customWidth="1"/>
    <col min="15361" max="15362" width="18.6640625" style="32" customWidth="1"/>
    <col min="15363" max="15363" width="17.44140625" style="32" customWidth="1"/>
    <col min="15364" max="15364" width="20.33203125" style="32" customWidth="1"/>
    <col min="15365" max="15365" width="19" style="32" customWidth="1"/>
    <col min="15366" max="15366" width="14.88671875" style="32" customWidth="1"/>
    <col min="15367" max="15367" width="27.109375" style="32" bestFit="1" customWidth="1"/>
    <col min="15368" max="15368" width="15.6640625" style="32" bestFit="1" customWidth="1"/>
    <col min="15369" max="15369" width="12.33203125" style="32" bestFit="1" customWidth="1"/>
    <col min="15370" max="15370" width="15.109375" style="32" bestFit="1" customWidth="1"/>
    <col min="15371" max="15371" width="21.109375" style="32" bestFit="1" customWidth="1"/>
    <col min="15372" max="15375" width="9.109375" style="32"/>
    <col min="15376" max="15376" width="15.6640625" style="32" customWidth="1"/>
    <col min="15377" max="15377" width="13.44140625" style="32" customWidth="1"/>
    <col min="15378" max="15378" width="23.6640625" style="32" customWidth="1"/>
    <col min="15379" max="15379" width="37.5546875" style="32" customWidth="1"/>
    <col min="15380" max="15380" width="11.44140625" style="32" customWidth="1"/>
    <col min="15381" max="15381" width="10.5546875" style="32" customWidth="1"/>
    <col min="15382" max="15382" width="9.109375" style="32"/>
    <col min="15383" max="15383" width="23.44140625" style="32" bestFit="1" customWidth="1"/>
    <col min="15384" max="15385" width="9.109375" style="32"/>
    <col min="15386" max="15386" width="20.5546875" style="32" bestFit="1" customWidth="1"/>
    <col min="15387" max="15612" width="9.109375" style="32"/>
    <col min="15613" max="15613" width="6.44140625" style="32" customWidth="1"/>
    <col min="15614" max="15614" width="8.44140625" style="32" customWidth="1"/>
    <col min="15615" max="15615" width="22.44140625" style="32" customWidth="1"/>
    <col min="15616" max="15616" width="40.33203125" style="32" customWidth="1"/>
    <col min="15617" max="15618" width="18.6640625" style="32" customWidth="1"/>
    <col min="15619" max="15619" width="17.44140625" style="32" customWidth="1"/>
    <col min="15620" max="15620" width="20.33203125" style="32" customWidth="1"/>
    <col min="15621" max="15621" width="19" style="32" customWidth="1"/>
    <col min="15622" max="15622" width="14.88671875" style="32" customWidth="1"/>
    <col min="15623" max="15623" width="27.109375" style="32" bestFit="1" customWidth="1"/>
    <col min="15624" max="15624" width="15.6640625" style="32" bestFit="1" customWidth="1"/>
    <col min="15625" max="15625" width="12.33203125" style="32" bestFit="1" customWidth="1"/>
    <col min="15626" max="15626" width="15.109375" style="32" bestFit="1" customWidth="1"/>
    <col min="15627" max="15627" width="21.109375" style="32" bestFit="1" customWidth="1"/>
    <col min="15628" max="15631" width="9.109375" style="32"/>
    <col min="15632" max="15632" width="15.6640625" style="32" customWidth="1"/>
    <col min="15633" max="15633" width="13.44140625" style="32" customWidth="1"/>
    <col min="15634" max="15634" width="23.6640625" style="32" customWidth="1"/>
    <col min="15635" max="15635" width="37.5546875" style="32" customWidth="1"/>
    <col min="15636" max="15636" width="11.44140625" style="32" customWidth="1"/>
    <col min="15637" max="15637" width="10.5546875" style="32" customWidth="1"/>
    <col min="15638" max="15638" width="9.109375" style="32"/>
    <col min="15639" max="15639" width="23.44140625" style="32" bestFit="1" customWidth="1"/>
    <col min="15640" max="15641" width="9.109375" style="32"/>
    <col min="15642" max="15642" width="20.5546875" style="32" bestFit="1" customWidth="1"/>
    <col min="15643" max="15868" width="9.109375" style="32"/>
    <col min="15869" max="15869" width="6.44140625" style="32" customWidth="1"/>
    <col min="15870" max="15870" width="8.44140625" style="32" customWidth="1"/>
    <col min="15871" max="15871" width="22.44140625" style="32" customWidth="1"/>
    <col min="15872" max="15872" width="40.33203125" style="32" customWidth="1"/>
    <col min="15873" max="15874" width="18.6640625" style="32" customWidth="1"/>
    <col min="15875" max="15875" width="17.44140625" style="32" customWidth="1"/>
    <col min="15876" max="15876" width="20.33203125" style="32" customWidth="1"/>
    <col min="15877" max="15877" width="19" style="32" customWidth="1"/>
    <col min="15878" max="15878" width="14.88671875" style="32" customWidth="1"/>
    <col min="15879" max="15879" width="27.109375" style="32" bestFit="1" customWidth="1"/>
    <col min="15880" max="15880" width="15.6640625" style="32" bestFit="1" customWidth="1"/>
    <col min="15881" max="15881" width="12.33203125" style="32" bestFit="1" customWidth="1"/>
    <col min="15882" max="15882" width="15.109375" style="32" bestFit="1" customWidth="1"/>
    <col min="15883" max="15883" width="21.109375" style="32" bestFit="1" customWidth="1"/>
    <col min="15884" max="15887" width="9.109375" style="32"/>
    <col min="15888" max="15888" width="15.6640625" style="32" customWidth="1"/>
    <col min="15889" max="15889" width="13.44140625" style="32" customWidth="1"/>
    <col min="15890" max="15890" width="23.6640625" style="32" customWidth="1"/>
    <col min="15891" max="15891" width="37.5546875" style="32" customWidth="1"/>
    <col min="15892" max="15892" width="11.44140625" style="32" customWidth="1"/>
    <col min="15893" max="15893" width="10.5546875" style="32" customWidth="1"/>
    <col min="15894" max="15894" width="9.109375" style="32"/>
    <col min="15895" max="15895" width="23.44140625" style="32" bestFit="1" customWidth="1"/>
    <col min="15896" max="15897" width="9.109375" style="32"/>
    <col min="15898" max="15898" width="20.5546875" style="32" bestFit="1" customWidth="1"/>
    <col min="15899" max="16124" width="9.109375" style="32"/>
    <col min="16125" max="16125" width="6.44140625" style="32" customWidth="1"/>
    <col min="16126" max="16126" width="8.44140625" style="32" customWidth="1"/>
    <col min="16127" max="16127" width="22.44140625" style="32" customWidth="1"/>
    <col min="16128" max="16128" width="40.33203125" style="32" customWidth="1"/>
    <col min="16129" max="16130" width="18.6640625" style="32" customWidth="1"/>
    <col min="16131" max="16131" width="17.44140625" style="32" customWidth="1"/>
    <col min="16132" max="16132" width="20.33203125" style="32" customWidth="1"/>
    <col min="16133" max="16133" width="19" style="32" customWidth="1"/>
    <col min="16134" max="16134" width="14.88671875" style="32" customWidth="1"/>
    <col min="16135" max="16135" width="27.109375" style="32" bestFit="1" customWidth="1"/>
    <col min="16136" max="16136" width="15.6640625" style="32" bestFit="1" customWidth="1"/>
    <col min="16137" max="16137" width="12.33203125" style="32" bestFit="1" customWidth="1"/>
    <col min="16138" max="16138" width="15.109375" style="32" bestFit="1" customWidth="1"/>
    <col min="16139" max="16139" width="21.109375" style="32" bestFit="1" customWidth="1"/>
    <col min="16140" max="16143" width="9.109375" style="32"/>
    <col min="16144" max="16144" width="15.6640625" style="32" customWidth="1"/>
    <col min="16145" max="16145" width="13.44140625" style="32" customWidth="1"/>
    <col min="16146" max="16146" width="23.6640625" style="32" customWidth="1"/>
    <col min="16147" max="16147" width="37.5546875" style="32" customWidth="1"/>
    <col min="16148" max="16148" width="11.44140625" style="32" customWidth="1"/>
    <col min="16149" max="16149" width="10.5546875" style="32" customWidth="1"/>
    <col min="16150" max="16150" width="9.109375" style="32"/>
    <col min="16151" max="16151" width="23.44140625" style="32" bestFit="1" customWidth="1"/>
    <col min="16152" max="16153" width="9.109375" style="32"/>
    <col min="16154" max="16154" width="20.5546875" style="32" bestFit="1" customWidth="1"/>
    <col min="16155" max="16384" width="9.109375" style="32"/>
  </cols>
  <sheetData>
    <row r="2" spans="2:25" x14ac:dyDescent="0.25">
      <c r="B2" s="64" t="s">
        <v>685</v>
      </c>
      <c r="Q2" s="32" t="s">
        <v>121</v>
      </c>
    </row>
    <row r="4" spans="2:25" x14ac:dyDescent="0.25">
      <c r="B4" s="30"/>
      <c r="D4" s="18"/>
      <c r="E4" s="18"/>
      <c r="F4" s="18"/>
      <c r="G4" s="276"/>
      <c r="H4" s="276"/>
      <c r="I4" s="276"/>
      <c r="J4" s="49"/>
      <c r="K4" s="49"/>
      <c r="L4" s="31"/>
      <c r="M4" s="22"/>
      <c r="Q4" s="62" t="s">
        <v>42</v>
      </c>
      <c r="R4" s="62"/>
      <c r="S4" s="62"/>
      <c r="T4" s="62"/>
      <c r="U4" s="62"/>
      <c r="V4" s="62"/>
      <c r="W4" s="62"/>
      <c r="X4" s="62"/>
      <c r="Y4" s="62"/>
    </row>
    <row r="5" spans="2:25" x14ac:dyDescent="0.25">
      <c r="F5" s="137" t="s">
        <v>15</v>
      </c>
      <c r="G5" s="277"/>
      <c r="H5" s="277"/>
      <c r="I5" s="277"/>
      <c r="J5" s="49"/>
      <c r="M5" s="22"/>
      <c r="N5" s="49"/>
      <c r="Q5" s="136" t="s">
        <v>20</v>
      </c>
      <c r="R5" s="136"/>
      <c r="S5" s="62"/>
      <c r="T5" s="62"/>
      <c r="U5" s="62"/>
      <c r="V5" s="62"/>
      <c r="W5" s="62"/>
      <c r="X5" s="62"/>
      <c r="Y5" s="62"/>
    </row>
    <row r="6" spans="2:25" ht="19.5" customHeight="1" x14ac:dyDescent="0.25">
      <c r="B6" s="71" t="s">
        <v>1</v>
      </c>
      <c r="C6" s="71" t="s">
        <v>45</v>
      </c>
      <c r="D6" s="71" t="s">
        <v>7</v>
      </c>
      <c r="E6" s="71" t="s">
        <v>542</v>
      </c>
      <c r="F6" s="93" t="s">
        <v>8</v>
      </c>
      <c r="G6" s="66" t="s">
        <v>750</v>
      </c>
      <c r="H6" s="66" t="s">
        <v>17</v>
      </c>
      <c r="I6" s="94" t="s">
        <v>119</v>
      </c>
      <c r="J6" s="94" t="s">
        <v>120</v>
      </c>
      <c r="K6" s="94" t="s">
        <v>18</v>
      </c>
      <c r="L6" s="94" t="s">
        <v>3</v>
      </c>
      <c r="M6" s="94" t="s">
        <v>6</v>
      </c>
      <c r="N6" s="94" t="s">
        <v>125</v>
      </c>
      <c r="O6" s="94" t="s">
        <v>543</v>
      </c>
      <c r="Q6" s="63" t="s">
        <v>13</v>
      </c>
      <c r="R6" s="63" t="s">
        <v>35</v>
      </c>
      <c r="S6" s="63" t="s">
        <v>1</v>
      </c>
      <c r="T6" s="63" t="s">
        <v>2</v>
      </c>
      <c r="U6" s="63" t="s">
        <v>21</v>
      </c>
      <c r="V6" s="63" t="s">
        <v>22</v>
      </c>
      <c r="W6" s="63" t="s">
        <v>23</v>
      </c>
      <c r="X6" s="63" t="s">
        <v>24</v>
      </c>
      <c r="Y6" s="63" t="s">
        <v>25</v>
      </c>
    </row>
    <row r="7" spans="2:25" ht="28.5" customHeight="1" thickBot="1" x14ac:dyDescent="0.3">
      <c r="B7" s="69" t="s">
        <v>52</v>
      </c>
      <c r="C7" s="69" t="s">
        <v>27</v>
      </c>
      <c r="D7" s="69" t="s">
        <v>37</v>
      </c>
      <c r="E7" s="69" t="s">
        <v>686</v>
      </c>
      <c r="F7" s="70" t="s">
        <v>38</v>
      </c>
      <c r="G7" s="69"/>
      <c r="H7" s="69"/>
      <c r="I7" s="69" t="s">
        <v>112</v>
      </c>
      <c r="J7" s="69" t="s">
        <v>40</v>
      </c>
      <c r="K7" s="69" t="s">
        <v>41</v>
      </c>
      <c r="L7" s="69" t="s">
        <v>44</v>
      </c>
      <c r="M7" s="69" t="s">
        <v>43</v>
      </c>
      <c r="N7" s="69" t="s">
        <v>124</v>
      </c>
      <c r="O7" s="69" t="s">
        <v>715</v>
      </c>
      <c r="Q7" s="68" t="s">
        <v>51</v>
      </c>
      <c r="R7" s="68" t="s">
        <v>36</v>
      </c>
      <c r="S7" s="68" t="s">
        <v>26</v>
      </c>
      <c r="T7" s="68" t="s">
        <v>27</v>
      </c>
      <c r="U7" s="68" t="s">
        <v>28</v>
      </c>
      <c r="V7" s="68" t="s">
        <v>29</v>
      </c>
      <c r="W7" s="68" t="s">
        <v>57</v>
      </c>
      <c r="X7" s="68" t="s">
        <v>56</v>
      </c>
      <c r="Y7" s="68" t="s">
        <v>30</v>
      </c>
    </row>
    <row r="8" spans="2:25" x14ac:dyDescent="0.25">
      <c r="B8" s="72"/>
      <c r="C8" s="74"/>
      <c r="D8" s="74"/>
      <c r="E8" s="74"/>
      <c r="F8" s="273" t="s">
        <v>534</v>
      </c>
      <c r="G8" s="74"/>
      <c r="H8" s="74"/>
      <c r="I8" s="74"/>
      <c r="J8" s="74" t="str">
        <f>General!$D$13</f>
        <v>PJ/year</v>
      </c>
      <c r="K8" s="74" t="s">
        <v>556</v>
      </c>
      <c r="L8" s="74" t="str">
        <f>General!$D$14</f>
        <v>$/GJ/a</v>
      </c>
      <c r="M8" s="74" t="str">
        <f>General!$D$15</f>
        <v>$/GJ</v>
      </c>
      <c r="N8" s="74"/>
      <c r="O8" s="74" t="s">
        <v>716</v>
      </c>
      <c r="Q8" s="32" t="s">
        <v>111</v>
      </c>
      <c r="S8" s="32" t="str">
        <f>"STR"&amp;Commodities!D50&amp;"E00"</f>
        <v>STRBIOCHRE00</v>
      </c>
      <c r="T8" s="32" t="s">
        <v>783</v>
      </c>
      <c r="U8" s="32" t="str">
        <f>General!$B$2</f>
        <v>PJ</v>
      </c>
      <c r="V8" s="32" t="str">
        <f>General!$B$2&amp;"a"</f>
        <v>PJa</v>
      </c>
    </row>
    <row r="9" spans="2:25" x14ac:dyDescent="0.25">
      <c r="B9" s="32" t="str">
        <f>$S$8</f>
        <v>STRBIOCHRE00</v>
      </c>
      <c r="C9" s="32" t="str">
        <f>$T$8</f>
        <v>Kilns for Charcoal</v>
      </c>
      <c r="D9" s="86" t="str">
        <f>Commodities!$D$32</f>
        <v>BIOLOG</v>
      </c>
      <c r="E9" s="86"/>
      <c r="F9" s="107"/>
      <c r="G9" s="49"/>
      <c r="H9" s="49"/>
      <c r="I9" s="199">
        <f>IF('En.Bal-Primary-Transf.'!BK92=0,1,'En.Bal-Primary-Transf.'!BF41/'En.Bal-Primary-Transf.'!BK92)</f>
        <v>1</v>
      </c>
      <c r="J9" s="269">
        <f>'En.Bal-Primary-Transf.'!BK92/K9/1000*41.868</f>
        <v>0</v>
      </c>
      <c r="K9" s="35">
        <v>0.8</v>
      </c>
      <c r="L9" s="35"/>
      <c r="M9" s="35"/>
      <c r="N9" s="35">
        <v>20</v>
      </c>
      <c r="O9" s="35">
        <v>1</v>
      </c>
      <c r="S9" s="32" t="str">
        <f>"STR"&amp;Commodities!D49&amp;"E00"</f>
        <v>STRBIOPLTE00</v>
      </c>
      <c r="T9" s="32" t="s">
        <v>784</v>
      </c>
      <c r="U9" s="32" t="str">
        <f>General!$B$2</f>
        <v>PJ</v>
      </c>
      <c r="V9" s="32" t="str">
        <f>General!$B$2&amp;"a"</f>
        <v>PJa</v>
      </c>
    </row>
    <row r="10" spans="2:25" x14ac:dyDescent="0.25">
      <c r="B10" s="88"/>
      <c r="C10" s="88"/>
      <c r="D10" s="151"/>
      <c r="E10" s="151"/>
      <c r="F10" s="111" t="str">
        <f>Commodities!$D$50</f>
        <v>BIOCHR</v>
      </c>
      <c r="G10" s="135"/>
      <c r="H10" s="135"/>
      <c r="I10" s="170"/>
      <c r="J10" s="172"/>
      <c r="K10" s="135"/>
      <c r="L10" s="135"/>
      <c r="M10" s="135"/>
      <c r="N10" s="135"/>
      <c r="O10" s="135"/>
      <c r="S10" s="32" t="str">
        <f>"STR"&amp;Commodities!D48&amp;"E00"</f>
        <v>STRBIOBGSE00</v>
      </c>
      <c r="T10" s="32" t="s">
        <v>785</v>
      </c>
      <c r="U10" s="32" t="str">
        <f>General!$B$2</f>
        <v>PJ</v>
      </c>
      <c r="V10" s="32" t="str">
        <f>General!$B$2&amp;"a"</f>
        <v>PJa</v>
      </c>
    </row>
    <row r="11" spans="2:25" ht="15" customHeight="1" x14ac:dyDescent="0.25">
      <c r="B11" s="32" t="str">
        <f>$S$9</f>
        <v>STRBIOPLTE00</v>
      </c>
      <c r="C11" s="32" t="str">
        <f>$T$9</f>
        <v>Production of Pellet</v>
      </c>
      <c r="D11" s="86" t="str">
        <f>Commodities!$D$32</f>
        <v>BIOLOG</v>
      </c>
      <c r="E11" s="86"/>
      <c r="F11" s="107"/>
      <c r="G11" s="49">
        <v>1</v>
      </c>
      <c r="H11" s="49">
        <v>1</v>
      </c>
      <c r="I11" s="274"/>
      <c r="J11" s="269">
        <f>'En.Bal-Primary-Transf.'!BG4/K11/1000*41.868</f>
        <v>0</v>
      </c>
      <c r="K11" s="35">
        <v>0.8</v>
      </c>
      <c r="N11" s="35">
        <v>20</v>
      </c>
      <c r="O11" s="35">
        <v>7</v>
      </c>
      <c r="S11" s="32" t="str">
        <f>"STR"&amp;Commodities!D48&amp;"MsE00"</f>
        <v>STRBIOBGSMsE00</v>
      </c>
      <c r="T11" s="32" t="s">
        <v>786</v>
      </c>
      <c r="U11" s="32" t="str">
        <f>General!$B$2</f>
        <v>PJ</v>
      </c>
      <c r="V11" s="32" t="str">
        <f>General!$B$2&amp;"a"</f>
        <v>PJa</v>
      </c>
    </row>
    <row r="12" spans="2:25" x14ac:dyDescent="0.25">
      <c r="D12" s="86" t="str">
        <f>Commodities!$D$109</f>
        <v>SUPELC</v>
      </c>
      <c r="E12" s="86"/>
      <c r="F12" s="107"/>
      <c r="G12" s="49"/>
      <c r="H12" s="49"/>
      <c r="I12" s="275"/>
      <c r="J12" s="269"/>
    </row>
    <row r="13" spans="2:25" x14ac:dyDescent="0.25">
      <c r="D13" s="86" t="str">
        <f>Commodities!$D$90</f>
        <v>SUPBIOLOG</v>
      </c>
      <c r="E13" s="86"/>
      <c r="F13" s="107"/>
      <c r="G13" s="49"/>
      <c r="H13" s="49"/>
      <c r="I13" s="275"/>
      <c r="J13" s="269"/>
    </row>
    <row r="14" spans="2:25" x14ac:dyDescent="0.25">
      <c r="B14" s="88"/>
      <c r="C14" s="88"/>
      <c r="D14" s="151"/>
      <c r="E14" s="151"/>
      <c r="F14" s="111" t="str">
        <f>Commodities!$D$49</f>
        <v>BIOPLT</v>
      </c>
      <c r="G14" s="135"/>
      <c r="H14" s="135"/>
      <c r="I14" s="230"/>
      <c r="J14" s="172"/>
      <c r="K14" s="135"/>
      <c r="L14" s="88"/>
      <c r="M14" s="88"/>
      <c r="N14" s="135"/>
      <c r="O14" s="135"/>
    </row>
    <row r="15" spans="2:25" x14ac:dyDescent="0.25">
      <c r="B15" s="32" t="str">
        <f>$S$10</f>
        <v>STRBIOBGSE00</v>
      </c>
      <c r="C15" s="32" t="str">
        <f>$T$10</f>
        <v>Animal and Industrial Waste to Biogas</v>
      </c>
      <c r="D15" s="32" t="str">
        <f>Commodities!$D$34</f>
        <v>BIOWID</v>
      </c>
      <c r="F15" s="107"/>
      <c r="G15" s="49">
        <v>1</v>
      </c>
      <c r="H15" s="49">
        <v>0.8</v>
      </c>
      <c r="J15" s="51">
        <f>'En.Bal-Primary-Transf.'!BL4/K15/1000*41.868</f>
        <v>0</v>
      </c>
      <c r="K15" s="35">
        <v>1</v>
      </c>
      <c r="N15" s="35">
        <v>20</v>
      </c>
      <c r="O15" s="35">
        <v>10</v>
      </c>
    </row>
    <row r="16" spans="2:25" x14ac:dyDescent="0.25">
      <c r="D16" s="32" t="str">
        <f>Commodities!$D$35</f>
        <v>BIOWAN</v>
      </c>
      <c r="F16" s="107"/>
      <c r="G16" s="49">
        <v>1</v>
      </c>
      <c r="H16" s="49"/>
      <c r="J16" s="51"/>
      <c r="L16" s="35"/>
    </row>
    <row r="17" spans="2:15" x14ac:dyDescent="0.25">
      <c r="B17" s="88"/>
      <c r="C17" s="88"/>
      <c r="D17" s="88"/>
      <c r="E17" s="88"/>
      <c r="F17" s="111" t="str">
        <f>Commodities!$D$48</f>
        <v>BIOBGS</v>
      </c>
      <c r="G17" s="135"/>
      <c r="H17" s="135"/>
      <c r="I17" s="135"/>
      <c r="J17" s="172"/>
      <c r="K17" s="135"/>
      <c r="L17" s="88"/>
      <c r="M17" s="88"/>
      <c r="N17" s="135"/>
      <c r="O17" s="135"/>
    </row>
    <row r="18" spans="2:15" x14ac:dyDescent="0.25">
      <c r="B18" s="32" t="str">
        <f>$S$11</f>
        <v>STRBIOBGSMsE00</v>
      </c>
      <c r="C18" s="32" t="str">
        <f>$T$11</f>
        <v>MSW to Biogas</v>
      </c>
      <c r="D18" s="32" t="str">
        <f>Commodities!$D$33</f>
        <v>BIOWMU</v>
      </c>
      <c r="F18" s="107"/>
      <c r="G18" s="49"/>
      <c r="H18" s="49"/>
      <c r="I18" s="35">
        <v>1</v>
      </c>
      <c r="J18" s="269">
        <v>0</v>
      </c>
      <c r="K18" s="35">
        <v>1</v>
      </c>
      <c r="N18" s="35">
        <v>20</v>
      </c>
      <c r="O18" s="35">
        <v>15</v>
      </c>
    </row>
    <row r="19" spans="2:15" x14ac:dyDescent="0.25">
      <c r="D19" s="32" t="str">
        <f>Commodities!$D$109</f>
        <v>SUPELC</v>
      </c>
      <c r="F19" s="107"/>
      <c r="G19" s="49"/>
      <c r="H19" s="49"/>
      <c r="I19" s="199">
        <v>1E-8</v>
      </c>
      <c r="J19" s="199"/>
    </row>
    <row r="20" spans="2:15" x14ac:dyDescent="0.25">
      <c r="B20" s="88"/>
      <c r="C20" s="88"/>
      <c r="D20" s="88"/>
      <c r="E20" s="88"/>
      <c r="F20" s="111" t="str">
        <f>Commodities!$D$48</f>
        <v>BIOBGS</v>
      </c>
      <c r="G20" s="135"/>
      <c r="H20" s="135"/>
      <c r="I20" s="135"/>
      <c r="J20" s="170"/>
      <c r="K20" s="135"/>
      <c r="L20" s="88"/>
      <c r="M20" s="88"/>
      <c r="N20" s="135"/>
      <c r="O20" s="135"/>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0EF92-8A29-47CE-8AB4-6B8F73800B60}">
  <dimension ref="B2:Z15"/>
  <sheetViews>
    <sheetView zoomScale="70" zoomScaleNormal="70" workbookViewId="0">
      <selection sqref="A1:XFD1048576"/>
    </sheetView>
  </sheetViews>
  <sheetFormatPr defaultRowHeight="13.8" x14ac:dyDescent="0.25"/>
  <cols>
    <col min="1" max="1" width="9.109375" style="32"/>
    <col min="2" max="2" width="16.88671875" style="32" customWidth="1"/>
    <col min="3" max="3" width="22.5546875" style="32" customWidth="1"/>
    <col min="4" max="4" width="45.109375" style="32" customWidth="1"/>
    <col min="5" max="5" width="24.5546875" style="32" customWidth="1"/>
    <col min="6" max="6" width="20.109375" style="32" customWidth="1"/>
    <col min="7" max="7" width="24.88671875" style="32" customWidth="1"/>
    <col min="8" max="8" width="27.109375" style="32" bestFit="1" customWidth="1"/>
    <col min="9" max="9" width="21.5546875" style="32" customWidth="1"/>
    <col min="10" max="10" width="14.6640625" style="32" customWidth="1"/>
    <col min="11" max="11" width="16" style="32" customWidth="1"/>
    <col min="12" max="12" width="19.5546875" style="32" bestFit="1" customWidth="1"/>
    <col min="13" max="13" width="32.44140625" style="32" customWidth="1"/>
    <col min="14" max="17" width="9.109375" style="32"/>
    <col min="18" max="18" width="26.6640625" style="32" customWidth="1"/>
    <col min="19" max="19" width="14.33203125" style="32" bestFit="1" customWidth="1"/>
    <col min="20" max="20" width="26" style="32" bestFit="1" customWidth="1"/>
    <col min="21" max="21" width="34.109375" style="32" bestFit="1" customWidth="1"/>
    <col min="22" max="22" width="8.109375" style="32" bestFit="1" customWidth="1"/>
    <col min="23" max="23" width="24.33203125" style="32" bestFit="1" customWidth="1"/>
    <col min="24" max="24" width="31.6640625" style="32" bestFit="1" customWidth="1"/>
    <col min="25" max="25" width="15.44140625" style="32" bestFit="1" customWidth="1"/>
    <col min="26" max="26" width="18.88671875" style="32" bestFit="1" customWidth="1"/>
    <col min="27" max="27" width="9.109375" style="32"/>
    <col min="28" max="28" width="38.88671875" style="32" bestFit="1" customWidth="1"/>
    <col min="29" max="257" width="9.109375" style="32"/>
    <col min="258" max="258" width="16.88671875" style="32" customWidth="1"/>
    <col min="259" max="259" width="22.5546875" style="32" customWidth="1"/>
    <col min="260" max="260" width="31.88671875" style="32" customWidth="1"/>
    <col min="261" max="261" width="24.5546875" style="32" customWidth="1"/>
    <col min="262" max="262" width="20.109375" style="32" customWidth="1"/>
    <col min="263" max="263" width="24.88671875" style="32" customWidth="1"/>
    <col min="264" max="264" width="27.109375" style="32" bestFit="1" customWidth="1"/>
    <col min="265" max="265" width="21.5546875" style="32" customWidth="1"/>
    <col min="266" max="266" width="14.6640625" style="32" customWidth="1"/>
    <col min="267" max="267" width="16" style="32" customWidth="1"/>
    <col min="268" max="268" width="19.5546875" style="32" bestFit="1" customWidth="1"/>
    <col min="269" max="269" width="32.44140625" style="32" customWidth="1"/>
    <col min="270" max="273" width="9.109375" style="32"/>
    <col min="274" max="274" width="28.6640625" style="32" customWidth="1"/>
    <col min="275" max="275" width="12.33203125" style="32" bestFit="1" customWidth="1"/>
    <col min="276" max="276" width="26" style="32" bestFit="1" customWidth="1"/>
    <col min="277" max="277" width="34.109375" style="32" bestFit="1" customWidth="1"/>
    <col min="278" max="278" width="6.88671875" style="32" bestFit="1" customWidth="1"/>
    <col min="279" max="279" width="24.33203125" style="32" bestFit="1" customWidth="1"/>
    <col min="280" max="280" width="31.6640625" style="32" bestFit="1" customWidth="1"/>
    <col min="281" max="281" width="15.44140625" style="32" bestFit="1" customWidth="1"/>
    <col min="282" max="282" width="18.88671875" style="32" bestFit="1" customWidth="1"/>
    <col min="283" max="283" width="9.109375" style="32"/>
    <col min="284" max="284" width="38.88671875" style="32" bestFit="1" customWidth="1"/>
    <col min="285" max="513" width="9.109375" style="32"/>
    <col min="514" max="514" width="16.88671875" style="32" customWidth="1"/>
    <col min="515" max="515" width="22.5546875" style="32" customWidth="1"/>
    <col min="516" max="516" width="31.88671875" style="32" customWidth="1"/>
    <col min="517" max="517" width="24.5546875" style="32" customWidth="1"/>
    <col min="518" max="518" width="20.109375" style="32" customWidth="1"/>
    <col min="519" max="519" width="24.88671875" style="32" customWidth="1"/>
    <col min="520" max="520" width="27.109375" style="32" bestFit="1" customWidth="1"/>
    <col min="521" max="521" width="21.5546875" style="32" customWidth="1"/>
    <col min="522" max="522" width="14.6640625" style="32" customWidth="1"/>
    <col min="523" max="523" width="16" style="32" customWidth="1"/>
    <col min="524" max="524" width="19.5546875" style="32" bestFit="1" customWidth="1"/>
    <col min="525" max="525" width="32.44140625" style="32" customWidth="1"/>
    <col min="526" max="529" width="9.109375" style="32"/>
    <col min="530" max="530" width="28.6640625" style="32" customWidth="1"/>
    <col min="531" max="531" width="12.33203125" style="32" bestFit="1" customWidth="1"/>
    <col min="532" max="532" width="26" style="32" bestFit="1" customWidth="1"/>
    <col min="533" max="533" width="34.109375" style="32" bestFit="1" customWidth="1"/>
    <col min="534" max="534" width="6.88671875" style="32" bestFit="1" customWidth="1"/>
    <col min="535" max="535" width="24.33203125" style="32" bestFit="1" customWidth="1"/>
    <col min="536" max="536" width="31.6640625" style="32" bestFit="1" customWidth="1"/>
    <col min="537" max="537" width="15.44140625" style="32" bestFit="1" customWidth="1"/>
    <col min="538" max="538" width="18.88671875" style="32" bestFit="1" customWidth="1"/>
    <col min="539" max="539" width="9.109375" style="32"/>
    <col min="540" max="540" width="38.88671875" style="32" bestFit="1" customWidth="1"/>
    <col min="541" max="769" width="9.109375" style="32"/>
    <col min="770" max="770" width="16.88671875" style="32" customWidth="1"/>
    <col min="771" max="771" width="22.5546875" style="32" customWidth="1"/>
    <col min="772" max="772" width="31.88671875" style="32" customWidth="1"/>
    <col min="773" max="773" width="24.5546875" style="32" customWidth="1"/>
    <col min="774" max="774" width="20.109375" style="32" customWidth="1"/>
    <col min="775" max="775" width="24.88671875" style="32" customWidth="1"/>
    <col min="776" max="776" width="27.109375" style="32" bestFit="1" customWidth="1"/>
    <col min="777" max="777" width="21.5546875" style="32" customWidth="1"/>
    <col min="778" max="778" width="14.6640625" style="32" customWidth="1"/>
    <col min="779" max="779" width="16" style="32" customWidth="1"/>
    <col min="780" max="780" width="19.5546875" style="32" bestFit="1" customWidth="1"/>
    <col min="781" max="781" width="32.44140625" style="32" customWidth="1"/>
    <col min="782" max="785" width="9.109375" style="32"/>
    <col min="786" max="786" width="28.6640625" style="32" customWidth="1"/>
    <col min="787" max="787" width="12.33203125" style="32" bestFit="1" customWidth="1"/>
    <col min="788" max="788" width="26" style="32" bestFit="1" customWidth="1"/>
    <col min="789" max="789" width="34.109375" style="32" bestFit="1" customWidth="1"/>
    <col min="790" max="790" width="6.88671875" style="32" bestFit="1" customWidth="1"/>
    <col min="791" max="791" width="24.33203125" style="32" bestFit="1" customWidth="1"/>
    <col min="792" max="792" width="31.6640625" style="32" bestFit="1" customWidth="1"/>
    <col min="793" max="793" width="15.44140625" style="32" bestFit="1" customWidth="1"/>
    <col min="794" max="794" width="18.88671875" style="32" bestFit="1" customWidth="1"/>
    <col min="795" max="795" width="9.109375" style="32"/>
    <col min="796" max="796" width="38.88671875" style="32" bestFit="1" customWidth="1"/>
    <col min="797" max="1025" width="9.109375" style="32"/>
    <col min="1026" max="1026" width="16.88671875" style="32" customWidth="1"/>
    <col min="1027" max="1027" width="22.5546875" style="32" customWidth="1"/>
    <col min="1028" max="1028" width="31.88671875" style="32" customWidth="1"/>
    <col min="1029" max="1029" width="24.5546875" style="32" customWidth="1"/>
    <col min="1030" max="1030" width="20.109375" style="32" customWidth="1"/>
    <col min="1031" max="1031" width="24.88671875" style="32" customWidth="1"/>
    <col min="1032" max="1032" width="27.109375" style="32" bestFit="1" customWidth="1"/>
    <col min="1033" max="1033" width="21.5546875" style="32" customWidth="1"/>
    <col min="1034" max="1034" width="14.6640625" style="32" customWidth="1"/>
    <col min="1035" max="1035" width="16" style="32" customWidth="1"/>
    <col min="1036" max="1036" width="19.5546875" style="32" bestFit="1" customWidth="1"/>
    <col min="1037" max="1037" width="32.44140625" style="32" customWidth="1"/>
    <col min="1038" max="1041" width="9.109375" style="32"/>
    <col min="1042" max="1042" width="28.6640625" style="32" customWidth="1"/>
    <col min="1043" max="1043" width="12.33203125" style="32" bestFit="1" customWidth="1"/>
    <col min="1044" max="1044" width="26" style="32" bestFit="1" customWidth="1"/>
    <col min="1045" max="1045" width="34.109375" style="32" bestFit="1" customWidth="1"/>
    <col min="1046" max="1046" width="6.88671875" style="32" bestFit="1" customWidth="1"/>
    <col min="1047" max="1047" width="24.33203125" style="32" bestFit="1" customWidth="1"/>
    <col min="1048" max="1048" width="31.6640625" style="32" bestFit="1" customWidth="1"/>
    <col min="1049" max="1049" width="15.44140625" style="32" bestFit="1" customWidth="1"/>
    <col min="1050" max="1050" width="18.88671875" style="32" bestFit="1" customWidth="1"/>
    <col min="1051" max="1051" width="9.109375" style="32"/>
    <col min="1052" max="1052" width="38.88671875" style="32" bestFit="1" customWidth="1"/>
    <col min="1053" max="1281" width="9.109375" style="32"/>
    <col min="1282" max="1282" width="16.88671875" style="32" customWidth="1"/>
    <col min="1283" max="1283" width="22.5546875" style="32" customWidth="1"/>
    <col min="1284" max="1284" width="31.88671875" style="32" customWidth="1"/>
    <col min="1285" max="1285" width="24.5546875" style="32" customWidth="1"/>
    <col min="1286" max="1286" width="20.109375" style="32" customWidth="1"/>
    <col min="1287" max="1287" width="24.88671875" style="32" customWidth="1"/>
    <col min="1288" max="1288" width="27.109375" style="32" bestFit="1" customWidth="1"/>
    <col min="1289" max="1289" width="21.5546875" style="32" customWidth="1"/>
    <col min="1290" max="1290" width="14.6640625" style="32" customWidth="1"/>
    <col min="1291" max="1291" width="16" style="32" customWidth="1"/>
    <col min="1292" max="1292" width="19.5546875" style="32" bestFit="1" customWidth="1"/>
    <col min="1293" max="1293" width="32.44140625" style="32" customWidth="1"/>
    <col min="1294" max="1297" width="9.109375" style="32"/>
    <col min="1298" max="1298" width="28.6640625" style="32" customWidth="1"/>
    <col min="1299" max="1299" width="12.33203125" style="32" bestFit="1" customWidth="1"/>
    <col min="1300" max="1300" width="26" style="32" bestFit="1" customWidth="1"/>
    <col min="1301" max="1301" width="34.109375" style="32" bestFit="1" customWidth="1"/>
    <col min="1302" max="1302" width="6.88671875" style="32" bestFit="1" customWidth="1"/>
    <col min="1303" max="1303" width="24.33203125" style="32" bestFit="1" customWidth="1"/>
    <col min="1304" max="1304" width="31.6640625" style="32" bestFit="1" customWidth="1"/>
    <col min="1305" max="1305" width="15.44140625" style="32" bestFit="1" customWidth="1"/>
    <col min="1306" max="1306" width="18.88671875" style="32" bestFit="1" customWidth="1"/>
    <col min="1307" max="1307" width="9.109375" style="32"/>
    <col min="1308" max="1308" width="38.88671875" style="32" bestFit="1" customWidth="1"/>
    <col min="1309" max="1537" width="9.109375" style="32"/>
    <col min="1538" max="1538" width="16.88671875" style="32" customWidth="1"/>
    <col min="1539" max="1539" width="22.5546875" style="32" customWidth="1"/>
    <col min="1540" max="1540" width="31.88671875" style="32" customWidth="1"/>
    <col min="1541" max="1541" width="24.5546875" style="32" customWidth="1"/>
    <col min="1542" max="1542" width="20.109375" style="32" customWidth="1"/>
    <col min="1543" max="1543" width="24.88671875" style="32" customWidth="1"/>
    <col min="1544" max="1544" width="27.109375" style="32" bestFit="1" customWidth="1"/>
    <col min="1545" max="1545" width="21.5546875" style="32" customWidth="1"/>
    <col min="1546" max="1546" width="14.6640625" style="32" customWidth="1"/>
    <col min="1547" max="1547" width="16" style="32" customWidth="1"/>
    <col min="1548" max="1548" width="19.5546875" style="32" bestFit="1" customWidth="1"/>
    <col min="1549" max="1549" width="32.44140625" style="32" customWidth="1"/>
    <col min="1550" max="1553" width="9.109375" style="32"/>
    <col min="1554" max="1554" width="28.6640625" style="32" customWidth="1"/>
    <col min="1555" max="1555" width="12.33203125" style="32" bestFit="1" customWidth="1"/>
    <col min="1556" max="1556" width="26" style="32" bestFit="1" customWidth="1"/>
    <col min="1557" max="1557" width="34.109375" style="32" bestFit="1" customWidth="1"/>
    <col min="1558" max="1558" width="6.88671875" style="32" bestFit="1" customWidth="1"/>
    <col min="1559" max="1559" width="24.33203125" style="32" bestFit="1" customWidth="1"/>
    <col min="1560" max="1560" width="31.6640625" style="32" bestFit="1" customWidth="1"/>
    <col min="1561" max="1561" width="15.44140625" style="32" bestFit="1" customWidth="1"/>
    <col min="1562" max="1562" width="18.88671875" style="32" bestFit="1" customWidth="1"/>
    <col min="1563" max="1563" width="9.109375" style="32"/>
    <col min="1564" max="1564" width="38.88671875" style="32" bestFit="1" customWidth="1"/>
    <col min="1565" max="1793" width="9.109375" style="32"/>
    <col min="1794" max="1794" width="16.88671875" style="32" customWidth="1"/>
    <col min="1795" max="1795" width="22.5546875" style="32" customWidth="1"/>
    <col min="1796" max="1796" width="31.88671875" style="32" customWidth="1"/>
    <col min="1797" max="1797" width="24.5546875" style="32" customWidth="1"/>
    <col min="1798" max="1798" width="20.109375" style="32" customWidth="1"/>
    <col min="1799" max="1799" width="24.88671875" style="32" customWidth="1"/>
    <col min="1800" max="1800" width="27.109375" style="32" bestFit="1" customWidth="1"/>
    <col min="1801" max="1801" width="21.5546875" style="32" customWidth="1"/>
    <col min="1802" max="1802" width="14.6640625" style="32" customWidth="1"/>
    <col min="1803" max="1803" width="16" style="32" customWidth="1"/>
    <col min="1804" max="1804" width="19.5546875" style="32" bestFit="1" customWidth="1"/>
    <col min="1805" max="1805" width="32.44140625" style="32" customWidth="1"/>
    <col min="1806" max="1809" width="9.109375" style="32"/>
    <col min="1810" max="1810" width="28.6640625" style="32" customWidth="1"/>
    <col min="1811" max="1811" width="12.33203125" style="32" bestFit="1" customWidth="1"/>
    <col min="1812" max="1812" width="26" style="32" bestFit="1" customWidth="1"/>
    <col min="1813" max="1813" width="34.109375" style="32" bestFit="1" customWidth="1"/>
    <col min="1814" max="1814" width="6.88671875" style="32" bestFit="1" customWidth="1"/>
    <col min="1815" max="1815" width="24.33203125" style="32" bestFit="1" customWidth="1"/>
    <col min="1816" max="1816" width="31.6640625" style="32" bestFit="1" customWidth="1"/>
    <col min="1817" max="1817" width="15.44140625" style="32" bestFit="1" customWidth="1"/>
    <col min="1818" max="1818" width="18.88671875" style="32" bestFit="1" customWidth="1"/>
    <col min="1819" max="1819" width="9.109375" style="32"/>
    <col min="1820" max="1820" width="38.88671875" style="32" bestFit="1" customWidth="1"/>
    <col min="1821" max="2049" width="9.109375" style="32"/>
    <col min="2050" max="2050" width="16.88671875" style="32" customWidth="1"/>
    <col min="2051" max="2051" width="22.5546875" style="32" customWidth="1"/>
    <col min="2052" max="2052" width="31.88671875" style="32" customWidth="1"/>
    <col min="2053" max="2053" width="24.5546875" style="32" customWidth="1"/>
    <col min="2054" max="2054" width="20.109375" style="32" customWidth="1"/>
    <col min="2055" max="2055" width="24.88671875" style="32" customWidth="1"/>
    <col min="2056" max="2056" width="27.109375" style="32" bestFit="1" customWidth="1"/>
    <col min="2057" max="2057" width="21.5546875" style="32" customWidth="1"/>
    <col min="2058" max="2058" width="14.6640625" style="32" customWidth="1"/>
    <col min="2059" max="2059" width="16" style="32" customWidth="1"/>
    <col min="2060" max="2060" width="19.5546875" style="32" bestFit="1" customWidth="1"/>
    <col min="2061" max="2061" width="32.44140625" style="32" customWidth="1"/>
    <col min="2062" max="2065" width="9.109375" style="32"/>
    <col min="2066" max="2066" width="28.6640625" style="32" customWidth="1"/>
    <col min="2067" max="2067" width="12.33203125" style="32" bestFit="1" customWidth="1"/>
    <col min="2068" max="2068" width="26" style="32" bestFit="1" customWidth="1"/>
    <col min="2069" max="2069" width="34.109375" style="32" bestFit="1" customWidth="1"/>
    <col min="2070" max="2070" width="6.88671875" style="32" bestFit="1" customWidth="1"/>
    <col min="2071" max="2071" width="24.33203125" style="32" bestFit="1" customWidth="1"/>
    <col min="2072" max="2072" width="31.6640625" style="32" bestFit="1" customWidth="1"/>
    <col min="2073" max="2073" width="15.44140625" style="32" bestFit="1" customWidth="1"/>
    <col min="2074" max="2074" width="18.88671875" style="32" bestFit="1" customWidth="1"/>
    <col min="2075" max="2075" width="9.109375" style="32"/>
    <col min="2076" max="2076" width="38.88671875" style="32" bestFit="1" customWidth="1"/>
    <col min="2077" max="2305" width="9.109375" style="32"/>
    <col min="2306" max="2306" width="16.88671875" style="32" customWidth="1"/>
    <col min="2307" max="2307" width="22.5546875" style="32" customWidth="1"/>
    <col min="2308" max="2308" width="31.88671875" style="32" customWidth="1"/>
    <col min="2309" max="2309" width="24.5546875" style="32" customWidth="1"/>
    <col min="2310" max="2310" width="20.109375" style="32" customWidth="1"/>
    <col min="2311" max="2311" width="24.88671875" style="32" customWidth="1"/>
    <col min="2312" max="2312" width="27.109375" style="32" bestFit="1" customWidth="1"/>
    <col min="2313" max="2313" width="21.5546875" style="32" customWidth="1"/>
    <col min="2314" max="2314" width="14.6640625" style="32" customWidth="1"/>
    <col min="2315" max="2315" width="16" style="32" customWidth="1"/>
    <col min="2316" max="2316" width="19.5546875" style="32" bestFit="1" customWidth="1"/>
    <col min="2317" max="2317" width="32.44140625" style="32" customWidth="1"/>
    <col min="2318" max="2321" width="9.109375" style="32"/>
    <col min="2322" max="2322" width="28.6640625" style="32" customWidth="1"/>
    <col min="2323" max="2323" width="12.33203125" style="32" bestFit="1" customWidth="1"/>
    <col min="2324" max="2324" width="26" style="32" bestFit="1" customWidth="1"/>
    <col min="2325" max="2325" width="34.109375" style="32" bestFit="1" customWidth="1"/>
    <col min="2326" max="2326" width="6.88671875" style="32" bestFit="1" customWidth="1"/>
    <col min="2327" max="2327" width="24.33203125" style="32" bestFit="1" customWidth="1"/>
    <col min="2328" max="2328" width="31.6640625" style="32" bestFit="1" customWidth="1"/>
    <col min="2329" max="2329" width="15.44140625" style="32" bestFit="1" customWidth="1"/>
    <col min="2330" max="2330" width="18.88671875" style="32" bestFit="1" customWidth="1"/>
    <col min="2331" max="2331" width="9.109375" style="32"/>
    <col min="2332" max="2332" width="38.88671875" style="32" bestFit="1" customWidth="1"/>
    <col min="2333" max="2561" width="9.109375" style="32"/>
    <col min="2562" max="2562" width="16.88671875" style="32" customWidth="1"/>
    <col min="2563" max="2563" width="22.5546875" style="32" customWidth="1"/>
    <col min="2564" max="2564" width="31.88671875" style="32" customWidth="1"/>
    <col min="2565" max="2565" width="24.5546875" style="32" customWidth="1"/>
    <col min="2566" max="2566" width="20.109375" style="32" customWidth="1"/>
    <col min="2567" max="2567" width="24.88671875" style="32" customWidth="1"/>
    <col min="2568" max="2568" width="27.109375" style="32" bestFit="1" customWidth="1"/>
    <col min="2569" max="2569" width="21.5546875" style="32" customWidth="1"/>
    <col min="2570" max="2570" width="14.6640625" style="32" customWidth="1"/>
    <col min="2571" max="2571" width="16" style="32" customWidth="1"/>
    <col min="2572" max="2572" width="19.5546875" style="32" bestFit="1" customWidth="1"/>
    <col min="2573" max="2573" width="32.44140625" style="32" customWidth="1"/>
    <col min="2574" max="2577" width="9.109375" style="32"/>
    <col min="2578" max="2578" width="28.6640625" style="32" customWidth="1"/>
    <col min="2579" max="2579" width="12.33203125" style="32" bestFit="1" customWidth="1"/>
    <col min="2580" max="2580" width="26" style="32" bestFit="1" customWidth="1"/>
    <col min="2581" max="2581" width="34.109375" style="32" bestFit="1" customWidth="1"/>
    <col min="2582" max="2582" width="6.88671875" style="32" bestFit="1" customWidth="1"/>
    <col min="2583" max="2583" width="24.33203125" style="32" bestFit="1" customWidth="1"/>
    <col min="2584" max="2584" width="31.6640625" style="32" bestFit="1" customWidth="1"/>
    <col min="2585" max="2585" width="15.44140625" style="32" bestFit="1" customWidth="1"/>
    <col min="2586" max="2586" width="18.88671875" style="32" bestFit="1" customWidth="1"/>
    <col min="2587" max="2587" width="9.109375" style="32"/>
    <col min="2588" max="2588" width="38.88671875" style="32" bestFit="1" customWidth="1"/>
    <col min="2589" max="2817" width="9.109375" style="32"/>
    <col min="2818" max="2818" width="16.88671875" style="32" customWidth="1"/>
    <col min="2819" max="2819" width="22.5546875" style="32" customWidth="1"/>
    <col min="2820" max="2820" width="31.88671875" style="32" customWidth="1"/>
    <col min="2821" max="2821" width="24.5546875" style="32" customWidth="1"/>
    <col min="2822" max="2822" width="20.109375" style="32" customWidth="1"/>
    <col min="2823" max="2823" width="24.88671875" style="32" customWidth="1"/>
    <col min="2824" max="2824" width="27.109375" style="32" bestFit="1" customWidth="1"/>
    <col min="2825" max="2825" width="21.5546875" style="32" customWidth="1"/>
    <col min="2826" max="2826" width="14.6640625" style="32" customWidth="1"/>
    <col min="2827" max="2827" width="16" style="32" customWidth="1"/>
    <col min="2828" max="2828" width="19.5546875" style="32" bestFit="1" customWidth="1"/>
    <col min="2829" max="2829" width="32.44140625" style="32" customWidth="1"/>
    <col min="2830" max="2833" width="9.109375" style="32"/>
    <col min="2834" max="2834" width="28.6640625" style="32" customWidth="1"/>
    <col min="2835" max="2835" width="12.33203125" style="32" bestFit="1" customWidth="1"/>
    <col min="2836" max="2836" width="26" style="32" bestFit="1" customWidth="1"/>
    <col min="2837" max="2837" width="34.109375" style="32" bestFit="1" customWidth="1"/>
    <col min="2838" max="2838" width="6.88671875" style="32" bestFit="1" customWidth="1"/>
    <col min="2839" max="2839" width="24.33203125" style="32" bestFit="1" customWidth="1"/>
    <col min="2840" max="2840" width="31.6640625" style="32" bestFit="1" customWidth="1"/>
    <col min="2841" max="2841" width="15.44140625" style="32" bestFit="1" customWidth="1"/>
    <col min="2842" max="2842" width="18.88671875" style="32" bestFit="1" customWidth="1"/>
    <col min="2843" max="2843" width="9.109375" style="32"/>
    <col min="2844" max="2844" width="38.88671875" style="32" bestFit="1" customWidth="1"/>
    <col min="2845" max="3073" width="9.109375" style="32"/>
    <col min="3074" max="3074" width="16.88671875" style="32" customWidth="1"/>
    <col min="3075" max="3075" width="22.5546875" style="32" customWidth="1"/>
    <col min="3076" max="3076" width="31.88671875" style="32" customWidth="1"/>
    <col min="3077" max="3077" width="24.5546875" style="32" customWidth="1"/>
    <col min="3078" max="3078" width="20.109375" style="32" customWidth="1"/>
    <col min="3079" max="3079" width="24.88671875" style="32" customWidth="1"/>
    <col min="3080" max="3080" width="27.109375" style="32" bestFit="1" customWidth="1"/>
    <col min="3081" max="3081" width="21.5546875" style="32" customWidth="1"/>
    <col min="3082" max="3082" width="14.6640625" style="32" customWidth="1"/>
    <col min="3083" max="3083" width="16" style="32" customWidth="1"/>
    <col min="3084" max="3084" width="19.5546875" style="32" bestFit="1" customWidth="1"/>
    <col min="3085" max="3085" width="32.44140625" style="32" customWidth="1"/>
    <col min="3086" max="3089" width="9.109375" style="32"/>
    <col min="3090" max="3090" width="28.6640625" style="32" customWidth="1"/>
    <col min="3091" max="3091" width="12.33203125" style="32" bestFit="1" customWidth="1"/>
    <col min="3092" max="3092" width="26" style="32" bestFit="1" customWidth="1"/>
    <col min="3093" max="3093" width="34.109375" style="32" bestFit="1" customWidth="1"/>
    <col min="3094" max="3094" width="6.88671875" style="32" bestFit="1" customWidth="1"/>
    <col min="3095" max="3095" width="24.33203125" style="32" bestFit="1" customWidth="1"/>
    <col min="3096" max="3096" width="31.6640625" style="32" bestFit="1" customWidth="1"/>
    <col min="3097" max="3097" width="15.44140625" style="32" bestFit="1" customWidth="1"/>
    <col min="3098" max="3098" width="18.88671875" style="32" bestFit="1" customWidth="1"/>
    <col min="3099" max="3099" width="9.109375" style="32"/>
    <col min="3100" max="3100" width="38.88671875" style="32" bestFit="1" customWidth="1"/>
    <col min="3101" max="3329" width="9.109375" style="32"/>
    <col min="3330" max="3330" width="16.88671875" style="32" customWidth="1"/>
    <col min="3331" max="3331" width="22.5546875" style="32" customWidth="1"/>
    <col min="3332" max="3332" width="31.88671875" style="32" customWidth="1"/>
    <col min="3333" max="3333" width="24.5546875" style="32" customWidth="1"/>
    <col min="3334" max="3334" width="20.109375" style="32" customWidth="1"/>
    <col min="3335" max="3335" width="24.88671875" style="32" customWidth="1"/>
    <col min="3336" max="3336" width="27.109375" style="32" bestFit="1" customWidth="1"/>
    <col min="3337" max="3337" width="21.5546875" style="32" customWidth="1"/>
    <col min="3338" max="3338" width="14.6640625" style="32" customWidth="1"/>
    <col min="3339" max="3339" width="16" style="32" customWidth="1"/>
    <col min="3340" max="3340" width="19.5546875" style="32" bestFit="1" customWidth="1"/>
    <col min="3341" max="3341" width="32.44140625" style="32" customWidth="1"/>
    <col min="3342" max="3345" width="9.109375" style="32"/>
    <col min="3346" max="3346" width="28.6640625" style="32" customWidth="1"/>
    <col min="3347" max="3347" width="12.33203125" style="32" bestFit="1" customWidth="1"/>
    <col min="3348" max="3348" width="26" style="32" bestFit="1" customWidth="1"/>
    <col min="3349" max="3349" width="34.109375" style="32" bestFit="1" customWidth="1"/>
    <col min="3350" max="3350" width="6.88671875" style="32" bestFit="1" customWidth="1"/>
    <col min="3351" max="3351" width="24.33203125" style="32" bestFit="1" customWidth="1"/>
    <col min="3352" max="3352" width="31.6640625" style="32" bestFit="1" customWidth="1"/>
    <col min="3353" max="3353" width="15.44140625" style="32" bestFit="1" customWidth="1"/>
    <col min="3354" max="3354" width="18.88671875" style="32" bestFit="1" customWidth="1"/>
    <col min="3355" max="3355" width="9.109375" style="32"/>
    <col min="3356" max="3356" width="38.88671875" style="32" bestFit="1" customWidth="1"/>
    <col min="3357" max="3585" width="9.109375" style="32"/>
    <col min="3586" max="3586" width="16.88671875" style="32" customWidth="1"/>
    <col min="3587" max="3587" width="22.5546875" style="32" customWidth="1"/>
    <col min="3588" max="3588" width="31.88671875" style="32" customWidth="1"/>
    <col min="3589" max="3589" width="24.5546875" style="32" customWidth="1"/>
    <col min="3590" max="3590" width="20.109375" style="32" customWidth="1"/>
    <col min="3591" max="3591" width="24.88671875" style="32" customWidth="1"/>
    <col min="3592" max="3592" width="27.109375" style="32" bestFit="1" customWidth="1"/>
    <col min="3593" max="3593" width="21.5546875" style="32" customWidth="1"/>
    <col min="3594" max="3594" width="14.6640625" style="32" customWidth="1"/>
    <col min="3595" max="3595" width="16" style="32" customWidth="1"/>
    <col min="3596" max="3596" width="19.5546875" style="32" bestFit="1" customWidth="1"/>
    <col min="3597" max="3597" width="32.44140625" style="32" customWidth="1"/>
    <col min="3598" max="3601" width="9.109375" style="32"/>
    <col min="3602" max="3602" width="28.6640625" style="32" customWidth="1"/>
    <col min="3603" max="3603" width="12.33203125" style="32" bestFit="1" customWidth="1"/>
    <col min="3604" max="3604" width="26" style="32" bestFit="1" customWidth="1"/>
    <col min="3605" max="3605" width="34.109375" style="32" bestFit="1" customWidth="1"/>
    <col min="3606" max="3606" width="6.88671875" style="32" bestFit="1" customWidth="1"/>
    <col min="3607" max="3607" width="24.33203125" style="32" bestFit="1" customWidth="1"/>
    <col min="3608" max="3608" width="31.6640625" style="32" bestFit="1" customWidth="1"/>
    <col min="3609" max="3609" width="15.44140625" style="32" bestFit="1" customWidth="1"/>
    <col min="3610" max="3610" width="18.88671875" style="32" bestFit="1" customWidth="1"/>
    <col min="3611" max="3611" width="9.109375" style="32"/>
    <col min="3612" max="3612" width="38.88671875" style="32" bestFit="1" customWidth="1"/>
    <col min="3613" max="3841" width="9.109375" style="32"/>
    <col min="3842" max="3842" width="16.88671875" style="32" customWidth="1"/>
    <col min="3843" max="3843" width="22.5546875" style="32" customWidth="1"/>
    <col min="3844" max="3844" width="31.88671875" style="32" customWidth="1"/>
    <col min="3845" max="3845" width="24.5546875" style="32" customWidth="1"/>
    <col min="3846" max="3846" width="20.109375" style="32" customWidth="1"/>
    <col min="3847" max="3847" width="24.88671875" style="32" customWidth="1"/>
    <col min="3848" max="3848" width="27.109375" style="32" bestFit="1" customWidth="1"/>
    <col min="3849" max="3849" width="21.5546875" style="32" customWidth="1"/>
    <col min="3850" max="3850" width="14.6640625" style="32" customWidth="1"/>
    <col min="3851" max="3851" width="16" style="32" customWidth="1"/>
    <col min="3852" max="3852" width="19.5546875" style="32" bestFit="1" customWidth="1"/>
    <col min="3853" max="3853" width="32.44140625" style="32" customWidth="1"/>
    <col min="3854" max="3857" width="9.109375" style="32"/>
    <col min="3858" max="3858" width="28.6640625" style="32" customWidth="1"/>
    <col min="3859" max="3859" width="12.33203125" style="32" bestFit="1" customWidth="1"/>
    <col min="3860" max="3860" width="26" style="32" bestFit="1" customWidth="1"/>
    <col min="3861" max="3861" width="34.109375" style="32" bestFit="1" customWidth="1"/>
    <col min="3862" max="3862" width="6.88671875" style="32" bestFit="1" customWidth="1"/>
    <col min="3863" max="3863" width="24.33203125" style="32" bestFit="1" customWidth="1"/>
    <col min="3864" max="3864" width="31.6640625" style="32" bestFit="1" customWidth="1"/>
    <col min="3865" max="3865" width="15.44140625" style="32" bestFit="1" customWidth="1"/>
    <col min="3866" max="3866" width="18.88671875" style="32" bestFit="1" customWidth="1"/>
    <col min="3867" max="3867" width="9.109375" style="32"/>
    <col min="3868" max="3868" width="38.88671875" style="32" bestFit="1" customWidth="1"/>
    <col min="3869" max="4097" width="9.109375" style="32"/>
    <col min="4098" max="4098" width="16.88671875" style="32" customWidth="1"/>
    <col min="4099" max="4099" width="22.5546875" style="32" customWidth="1"/>
    <col min="4100" max="4100" width="31.88671875" style="32" customWidth="1"/>
    <col min="4101" max="4101" width="24.5546875" style="32" customWidth="1"/>
    <col min="4102" max="4102" width="20.109375" style="32" customWidth="1"/>
    <col min="4103" max="4103" width="24.88671875" style="32" customWidth="1"/>
    <col min="4104" max="4104" width="27.109375" style="32" bestFit="1" customWidth="1"/>
    <col min="4105" max="4105" width="21.5546875" style="32" customWidth="1"/>
    <col min="4106" max="4106" width="14.6640625" style="32" customWidth="1"/>
    <col min="4107" max="4107" width="16" style="32" customWidth="1"/>
    <col min="4108" max="4108" width="19.5546875" style="32" bestFit="1" customWidth="1"/>
    <col min="4109" max="4109" width="32.44140625" style="32" customWidth="1"/>
    <col min="4110" max="4113" width="9.109375" style="32"/>
    <col min="4114" max="4114" width="28.6640625" style="32" customWidth="1"/>
    <col min="4115" max="4115" width="12.33203125" style="32" bestFit="1" customWidth="1"/>
    <col min="4116" max="4116" width="26" style="32" bestFit="1" customWidth="1"/>
    <col min="4117" max="4117" width="34.109375" style="32" bestFit="1" customWidth="1"/>
    <col min="4118" max="4118" width="6.88671875" style="32" bestFit="1" customWidth="1"/>
    <col min="4119" max="4119" width="24.33203125" style="32" bestFit="1" customWidth="1"/>
    <col min="4120" max="4120" width="31.6640625" style="32" bestFit="1" customWidth="1"/>
    <col min="4121" max="4121" width="15.44140625" style="32" bestFit="1" customWidth="1"/>
    <col min="4122" max="4122" width="18.88671875" style="32" bestFit="1" customWidth="1"/>
    <col min="4123" max="4123" width="9.109375" style="32"/>
    <col min="4124" max="4124" width="38.88671875" style="32" bestFit="1" customWidth="1"/>
    <col min="4125" max="4353" width="9.109375" style="32"/>
    <col min="4354" max="4354" width="16.88671875" style="32" customWidth="1"/>
    <col min="4355" max="4355" width="22.5546875" style="32" customWidth="1"/>
    <col min="4356" max="4356" width="31.88671875" style="32" customWidth="1"/>
    <col min="4357" max="4357" width="24.5546875" style="32" customWidth="1"/>
    <col min="4358" max="4358" width="20.109375" style="32" customWidth="1"/>
    <col min="4359" max="4359" width="24.88671875" style="32" customWidth="1"/>
    <col min="4360" max="4360" width="27.109375" style="32" bestFit="1" customWidth="1"/>
    <col min="4361" max="4361" width="21.5546875" style="32" customWidth="1"/>
    <col min="4362" max="4362" width="14.6640625" style="32" customWidth="1"/>
    <col min="4363" max="4363" width="16" style="32" customWidth="1"/>
    <col min="4364" max="4364" width="19.5546875" style="32" bestFit="1" customWidth="1"/>
    <col min="4365" max="4365" width="32.44140625" style="32" customWidth="1"/>
    <col min="4366" max="4369" width="9.109375" style="32"/>
    <col min="4370" max="4370" width="28.6640625" style="32" customWidth="1"/>
    <col min="4371" max="4371" width="12.33203125" style="32" bestFit="1" customWidth="1"/>
    <col min="4372" max="4372" width="26" style="32" bestFit="1" customWidth="1"/>
    <col min="4373" max="4373" width="34.109375" style="32" bestFit="1" customWidth="1"/>
    <col min="4374" max="4374" width="6.88671875" style="32" bestFit="1" customWidth="1"/>
    <col min="4375" max="4375" width="24.33203125" style="32" bestFit="1" customWidth="1"/>
    <col min="4376" max="4376" width="31.6640625" style="32" bestFit="1" customWidth="1"/>
    <col min="4377" max="4377" width="15.44140625" style="32" bestFit="1" customWidth="1"/>
    <col min="4378" max="4378" width="18.88671875" style="32" bestFit="1" customWidth="1"/>
    <col min="4379" max="4379" width="9.109375" style="32"/>
    <col min="4380" max="4380" width="38.88671875" style="32" bestFit="1" customWidth="1"/>
    <col min="4381" max="4609" width="9.109375" style="32"/>
    <col min="4610" max="4610" width="16.88671875" style="32" customWidth="1"/>
    <col min="4611" max="4611" width="22.5546875" style="32" customWidth="1"/>
    <col min="4612" max="4612" width="31.88671875" style="32" customWidth="1"/>
    <col min="4613" max="4613" width="24.5546875" style="32" customWidth="1"/>
    <col min="4614" max="4614" width="20.109375" style="32" customWidth="1"/>
    <col min="4615" max="4615" width="24.88671875" style="32" customWidth="1"/>
    <col min="4616" max="4616" width="27.109375" style="32" bestFit="1" customWidth="1"/>
    <col min="4617" max="4617" width="21.5546875" style="32" customWidth="1"/>
    <col min="4618" max="4618" width="14.6640625" style="32" customWidth="1"/>
    <col min="4619" max="4619" width="16" style="32" customWidth="1"/>
    <col min="4620" max="4620" width="19.5546875" style="32" bestFit="1" customWidth="1"/>
    <col min="4621" max="4621" width="32.44140625" style="32" customWidth="1"/>
    <col min="4622" max="4625" width="9.109375" style="32"/>
    <col min="4626" max="4626" width="28.6640625" style="32" customWidth="1"/>
    <col min="4627" max="4627" width="12.33203125" style="32" bestFit="1" customWidth="1"/>
    <col min="4628" max="4628" width="26" style="32" bestFit="1" customWidth="1"/>
    <col min="4629" max="4629" width="34.109375" style="32" bestFit="1" customWidth="1"/>
    <col min="4630" max="4630" width="6.88671875" style="32" bestFit="1" customWidth="1"/>
    <col min="4631" max="4631" width="24.33203125" style="32" bestFit="1" customWidth="1"/>
    <col min="4632" max="4632" width="31.6640625" style="32" bestFit="1" customWidth="1"/>
    <col min="4633" max="4633" width="15.44140625" style="32" bestFit="1" customWidth="1"/>
    <col min="4634" max="4634" width="18.88671875" style="32" bestFit="1" customWidth="1"/>
    <col min="4635" max="4635" width="9.109375" style="32"/>
    <col min="4636" max="4636" width="38.88671875" style="32" bestFit="1" customWidth="1"/>
    <col min="4637" max="4865" width="9.109375" style="32"/>
    <col min="4866" max="4866" width="16.88671875" style="32" customWidth="1"/>
    <col min="4867" max="4867" width="22.5546875" style="32" customWidth="1"/>
    <col min="4868" max="4868" width="31.88671875" style="32" customWidth="1"/>
    <col min="4869" max="4869" width="24.5546875" style="32" customWidth="1"/>
    <col min="4870" max="4870" width="20.109375" style="32" customWidth="1"/>
    <col min="4871" max="4871" width="24.88671875" style="32" customWidth="1"/>
    <col min="4872" max="4872" width="27.109375" style="32" bestFit="1" customWidth="1"/>
    <col min="4873" max="4873" width="21.5546875" style="32" customWidth="1"/>
    <col min="4874" max="4874" width="14.6640625" style="32" customWidth="1"/>
    <col min="4875" max="4875" width="16" style="32" customWidth="1"/>
    <col min="4876" max="4876" width="19.5546875" style="32" bestFit="1" customWidth="1"/>
    <col min="4877" max="4877" width="32.44140625" style="32" customWidth="1"/>
    <col min="4878" max="4881" width="9.109375" style="32"/>
    <col min="4882" max="4882" width="28.6640625" style="32" customWidth="1"/>
    <col min="4883" max="4883" width="12.33203125" style="32" bestFit="1" customWidth="1"/>
    <col min="4884" max="4884" width="26" style="32" bestFit="1" customWidth="1"/>
    <col min="4885" max="4885" width="34.109375" style="32" bestFit="1" customWidth="1"/>
    <col min="4886" max="4886" width="6.88671875" style="32" bestFit="1" customWidth="1"/>
    <col min="4887" max="4887" width="24.33203125" style="32" bestFit="1" customWidth="1"/>
    <col min="4888" max="4888" width="31.6640625" style="32" bestFit="1" customWidth="1"/>
    <col min="4889" max="4889" width="15.44140625" style="32" bestFit="1" customWidth="1"/>
    <col min="4890" max="4890" width="18.88671875" style="32" bestFit="1" customWidth="1"/>
    <col min="4891" max="4891" width="9.109375" style="32"/>
    <col min="4892" max="4892" width="38.88671875" style="32" bestFit="1" customWidth="1"/>
    <col min="4893" max="5121" width="9.109375" style="32"/>
    <col min="5122" max="5122" width="16.88671875" style="32" customWidth="1"/>
    <col min="5123" max="5123" width="22.5546875" style="32" customWidth="1"/>
    <col min="5124" max="5124" width="31.88671875" style="32" customWidth="1"/>
    <col min="5125" max="5125" width="24.5546875" style="32" customWidth="1"/>
    <col min="5126" max="5126" width="20.109375" style="32" customWidth="1"/>
    <col min="5127" max="5127" width="24.88671875" style="32" customWidth="1"/>
    <col min="5128" max="5128" width="27.109375" style="32" bestFit="1" customWidth="1"/>
    <col min="5129" max="5129" width="21.5546875" style="32" customWidth="1"/>
    <col min="5130" max="5130" width="14.6640625" style="32" customWidth="1"/>
    <col min="5131" max="5131" width="16" style="32" customWidth="1"/>
    <col min="5132" max="5132" width="19.5546875" style="32" bestFit="1" customWidth="1"/>
    <col min="5133" max="5133" width="32.44140625" style="32" customWidth="1"/>
    <col min="5134" max="5137" width="9.109375" style="32"/>
    <col min="5138" max="5138" width="28.6640625" style="32" customWidth="1"/>
    <col min="5139" max="5139" width="12.33203125" style="32" bestFit="1" customWidth="1"/>
    <col min="5140" max="5140" width="26" style="32" bestFit="1" customWidth="1"/>
    <col min="5141" max="5141" width="34.109375" style="32" bestFit="1" customWidth="1"/>
    <col min="5142" max="5142" width="6.88671875" style="32" bestFit="1" customWidth="1"/>
    <col min="5143" max="5143" width="24.33203125" style="32" bestFit="1" customWidth="1"/>
    <col min="5144" max="5144" width="31.6640625" style="32" bestFit="1" customWidth="1"/>
    <col min="5145" max="5145" width="15.44140625" style="32" bestFit="1" customWidth="1"/>
    <col min="5146" max="5146" width="18.88671875" style="32" bestFit="1" customWidth="1"/>
    <col min="5147" max="5147" width="9.109375" style="32"/>
    <col min="5148" max="5148" width="38.88671875" style="32" bestFit="1" customWidth="1"/>
    <col min="5149" max="5377" width="9.109375" style="32"/>
    <col min="5378" max="5378" width="16.88671875" style="32" customWidth="1"/>
    <col min="5379" max="5379" width="22.5546875" style="32" customWidth="1"/>
    <col min="5380" max="5380" width="31.88671875" style="32" customWidth="1"/>
    <col min="5381" max="5381" width="24.5546875" style="32" customWidth="1"/>
    <col min="5382" max="5382" width="20.109375" style="32" customWidth="1"/>
    <col min="5383" max="5383" width="24.88671875" style="32" customWidth="1"/>
    <col min="5384" max="5384" width="27.109375" style="32" bestFit="1" customWidth="1"/>
    <col min="5385" max="5385" width="21.5546875" style="32" customWidth="1"/>
    <col min="5386" max="5386" width="14.6640625" style="32" customWidth="1"/>
    <col min="5387" max="5387" width="16" style="32" customWidth="1"/>
    <col min="5388" max="5388" width="19.5546875" style="32" bestFit="1" customWidth="1"/>
    <col min="5389" max="5389" width="32.44140625" style="32" customWidth="1"/>
    <col min="5390" max="5393" width="9.109375" style="32"/>
    <col min="5394" max="5394" width="28.6640625" style="32" customWidth="1"/>
    <col min="5395" max="5395" width="12.33203125" style="32" bestFit="1" customWidth="1"/>
    <col min="5396" max="5396" width="26" style="32" bestFit="1" customWidth="1"/>
    <col min="5397" max="5397" width="34.109375" style="32" bestFit="1" customWidth="1"/>
    <col min="5398" max="5398" width="6.88671875" style="32" bestFit="1" customWidth="1"/>
    <col min="5399" max="5399" width="24.33203125" style="32" bestFit="1" customWidth="1"/>
    <col min="5400" max="5400" width="31.6640625" style="32" bestFit="1" customWidth="1"/>
    <col min="5401" max="5401" width="15.44140625" style="32" bestFit="1" customWidth="1"/>
    <col min="5402" max="5402" width="18.88671875" style="32" bestFit="1" customWidth="1"/>
    <col min="5403" max="5403" width="9.109375" style="32"/>
    <col min="5404" max="5404" width="38.88671875" style="32" bestFit="1" customWidth="1"/>
    <col min="5405" max="5633" width="9.109375" style="32"/>
    <col min="5634" max="5634" width="16.88671875" style="32" customWidth="1"/>
    <col min="5635" max="5635" width="22.5546875" style="32" customWidth="1"/>
    <col min="5636" max="5636" width="31.88671875" style="32" customWidth="1"/>
    <col min="5637" max="5637" width="24.5546875" style="32" customWidth="1"/>
    <col min="5638" max="5638" width="20.109375" style="32" customWidth="1"/>
    <col min="5639" max="5639" width="24.88671875" style="32" customWidth="1"/>
    <col min="5640" max="5640" width="27.109375" style="32" bestFit="1" customWidth="1"/>
    <col min="5641" max="5641" width="21.5546875" style="32" customWidth="1"/>
    <col min="5642" max="5642" width="14.6640625" style="32" customWidth="1"/>
    <col min="5643" max="5643" width="16" style="32" customWidth="1"/>
    <col min="5644" max="5644" width="19.5546875" style="32" bestFit="1" customWidth="1"/>
    <col min="5645" max="5645" width="32.44140625" style="32" customWidth="1"/>
    <col min="5646" max="5649" width="9.109375" style="32"/>
    <col min="5650" max="5650" width="28.6640625" style="32" customWidth="1"/>
    <col min="5651" max="5651" width="12.33203125" style="32" bestFit="1" customWidth="1"/>
    <col min="5652" max="5652" width="26" style="32" bestFit="1" customWidth="1"/>
    <col min="5653" max="5653" width="34.109375" style="32" bestFit="1" customWidth="1"/>
    <col min="5654" max="5654" width="6.88671875" style="32" bestFit="1" customWidth="1"/>
    <col min="5655" max="5655" width="24.33203125" style="32" bestFit="1" customWidth="1"/>
    <col min="5656" max="5656" width="31.6640625" style="32" bestFit="1" customWidth="1"/>
    <col min="5657" max="5657" width="15.44140625" style="32" bestFit="1" customWidth="1"/>
    <col min="5658" max="5658" width="18.88671875" style="32" bestFit="1" customWidth="1"/>
    <col min="5659" max="5659" width="9.109375" style="32"/>
    <col min="5660" max="5660" width="38.88671875" style="32" bestFit="1" customWidth="1"/>
    <col min="5661" max="5889" width="9.109375" style="32"/>
    <col min="5890" max="5890" width="16.88671875" style="32" customWidth="1"/>
    <col min="5891" max="5891" width="22.5546875" style="32" customWidth="1"/>
    <col min="5892" max="5892" width="31.88671875" style="32" customWidth="1"/>
    <col min="5893" max="5893" width="24.5546875" style="32" customWidth="1"/>
    <col min="5894" max="5894" width="20.109375" style="32" customWidth="1"/>
    <col min="5895" max="5895" width="24.88671875" style="32" customWidth="1"/>
    <col min="5896" max="5896" width="27.109375" style="32" bestFit="1" customWidth="1"/>
    <col min="5897" max="5897" width="21.5546875" style="32" customWidth="1"/>
    <col min="5898" max="5898" width="14.6640625" style="32" customWidth="1"/>
    <col min="5899" max="5899" width="16" style="32" customWidth="1"/>
    <col min="5900" max="5900" width="19.5546875" style="32" bestFit="1" customWidth="1"/>
    <col min="5901" max="5901" width="32.44140625" style="32" customWidth="1"/>
    <col min="5902" max="5905" width="9.109375" style="32"/>
    <col min="5906" max="5906" width="28.6640625" style="32" customWidth="1"/>
    <col min="5907" max="5907" width="12.33203125" style="32" bestFit="1" customWidth="1"/>
    <col min="5908" max="5908" width="26" style="32" bestFit="1" customWidth="1"/>
    <col min="5909" max="5909" width="34.109375" style="32" bestFit="1" customWidth="1"/>
    <col min="5910" max="5910" width="6.88671875" style="32" bestFit="1" customWidth="1"/>
    <col min="5911" max="5911" width="24.33203125" style="32" bestFit="1" customWidth="1"/>
    <col min="5912" max="5912" width="31.6640625" style="32" bestFit="1" customWidth="1"/>
    <col min="5913" max="5913" width="15.44140625" style="32" bestFit="1" customWidth="1"/>
    <col min="5914" max="5914" width="18.88671875" style="32" bestFit="1" customWidth="1"/>
    <col min="5915" max="5915" width="9.109375" style="32"/>
    <col min="5916" max="5916" width="38.88671875" style="32" bestFit="1" customWidth="1"/>
    <col min="5917" max="6145" width="9.109375" style="32"/>
    <col min="6146" max="6146" width="16.88671875" style="32" customWidth="1"/>
    <col min="6147" max="6147" width="22.5546875" style="32" customWidth="1"/>
    <col min="6148" max="6148" width="31.88671875" style="32" customWidth="1"/>
    <col min="6149" max="6149" width="24.5546875" style="32" customWidth="1"/>
    <col min="6150" max="6150" width="20.109375" style="32" customWidth="1"/>
    <col min="6151" max="6151" width="24.88671875" style="32" customWidth="1"/>
    <col min="6152" max="6152" width="27.109375" style="32" bestFit="1" customWidth="1"/>
    <col min="6153" max="6153" width="21.5546875" style="32" customWidth="1"/>
    <col min="6154" max="6154" width="14.6640625" style="32" customWidth="1"/>
    <col min="6155" max="6155" width="16" style="32" customWidth="1"/>
    <col min="6156" max="6156" width="19.5546875" style="32" bestFit="1" customWidth="1"/>
    <col min="6157" max="6157" width="32.44140625" style="32" customWidth="1"/>
    <col min="6158" max="6161" width="9.109375" style="32"/>
    <col min="6162" max="6162" width="28.6640625" style="32" customWidth="1"/>
    <col min="6163" max="6163" width="12.33203125" style="32" bestFit="1" customWidth="1"/>
    <col min="6164" max="6164" width="26" style="32" bestFit="1" customWidth="1"/>
    <col min="6165" max="6165" width="34.109375" style="32" bestFit="1" customWidth="1"/>
    <col min="6166" max="6166" width="6.88671875" style="32" bestFit="1" customWidth="1"/>
    <col min="6167" max="6167" width="24.33203125" style="32" bestFit="1" customWidth="1"/>
    <col min="6168" max="6168" width="31.6640625" style="32" bestFit="1" customWidth="1"/>
    <col min="6169" max="6169" width="15.44140625" style="32" bestFit="1" customWidth="1"/>
    <col min="6170" max="6170" width="18.88671875" style="32" bestFit="1" customWidth="1"/>
    <col min="6171" max="6171" width="9.109375" style="32"/>
    <col min="6172" max="6172" width="38.88671875" style="32" bestFit="1" customWidth="1"/>
    <col min="6173" max="6401" width="9.109375" style="32"/>
    <col min="6402" max="6402" width="16.88671875" style="32" customWidth="1"/>
    <col min="6403" max="6403" width="22.5546875" style="32" customWidth="1"/>
    <col min="6404" max="6404" width="31.88671875" style="32" customWidth="1"/>
    <col min="6405" max="6405" width="24.5546875" style="32" customWidth="1"/>
    <col min="6406" max="6406" width="20.109375" style="32" customWidth="1"/>
    <col min="6407" max="6407" width="24.88671875" style="32" customWidth="1"/>
    <col min="6408" max="6408" width="27.109375" style="32" bestFit="1" customWidth="1"/>
    <col min="6409" max="6409" width="21.5546875" style="32" customWidth="1"/>
    <col min="6410" max="6410" width="14.6640625" style="32" customWidth="1"/>
    <col min="6411" max="6411" width="16" style="32" customWidth="1"/>
    <col min="6412" max="6412" width="19.5546875" style="32" bestFit="1" customWidth="1"/>
    <col min="6413" max="6413" width="32.44140625" style="32" customWidth="1"/>
    <col min="6414" max="6417" width="9.109375" style="32"/>
    <col min="6418" max="6418" width="28.6640625" style="32" customWidth="1"/>
    <col min="6419" max="6419" width="12.33203125" style="32" bestFit="1" customWidth="1"/>
    <col min="6420" max="6420" width="26" style="32" bestFit="1" customWidth="1"/>
    <col min="6421" max="6421" width="34.109375" style="32" bestFit="1" customWidth="1"/>
    <col min="6422" max="6422" width="6.88671875" style="32" bestFit="1" customWidth="1"/>
    <col min="6423" max="6423" width="24.33203125" style="32" bestFit="1" customWidth="1"/>
    <col min="6424" max="6424" width="31.6640625" style="32" bestFit="1" customWidth="1"/>
    <col min="6425" max="6425" width="15.44140625" style="32" bestFit="1" customWidth="1"/>
    <col min="6426" max="6426" width="18.88671875" style="32" bestFit="1" customWidth="1"/>
    <col min="6427" max="6427" width="9.109375" style="32"/>
    <col min="6428" max="6428" width="38.88671875" style="32" bestFit="1" customWidth="1"/>
    <col min="6429" max="6657" width="9.109375" style="32"/>
    <col min="6658" max="6658" width="16.88671875" style="32" customWidth="1"/>
    <col min="6659" max="6659" width="22.5546875" style="32" customWidth="1"/>
    <col min="6660" max="6660" width="31.88671875" style="32" customWidth="1"/>
    <col min="6661" max="6661" width="24.5546875" style="32" customWidth="1"/>
    <col min="6662" max="6662" width="20.109375" style="32" customWidth="1"/>
    <col min="6663" max="6663" width="24.88671875" style="32" customWidth="1"/>
    <col min="6664" max="6664" width="27.109375" style="32" bestFit="1" customWidth="1"/>
    <col min="6665" max="6665" width="21.5546875" style="32" customWidth="1"/>
    <col min="6666" max="6666" width="14.6640625" style="32" customWidth="1"/>
    <col min="6667" max="6667" width="16" style="32" customWidth="1"/>
    <col min="6668" max="6668" width="19.5546875" style="32" bestFit="1" customWidth="1"/>
    <col min="6669" max="6669" width="32.44140625" style="32" customWidth="1"/>
    <col min="6670" max="6673" width="9.109375" style="32"/>
    <col min="6674" max="6674" width="28.6640625" style="32" customWidth="1"/>
    <col min="6675" max="6675" width="12.33203125" style="32" bestFit="1" customWidth="1"/>
    <col min="6676" max="6676" width="26" style="32" bestFit="1" customWidth="1"/>
    <col min="6677" max="6677" width="34.109375" style="32" bestFit="1" customWidth="1"/>
    <col min="6678" max="6678" width="6.88671875" style="32" bestFit="1" customWidth="1"/>
    <col min="6679" max="6679" width="24.33203125" style="32" bestFit="1" customWidth="1"/>
    <col min="6680" max="6680" width="31.6640625" style="32" bestFit="1" customWidth="1"/>
    <col min="6681" max="6681" width="15.44140625" style="32" bestFit="1" customWidth="1"/>
    <col min="6682" max="6682" width="18.88671875" style="32" bestFit="1" customWidth="1"/>
    <col min="6683" max="6683" width="9.109375" style="32"/>
    <col min="6684" max="6684" width="38.88671875" style="32" bestFit="1" customWidth="1"/>
    <col min="6685" max="6913" width="9.109375" style="32"/>
    <col min="6914" max="6914" width="16.88671875" style="32" customWidth="1"/>
    <col min="6915" max="6915" width="22.5546875" style="32" customWidth="1"/>
    <col min="6916" max="6916" width="31.88671875" style="32" customWidth="1"/>
    <col min="6917" max="6917" width="24.5546875" style="32" customWidth="1"/>
    <col min="6918" max="6918" width="20.109375" style="32" customWidth="1"/>
    <col min="6919" max="6919" width="24.88671875" style="32" customWidth="1"/>
    <col min="6920" max="6920" width="27.109375" style="32" bestFit="1" customWidth="1"/>
    <col min="6921" max="6921" width="21.5546875" style="32" customWidth="1"/>
    <col min="6922" max="6922" width="14.6640625" style="32" customWidth="1"/>
    <col min="6923" max="6923" width="16" style="32" customWidth="1"/>
    <col min="6924" max="6924" width="19.5546875" style="32" bestFit="1" customWidth="1"/>
    <col min="6925" max="6925" width="32.44140625" style="32" customWidth="1"/>
    <col min="6926" max="6929" width="9.109375" style="32"/>
    <col min="6930" max="6930" width="28.6640625" style="32" customWidth="1"/>
    <col min="6931" max="6931" width="12.33203125" style="32" bestFit="1" customWidth="1"/>
    <col min="6932" max="6932" width="26" style="32" bestFit="1" customWidth="1"/>
    <col min="6933" max="6933" width="34.109375" style="32" bestFit="1" customWidth="1"/>
    <col min="6934" max="6934" width="6.88671875" style="32" bestFit="1" customWidth="1"/>
    <col min="6935" max="6935" width="24.33203125" style="32" bestFit="1" customWidth="1"/>
    <col min="6936" max="6936" width="31.6640625" style="32" bestFit="1" customWidth="1"/>
    <col min="6937" max="6937" width="15.44140625" style="32" bestFit="1" customWidth="1"/>
    <col min="6938" max="6938" width="18.88671875" style="32" bestFit="1" customWidth="1"/>
    <col min="6939" max="6939" width="9.109375" style="32"/>
    <col min="6940" max="6940" width="38.88671875" style="32" bestFit="1" customWidth="1"/>
    <col min="6941" max="7169" width="9.109375" style="32"/>
    <col min="7170" max="7170" width="16.88671875" style="32" customWidth="1"/>
    <col min="7171" max="7171" width="22.5546875" style="32" customWidth="1"/>
    <col min="7172" max="7172" width="31.88671875" style="32" customWidth="1"/>
    <col min="7173" max="7173" width="24.5546875" style="32" customWidth="1"/>
    <col min="7174" max="7174" width="20.109375" style="32" customWidth="1"/>
    <col min="7175" max="7175" width="24.88671875" style="32" customWidth="1"/>
    <col min="7176" max="7176" width="27.109375" style="32" bestFit="1" customWidth="1"/>
    <col min="7177" max="7177" width="21.5546875" style="32" customWidth="1"/>
    <col min="7178" max="7178" width="14.6640625" style="32" customWidth="1"/>
    <col min="7179" max="7179" width="16" style="32" customWidth="1"/>
    <col min="7180" max="7180" width="19.5546875" style="32" bestFit="1" customWidth="1"/>
    <col min="7181" max="7181" width="32.44140625" style="32" customWidth="1"/>
    <col min="7182" max="7185" width="9.109375" style="32"/>
    <col min="7186" max="7186" width="28.6640625" style="32" customWidth="1"/>
    <col min="7187" max="7187" width="12.33203125" style="32" bestFit="1" customWidth="1"/>
    <col min="7188" max="7188" width="26" style="32" bestFit="1" customWidth="1"/>
    <col min="7189" max="7189" width="34.109375" style="32" bestFit="1" customWidth="1"/>
    <col min="7190" max="7190" width="6.88671875" style="32" bestFit="1" customWidth="1"/>
    <col min="7191" max="7191" width="24.33203125" style="32" bestFit="1" customWidth="1"/>
    <col min="7192" max="7192" width="31.6640625" style="32" bestFit="1" customWidth="1"/>
    <col min="7193" max="7193" width="15.44140625" style="32" bestFit="1" customWidth="1"/>
    <col min="7194" max="7194" width="18.88671875" style="32" bestFit="1" customWidth="1"/>
    <col min="7195" max="7195" width="9.109375" style="32"/>
    <col min="7196" max="7196" width="38.88671875" style="32" bestFit="1" customWidth="1"/>
    <col min="7197" max="7425" width="9.109375" style="32"/>
    <col min="7426" max="7426" width="16.88671875" style="32" customWidth="1"/>
    <col min="7427" max="7427" width="22.5546875" style="32" customWidth="1"/>
    <col min="7428" max="7428" width="31.88671875" style="32" customWidth="1"/>
    <col min="7429" max="7429" width="24.5546875" style="32" customWidth="1"/>
    <col min="7430" max="7430" width="20.109375" style="32" customWidth="1"/>
    <col min="7431" max="7431" width="24.88671875" style="32" customWidth="1"/>
    <col min="7432" max="7432" width="27.109375" style="32" bestFit="1" customWidth="1"/>
    <col min="7433" max="7433" width="21.5546875" style="32" customWidth="1"/>
    <col min="7434" max="7434" width="14.6640625" style="32" customWidth="1"/>
    <col min="7435" max="7435" width="16" style="32" customWidth="1"/>
    <col min="7436" max="7436" width="19.5546875" style="32" bestFit="1" customWidth="1"/>
    <col min="7437" max="7437" width="32.44140625" style="32" customWidth="1"/>
    <col min="7438" max="7441" width="9.109375" style="32"/>
    <col min="7442" max="7442" width="28.6640625" style="32" customWidth="1"/>
    <col min="7443" max="7443" width="12.33203125" style="32" bestFit="1" customWidth="1"/>
    <col min="7444" max="7444" width="26" style="32" bestFit="1" customWidth="1"/>
    <col min="7445" max="7445" width="34.109375" style="32" bestFit="1" customWidth="1"/>
    <col min="7446" max="7446" width="6.88671875" style="32" bestFit="1" customWidth="1"/>
    <col min="7447" max="7447" width="24.33203125" style="32" bestFit="1" customWidth="1"/>
    <col min="7448" max="7448" width="31.6640625" style="32" bestFit="1" customWidth="1"/>
    <col min="7449" max="7449" width="15.44140625" style="32" bestFit="1" customWidth="1"/>
    <col min="7450" max="7450" width="18.88671875" style="32" bestFit="1" customWidth="1"/>
    <col min="7451" max="7451" width="9.109375" style="32"/>
    <col min="7452" max="7452" width="38.88671875" style="32" bestFit="1" customWidth="1"/>
    <col min="7453" max="7681" width="9.109375" style="32"/>
    <col min="7682" max="7682" width="16.88671875" style="32" customWidth="1"/>
    <col min="7683" max="7683" width="22.5546875" style="32" customWidth="1"/>
    <col min="7684" max="7684" width="31.88671875" style="32" customWidth="1"/>
    <col min="7685" max="7685" width="24.5546875" style="32" customWidth="1"/>
    <col min="7686" max="7686" width="20.109375" style="32" customWidth="1"/>
    <col min="7687" max="7687" width="24.88671875" style="32" customWidth="1"/>
    <col min="7688" max="7688" width="27.109375" style="32" bestFit="1" customWidth="1"/>
    <col min="7689" max="7689" width="21.5546875" style="32" customWidth="1"/>
    <col min="7690" max="7690" width="14.6640625" style="32" customWidth="1"/>
    <col min="7691" max="7691" width="16" style="32" customWidth="1"/>
    <col min="7692" max="7692" width="19.5546875" style="32" bestFit="1" customWidth="1"/>
    <col min="7693" max="7693" width="32.44140625" style="32" customWidth="1"/>
    <col min="7694" max="7697" width="9.109375" style="32"/>
    <col min="7698" max="7698" width="28.6640625" style="32" customWidth="1"/>
    <col min="7699" max="7699" width="12.33203125" style="32" bestFit="1" customWidth="1"/>
    <col min="7700" max="7700" width="26" style="32" bestFit="1" customWidth="1"/>
    <col min="7701" max="7701" width="34.109375" style="32" bestFit="1" customWidth="1"/>
    <col min="7702" max="7702" width="6.88671875" style="32" bestFit="1" customWidth="1"/>
    <col min="7703" max="7703" width="24.33203125" style="32" bestFit="1" customWidth="1"/>
    <col min="7704" max="7704" width="31.6640625" style="32" bestFit="1" customWidth="1"/>
    <col min="7705" max="7705" width="15.44140625" style="32" bestFit="1" customWidth="1"/>
    <col min="7706" max="7706" width="18.88671875" style="32" bestFit="1" customWidth="1"/>
    <col min="7707" max="7707" width="9.109375" style="32"/>
    <col min="7708" max="7708" width="38.88671875" style="32" bestFit="1" customWidth="1"/>
    <col min="7709" max="7937" width="9.109375" style="32"/>
    <col min="7938" max="7938" width="16.88671875" style="32" customWidth="1"/>
    <col min="7939" max="7939" width="22.5546875" style="32" customWidth="1"/>
    <col min="7940" max="7940" width="31.88671875" style="32" customWidth="1"/>
    <col min="7941" max="7941" width="24.5546875" style="32" customWidth="1"/>
    <col min="7942" max="7942" width="20.109375" style="32" customWidth="1"/>
    <col min="7943" max="7943" width="24.88671875" style="32" customWidth="1"/>
    <col min="7944" max="7944" width="27.109375" style="32" bestFit="1" customWidth="1"/>
    <col min="7945" max="7945" width="21.5546875" style="32" customWidth="1"/>
    <col min="7946" max="7946" width="14.6640625" style="32" customWidth="1"/>
    <col min="7947" max="7947" width="16" style="32" customWidth="1"/>
    <col min="7948" max="7948" width="19.5546875" style="32" bestFit="1" customWidth="1"/>
    <col min="7949" max="7949" width="32.44140625" style="32" customWidth="1"/>
    <col min="7950" max="7953" width="9.109375" style="32"/>
    <col min="7954" max="7954" width="28.6640625" style="32" customWidth="1"/>
    <col min="7955" max="7955" width="12.33203125" style="32" bestFit="1" customWidth="1"/>
    <col min="7956" max="7956" width="26" style="32" bestFit="1" customWidth="1"/>
    <col min="7957" max="7957" width="34.109375" style="32" bestFit="1" customWidth="1"/>
    <col min="7958" max="7958" width="6.88671875" style="32" bestFit="1" customWidth="1"/>
    <col min="7959" max="7959" width="24.33203125" style="32" bestFit="1" customWidth="1"/>
    <col min="7960" max="7960" width="31.6640625" style="32" bestFit="1" customWidth="1"/>
    <col min="7961" max="7961" width="15.44140625" style="32" bestFit="1" customWidth="1"/>
    <col min="7962" max="7962" width="18.88671875" style="32" bestFit="1" customWidth="1"/>
    <col min="7963" max="7963" width="9.109375" style="32"/>
    <col min="7964" max="7964" width="38.88671875" style="32" bestFit="1" customWidth="1"/>
    <col min="7965" max="8193" width="9.109375" style="32"/>
    <col min="8194" max="8194" width="16.88671875" style="32" customWidth="1"/>
    <col min="8195" max="8195" width="22.5546875" style="32" customWidth="1"/>
    <col min="8196" max="8196" width="31.88671875" style="32" customWidth="1"/>
    <col min="8197" max="8197" width="24.5546875" style="32" customWidth="1"/>
    <col min="8198" max="8198" width="20.109375" style="32" customWidth="1"/>
    <col min="8199" max="8199" width="24.88671875" style="32" customWidth="1"/>
    <col min="8200" max="8200" width="27.109375" style="32" bestFit="1" customWidth="1"/>
    <col min="8201" max="8201" width="21.5546875" style="32" customWidth="1"/>
    <col min="8202" max="8202" width="14.6640625" style="32" customWidth="1"/>
    <col min="8203" max="8203" width="16" style="32" customWidth="1"/>
    <col min="8204" max="8204" width="19.5546875" style="32" bestFit="1" customWidth="1"/>
    <col min="8205" max="8205" width="32.44140625" style="32" customWidth="1"/>
    <col min="8206" max="8209" width="9.109375" style="32"/>
    <col min="8210" max="8210" width="28.6640625" style="32" customWidth="1"/>
    <col min="8211" max="8211" width="12.33203125" style="32" bestFit="1" customWidth="1"/>
    <col min="8212" max="8212" width="26" style="32" bestFit="1" customWidth="1"/>
    <col min="8213" max="8213" width="34.109375" style="32" bestFit="1" customWidth="1"/>
    <col min="8214" max="8214" width="6.88671875" style="32" bestFit="1" customWidth="1"/>
    <col min="8215" max="8215" width="24.33203125" style="32" bestFit="1" customWidth="1"/>
    <col min="8216" max="8216" width="31.6640625" style="32" bestFit="1" customWidth="1"/>
    <col min="8217" max="8217" width="15.44140625" style="32" bestFit="1" customWidth="1"/>
    <col min="8218" max="8218" width="18.88671875" style="32" bestFit="1" customWidth="1"/>
    <col min="8219" max="8219" width="9.109375" style="32"/>
    <col min="8220" max="8220" width="38.88671875" style="32" bestFit="1" customWidth="1"/>
    <col min="8221" max="8449" width="9.109375" style="32"/>
    <col min="8450" max="8450" width="16.88671875" style="32" customWidth="1"/>
    <col min="8451" max="8451" width="22.5546875" style="32" customWidth="1"/>
    <col min="8452" max="8452" width="31.88671875" style="32" customWidth="1"/>
    <col min="8453" max="8453" width="24.5546875" style="32" customWidth="1"/>
    <col min="8454" max="8454" width="20.109375" style="32" customWidth="1"/>
    <col min="8455" max="8455" width="24.88671875" style="32" customWidth="1"/>
    <col min="8456" max="8456" width="27.109375" style="32" bestFit="1" customWidth="1"/>
    <col min="8457" max="8457" width="21.5546875" style="32" customWidth="1"/>
    <col min="8458" max="8458" width="14.6640625" style="32" customWidth="1"/>
    <col min="8459" max="8459" width="16" style="32" customWidth="1"/>
    <col min="8460" max="8460" width="19.5546875" style="32" bestFit="1" customWidth="1"/>
    <col min="8461" max="8461" width="32.44140625" style="32" customWidth="1"/>
    <col min="8462" max="8465" width="9.109375" style="32"/>
    <col min="8466" max="8466" width="28.6640625" style="32" customWidth="1"/>
    <col min="8467" max="8467" width="12.33203125" style="32" bestFit="1" customWidth="1"/>
    <col min="8468" max="8468" width="26" style="32" bestFit="1" customWidth="1"/>
    <col min="8469" max="8469" width="34.109375" style="32" bestFit="1" customWidth="1"/>
    <col min="8470" max="8470" width="6.88671875" style="32" bestFit="1" customWidth="1"/>
    <col min="8471" max="8471" width="24.33203125" style="32" bestFit="1" customWidth="1"/>
    <col min="8472" max="8472" width="31.6640625" style="32" bestFit="1" customWidth="1"/>
    <col min="8473" max="8473" width="15.44140625" style="32" bestFit="1" customWidth="1"/>
    <col min="8474" max="8474" width="18.88671875" style="32" bestFit="1" customWidth="1"/>
    <col min="8475" max="8475" width="9.109375" style="32"/>
    <col min="8476" max="8476" width="38.88671875" style="32" bestFit="1" customWidth="1"/>
    <col min="8477" max="8705" width="9.109375" style="32"/>
    <col min="8706" max="8706" width="16.88671875" style="32" customWidth="1"/>
    <col min="8707" max="8707" width="22.5546875" style="32" customWidth="1"/>
    <col min="8708" max="8708" width="31.88671875" style="32" customWidth="1"/>
    <col min="8709" max="8709" width="24.5546875" style="32" customWidth="1"/>
    <col min="8710" max="8710" width="20.109375" style="32" customWidth="1"/>
    <col min="8711" max="8711" width="24.88671875" style="32" customWidth="1"/>
    <col min="8712" max="8712" width="27.109375" style="32" bestFit="1" customWidth="1"/>
    <col min="8713" max="8713" width="21.5546875" style="32" customWidth="1"/>
    <col min="8714" max="8714" width="14.6640625" style="32" customWidth="1"/>
    <col min="8715" max="8715" width="16" style="32" customWidth="1"/>
    <col min="8716" max="8716" width="19.5546875" style="32" bestFit="1" customWidth="1"/>
    <col min="8717" max="8717" width="32.44140625" style="32" customWidth="1"/>
    <col min="8718" max="8721" width="9.109375" style="32"/>
    <col min="8722" max="8722" width="28.6640625" style="32" customWidth="1"/>
    <col min="8723" max="8723" width="12.33203125" style="32" bestFit="1" customWidth="1"/>
    <col min="8724" max="8724" width="26" style="32" bestFit="1" customWidth="1"/>
    <col min="8725" max="8725" width="34.109375" style="32" bestFit="1" customWidth="1"/>
    <col min="8726" max="8726" width="6.88671875" style="32" bestFit="1" customWidth="1"/>
    <col min="8727" max="8727" width="24.33203125" style="32" bestFit="1" customWidth="1"/>
    <col min="8728" max="8728" width="31.6640625" style="32" bestFit="1" customWidth="1"/>
    <col min="8729" max="8729" width="15.44140625" style="32" bestFit="1" customWidth="1"/>
    <col min="8730" max="8730" width="18.88671875" style="32" bestFit="1" customWidth="1"/>
    <col min="8731" max="8731" width="9.109375" style="32"/>
    <col min="8732" max="8732" width="38.88671875" style="32" bestFit="1" customWidth="1"/>
    <col min="8733" max="8961" width="9.109375" style="32"/>
    <col min="8962" max="8962" width="16.88671875" style="32" customWidth="1"/>
    <col min="8963" max="8963" width="22.5546875" style="32" customWidth="1"/>
    <col min="8964" max="8964" width="31.88671875" style="32" customWidth="1"/>
    <col min="8965" max="8965" width="24.5546875" style="32" customWidth="1"/>
    <col min="8966" max="8966" width="20.109375" style="32" customWidth="1"/>
    <col min="8967" max="8967" width="24.88671875" style="32" customWidth="1"/>
    <col min="8968" max="8968" width="27.109375" style="32" bestFit="1" customWidth="1"/>
    <col min="8969" max="8969" width="21.5546875" style="32" customWidth="1"/>
    <col min="8970" max="8970" width="14.6640625" style="32" customWidth="1"/>
    <col min="8971" max="8971" width="16" style="32" customWidth="1"/>
    <col min="8972" max="8972" width="19.5546875" style="32" bestFit="1" customWidth="1"/>
    <col min="8973" max="8973" width="32.44140625" style="32" customWidth="1"/>
    <col min="8974" max="8977" width="9.109375" style="32"/>
    <col min="8978" max="8978" width="28.6640625" style="32" customWidth="1"/>
    <col min="8979" max="8979" width="12.33203125" style="32" bestFit="1" customWidth="1"/>
    <col min="8980" max="8980" width="26" style="32" bestFit="1" customWidth="1"/>
    <col min="8981" max="8981" width="34.109375" style="32" bestFit="1" customWidth="1"/>
    <col min="8982" max="8982" width="6.88671875" style="32" bestFit="1" customWidth="1"/>
    <col min="8983" max="8983" width="24.33203125" style="32" bestFit="1" customWidth="1"/>
    <col min="8984" max="8984" width="31.6640625" style="32" bestFit="1" customWidth="1"/>
    <col min="8985" max="8985" width="15.44140625" style="32" bestFit="1" customWidth="1"/>
    <col min="8986" max="8986" width="18.88671875" style="32" bestFit="1" customWidth="1"/>
    <col min="8987" max="8987" width="9.109375" style="32"/>
    <col min="8988" max="8988" width="38.88671875" style="32" bestFit="1" customWidth="1"/>
    <col min="8989" max="9217" width="9.109375" style="32"/>
    <col min="9218" max="9218" width="16.88671875" style="32" customWidth="1"/>
    <col min="9219" max="9219" width="22.5546875" style="32" customWidth="1"/>
    <col min="9220" max="9220" width="31.88671875" style="32" customWidth="1"/>
    <col min="9221" max="9221" width="24.5546875" style="32" customWidth="1"/>
    <col min="9222" max="9222" width="20.109375" style="32" customWidth="1"/>
    <col min="9223" max="9223" width="24.88671875" style="32" customWidth="1"/>
    <col min="9224" max="9224" width="27.109375" style="32" bestFit="1" customWidth="1"/>
    <col min="9225" max="9225" width="21.5546875" style="32" customWidth="1"/>
    <col min="9226" max="9226" width="14.6640625" style="32" customWidth="1"/>
    <col min="9227" max="9227" width="16" style="32" customWidth="1"/>
    <col min="9228" max="9228" width="19.5546875" style="32" bestFit="1" customWidth="1"/>
    <col min="9229" max="9229" width="32.44140625" style="32" customWidth="1"/>
    <col min="9230" max="9233" width="9.109375" style="32"/>
    <col min="9234" max="9234" width="28.6640625" style="32" customWidth="1"/>
    <col min="9235" max="9235" width="12.33203125" style="32" bestFit="1" customWidth="1"/>
    <col min="9236" max="9236" width="26" style="32" bestFit="1" customWidth="1"/>
    <col min="9237" max="9237" width="34.109375" style="32" bestFit="1" customWidth="1"/>
    <col min="9238" max="9238" width="6.88671875" style="32" bestFit="1" customWidth="1"/>
    <col min="9239" max="9239" width="24.33203125" style="32" bestFit="1" customWidth="1"/>
    <col min="9240" max="9240" width="31.6640625" style="32" bestFit="1" customWidth="1"/>
    <col min="9241" max="9241" width="15.44140625" style="32" bestFit="1" customWidth="1"/>
    <col min="9242" max="9242" width="18.88671875" style="32" bestFit="1" customWidth="1"/>
    <col min="9243" max="9243" width="9.109375" style="32"/>
    <col min="9244" max="9244" width="38.88671875" style="32" bestFit="1" customWidth="1"/>
    <col min="9245" max="9473" width="9.109375" style="32"/>
    <col min="9474" max="9474" width="16.88671875" style="32" customWidth="1"/>
    <col min="9475" max="9475" width="22.5546875" style="32" customWidth="1"/>
    <col min="9476" max="9476" width="31.88671875" style="32" customWidth="1"/>
    <col min="9477" max="9477" width="24.5546875" style="32" customWidth="1"/>
    <col min="9478" max="9478" width="20.109375" style="32" customWidth="1"/>
    <col min="9479" max="9479" width="24.88671875" style="32" customWidth="1"/>
    <col min="9480" max="9480" width="27.109375" style="32" bestFit="1" customWidth="1"/>
    <col min="9481" max="9481" width="21.5546875" style="32" customWidth="1"/>
    <col min="9482" max="9482" width="14.6640625" style="32" customWidth="1"/>
    <col min="9483" max="9483" width="16" style="32" customWidth="1"/>
    <col min="9484" max="9484" width="19.5546875" style="32" bestFit="1" customWidth="1"/>
    <col min="9485" max="9485" width="32.44140625" style="32" customWidth="1"/>
    <col min="9486" max="9489" width="9.109375" style="32"/>
    <col min="9490" max="9490" width="28.6640625" style="32" customWidth="1"/>
    <col min="9491" max="9491" width="12.33203125" style="32" bestFit="1" customWidth="1"/>
    <col min="9492" max="9492" width="26" style="32" bestFit="1" customWidth="1"/>
    <col min="9493" max="9493" width="34.109375" style="32" bestFit="1" customWidth="1"/>
    <col min="9494" max="9494" width="6.88671875" style="32" bestFit="1" customWidth="1"/>
    <col min="9495" max="9495" width="24.33203125" style="32" bestFit="1" customWidth="1"/>
    <col min="9496" max="9496" width="31.6640625" style="32" bestFit="1" customWidth="1"/>
    <col min="9497" max="9497" width="15.44140625" style="32" bestFit="1" customWidth="1"/>
    <col min="9498" max="9498" width="18.88671875" style="32" bestFit="1" customWidth="1"/>
    <col min="9499" max="9499" width="9.109375" style="32"/>
    <col min="9500" max="9500" width="38.88671875" style="32" bestFit="1" customWidth="1"/>
    <col min="9501" max="9729" width="9.109375" style="32"/>
    <col min="9730" max="9730" width="16.88671875" style="32" customWidth="1"/>
    <col min="9731" max="9731" width="22.5546875" style="32" customWidth="1"/>
    <col min="9732" max="9732" width="31.88671875" style="32" customWidth="1"/>
    <col min="9733" max="9733" width="24.5546875" style="32" customWidth="1"/>
    <col min="9734" max="9734" width="20.109375" style="32" customWidth="1"/>
    <col min="9735" max="9735" width="24.88671875" style="32" customWidth="1"/>
    <col min="9736" max="9736" width="27.109375" style="32" bestFit="1" customWidth="1"/>
    <col min="9737" max="9737" width="21.5546875" style="32" customWidth="1"/>
    <col min="9738" max="9738" width="14.6640625" style="32" customWidth="1"/>
    <col min="9739" max="9739" width="16" style="32" customWidth="1"/>
    <col min="9740" max="9740" width="19.5546875" style="32" bestFit="1" customWidth="1"/>
    <col min="9741" max="9741" width="32.44140625" style="32" customWidth="1"/>
    <col min="9742" max="9745" width="9.109375" style="32"/>
    <col min="9746" max="9746" width="28.6640625" style="32" customWidth="1"/>
    <col min="9747" max="9747" width="12.33203125" style="32" bestFit="1" customWidth="1"/>
    <col min="9748" max="9748" width="26" style="32" bestFit="1" customWidth="1"/>
    <col min="9749" max="9749" width="34.109375" style="32" bestFit="1" customWidth="1"/>
    <col min="9750" max="9750" width="6.88671875" style="32" bestFit="1" customWidth="1"/>
    <col min="9751" max="9751" width="24.33203125" style="32" bestFit="1" customWidth="1"/>
    <col min="9752" max="9752" width="31.6640625" style="32" bestFit="1" customWidth="1"/>
    <col min="9753" max="9753" width="15.44140625" style="32" bestFit="1" customWidth="1"/>
    <col min="9754" max="9754" width="18.88671875" style="32" bestFit="1" customWidth="1"/>
    <col min="9755" max="9755" width="9.109375" style="32"/>
    <col min="9756" max="9756" width="38.88671875" style="32" bestFit="1" customWidth="1"/>
    <col min="9757" max="9985" width="9.109375" style="32"/>
    <col min="9986" max="9986" width="16.88671875" style="32" customWidth="1"/>
    <col min="9987" max="9987" width="22.5546875" style="32" customWidth="1"/>
    <col min="9988" max="9988" width="31.88671875" style="32" customWidth="1"/>
    <col min="9989" max="9989" width="24.5546875" style="32" customWidth="1"/>
    <col min="9990" max="9990" width="20.109375" style="32" customWidth="1"/>
    <col min="9991" max="9991" width="24.88671875" style="32" customWidth="1"/>
    <col min="9992" max="9992" width="27.109375" style="32" bestFit="1" customWidth="1"/>
    <col min="9993" max="9993" width="21.5546875" style="32" customWidth="1"/>
    <col min="9994" max="9994" width="14.6640625" style="32" customWidth="1"/>
    <col min="9995" max="9995" width="16" style="32" customWidth="1"/>
    <col min="9996" max="9996" width="19.5546875" style="32" bestFit="1" customWidth="1"/>
    <col min="9997" max="9997" width="32.44140625" style="32" customWidth="1"/>
    <col min="9998" max="10001" width="9.109375" style="32"/>
    <col min="10002" max="10002" width="28.6640625" style="32" customWidth="1"/>
    <col min="10003" max="10003" width="12.33203125" style="32" bestFit="1" customWidth="1"/>
    <col min="10004" max="10004" width="26" style="32" bestFit="1" customWidth="1"/>
    <col min="10005" max="10005" width="34.109375" style="32" bestFit="1" customWidth="1"/>
    <col min="10006" max="10006" width="6.88671875" style="32" bestFit="1" customWidth="1"/>
    <col min="10007" max="10007" width="24.33203125" style="32" bestFit="1" customWidth="1"/>
    <col min="10008" max="10008" width="31.6640625" style="32" bestFit="1" customWidth="1"/>
    <col min="10009" max="10009" width="15.44140625" style="32" bestFit="1" customWidth="1"/>
    <col min="10010" max="10010" width="18.88671875" style="32" bestFit="1" customWidth="1"/>
    <col min="10011" max="10011" width="9.109375" style="32"/>
    <col min="10012" max="10012" width="38.88671875" style="32" bestFit="1" customWidth="1"/>
    <col min="10013" max="10241" width="9.109375" style="32"/>
    <col min="10242" max="10242" width="16.88671875" style="32" customWidth="1"/>
    <col min="10243" max="10243" width="22.5546875" style="32" customWidth="1"/>
    <col min="10244" max="10244" width="31.88671875" style="32" customWidth="1"/>
    <col min="10245" max="10245" width="24.5546875" style="32" customWidth="1"/>
    <col min="10246" max="10246" width="20.109375" style="32" customWidth="1"/>
    <col min="10247" max="10247" width="24.88671875" style="32" customWidth="1"/>
    <col min="10248" max="10248" width="27.109375" style="32" bestFit="1" customWidth="1"/>
    <col min="10249" max="10249" width="21.5546875" style="32" customWidth="1"/>
    <col min="10250" max="10250" width="14.6640625" style="32" customWidth="1"/>
    <col min="10251" max="10251" width="16" style="32" customWidth="1"/>
    <col min="10252" max="10252" width="19.5546875" style="32" bestFit="1" customWidth="1"/>
    <col min="10253" max="10253" width="32.44140625" style="32" customWidth="1"/>
    <col min="10254" max="10257" width="9.109375" style="32"/>
    <col min="10258" max="10258" width="28.6640625" style="32" customWidth="1"/>
    <col min="10259" max="10259" width="12.33203125" style="32" bestFit="1" customWidth="1"/>
    <col min="10260" max="10260" width="26" style="32" bestFit="1" customWidth="1"/>
    <col min="10261" max="10261" width="34.109375" style="32" bestFit="1" customWidth="1"/>
    <col min="10262" max="10262" width="6.88671875" style="32" bestFit="1" customWidth="1"/>
    <col min="10263" max="10263" width="24.33203125" style="32" bestFit="1" customWidth="1"/>
    <col min="10264" max="10264" width="31.6640625" style="32" bestFit="1" customWidth="1"/>
    <col min="10265" max="10265" width="15.44140625" style="32" bestFit="1" customWidth="1"/>
    <col min="10266" max="10266" width="18.88671875" style="32" bestFit="1" customWidth="1"/>
    <col min="10267" max="10267" width="9.109375" style="32"/>
    <col min="10268" max="10268" width="38.88671875" style="32" bestFit="1" customWidth="1"/>
    <col min="10269" max="10497" width="9.109375" style="32"/>
    <col min="10498" max="10498" width="16.88671875" style="32" customWidth="1"/>
    <col min="10499" max="10499" width="22.5546875" style="32" customWidth="1"/>
    <col min="10500" max="10500" width="31.88671875" style="32" customWidth="1"/>
    <col min="10501" max="10501" width="24.5546875" style="32" customWidth="1"/>
    <col min="10502" max="10502" width="20.109375" style="32" customWidth="1"/>
    <col min="10503" max="10503" width="24.88671875" style="32" customWidth="1"/>
    <col min="10504" max="10504" width="27.109375" style="32" bestFit="1" customWidth="1"/>
    <col min="10505" max="10505" width="21.5546875" style="32" customWidth="1"/>
    <col min="10506" max="10506" width="14.6640625" style="32" customWidth="1"/>
    <col min="10507" max="10507" width="16" style="32" customWidth="1"/>
    <col min="10508" max="10508" width="19.5546875" style="32" bestFit="1" customWidth="1"/>
    <col min="10509" max="10509" width="32.44140625" style="32" customWidth="1"/>
    <col min="10510" max="10513" width="9.109375" style="32"/>
    <col min="10514" max="10514" width="28.6640625" style="32" customWidth="1"/>
    <col min="10515" max="10515" width="12.33203125" style="32" bestFit="1" customWidth="1"/>
    <col min="10516" max="10516" width="26" style="32" bestFit="1" customWidth="1"/>
    <col min="10517" max="10517" width="34.109375" style="32" bestFit="1" customWidth="1"/>
    <col min="10518" max="10518" width="6.88671875" style="32" bestFit="1" customWidth="1"/>
    <col min="10519" max="10519" width="24.33203125" style="32" bestFit="1" customWidth="1"/>
    <col min="10520" max="10520" width="31.6640625" style="32" bestFit="1" customWidth="1"/>
    <col min="10521" max="10521" width="15.44140625" style="32" bestFit="1" customWidth="1"/>
    <col min="10522" max="10522" width="18.88671875" style="32" bestFit="1" customWidth="1"/>
    <col min="10523" max="10523" width="9.109375" style="32"/>
    <col min="10524" max="10524" width="38.88671875" style="32" bestFit="1" customWidth="1"/>
    <col min="10525" max="10753" width="9.109375" style="32"/>
    <col min="10754" max="10754" width="16.88671875" style="32" customWidth="1"/>
    <col min="10755" max="10755" width="22.5546875" style="32" customWidth="1"/>
    <col min="10756" max="10756" width="31.88671875" style="32" customWidth="1"/>
    <col min="10757" max="10757" width="24.5546875" style="32" customWidth="1"/>
    <col min="10758" max="10758" width="20.109375" style="32" customWidth="1"/>
    <col min="10759" max="10759" width="24.88671875" style="32" customWidth="1"/>
    <col min="10760" max="10760" width="27.109375" style="32" bestFit="1" customWidth="1"/>
    <col min="10761" max="10761" width="21.5546875" style="32" customWidth="1"/>
    <col min="10762" max="10762" width="14.6640625" style="32" customWidth="1"/>
    <col min="10763" max="10763" width="16" style="32" customWidth="1"/>
    <col min="10764" max="10764" width="19.5546875" style="32" bestFit="1" customWidth="1"/>
    <col min="10765" max="10765" width="32.44140625" style="32" customWidth="1"/>
    <col min="10766" max="10769" width="9.109375" style="32"/>
    <col min="10770" max="10770" width="28.6640625" style="32" customWidth="1"/>
    <col min="10771" max="10771" width="12.33203125" style="32" bestFit="1" customWidth="1"/>
    <col min="10772" max="10772" width="26" style="32" bestFit="1" customWidth="1"/>
    <col min="10773" max="10773" width="34.109375" style="32" bestFit="1" customWidth="1"/>
    <col min="10774" max="10774" width="6.88671875" style="32" bestFit="1" customWidth="1"/>
    <col min="10775" max="10775" width="24.33203125" style="32" bestFit="1" customWidth="1"/>
    <col min="10776" max="10776" width="31.6640625" style="32" bestFit="1" customWidth="1"/>
    <col min="10777" max="10777" width="15.44140625" style="32" bestFit="1" customWidth="1"/>
    <col min="10778" max="10778" width="18.88671875" style="32" bestFit="1" customWidth="1"/>
    <col min="10779" max="10779" width="9.109375" style="32"/>
    <col min="10780" max="10780" width="38.88671875" style="32" bestFit="1" customWidth="1"/>
    <col min="10781" max="11009" width="9.109375" style="32"/>
    <col min="11010" max="11010" width="16.88671875" style="32" customWidth="1"/>
    <col min="11011" max="11011" width="22.5546875" style="32" customWidth="1"/>
    <col min="11012" max="11012" width="31.88671875" style="32" customWidth="1"/>
    <col min="11013" max="11013" width="24.5546875" style="32" customWidth="1"/>
    <col min="11014" max="11014" width="20.109375" style="32" customWidth="1"/>
    <col min="11015" max="11015" width="24.88671875" style="32" customWidth="1"/>
    <col min="11016" max="11016" width="27.109375" style="32" bestFit="1" customWidth="1"/>
    <col min="11017" max="11017" width="21.5546875" style="32" customWidth="1"/>
    <col min="11018" max="11018" width="14.6640625" style="32" customWidth="1"/>
    <col min="11019" max="11019" width="16" style="32" customWidth="1"/>
    <col min="11020" max="11020" width="19.5546875" style="32" bestFit="1" customWidth="1"/>
    <col min="11021" max="11021" width="32.44140625" style="32" customWidth="1"/>
    <col min="11022" max="11025" width="9.109375" style="32"/>
    <col min="11026" max="11026" width="28.6640625" style="32" customWidth="1"/>
    <col min="11027" max="11027" width="12.33203125" style="32" bestFit="1" customWidth="1"/>
    <col min="11028" max="11028" width="26" style="32" bestFit="1" customWidth="1"/>
    <col min="11029" max="11029" width="34.109375" style="32" bestFit="1" customWidth="1"/>
    <col min="11030" max="11030" width="6.88671875" style="32" bestFit="1" customWidth="1"/>
    <col min="11031" max="11031" width="24.33203125" style="32" bestFit="1" customWidth="1"/>
    <col min="11032" max="11032" width="31.6640625" style="32" bestFit="1" customWidth="1"/>
    <col min="11033" max="11033" width="15.44140625" style="32" bestFit="1" customWidth="1"/>
    <col min="11034" max="11034" width="18.88671875" style="32" bestFit="1" customWidth="1"/>
    <col min="11035" max="11035" width="9.109375" style="32"/>
    <col min="11036" max="11036" width="38.88671875" style="32" bestFit="1" customWidth="1"/>
    <col min="11037" max="11265" width="9.109375" style="32"/>
    <col min="11266" max="11266" width="16.88671875" style="32" customWidth="1"/>
    <col min="11267" max="11267" width="22.5546875" style="32" customWidth="1"/>
    <col min="11268" max="11268" width="31.88671875" style="32" customWidth="1"/>
    <col min="11269" max="11269" width="24.5546875" style="32" customWidth="1"/>
    <col min="11270" max="11270" width="20.109375" style="32" customWidth="1"/>
    <col min="11271" max="11271" width="24.88671875" style="32" customWidth="1"/>
    <col min="11272" max="11272" width="27.109375" style="32" bestFit="1" customWidth="1"/>
    <col min="11273" max="11273" width="21.5546875" style="32" customWidth="1"/>
    <col min="11274" max="11274" width="14.6640625" style="32" customWidth="1"/>
    <col min="11275" max="11275" width="16" style="32" customWidth="1"/>
    <col min="11276" max="11276" width="19.5546875" style="32" bestFit="1" customWidth="1"/>
    <col min="11277" max="11277" width="32.44140625" style="32" customWidth="1"/>
    <col min="11278" max="11281" width="9.109375" style="32"/>
    <col min="11282" max="11282" width="28.6640625" style="32" customWidth="1"/>
    <col min="11283" max="11283" width="12.33203125" style="32" bestFit="1" customWidth="1"/>
    <col min="11284" max="11284" width="26" style="32" bestFit="1" customWidth="1"/>
    <col min="11285" max="11285" width="34.109375" style="32" bestFit="1" customWidth="1"/>
    <col min="11286" max="11286" width="6.88671875" style="32" bestFit="1" customWidth="1"/>
    <col min="11287" max="11287" width="24.33203125" style="32" bestFit="1" customWidth="1"/>
    <col min="11288" max="11288" width="31.6640625" style="32" bestFit="1" customWidth="1"/>
    <col min="11289" max="11289" width="15.44140625" style="32" bestFit="1" customWidth="1"/>
    <col min="11290" max="11290" width="18.88671875" style="32" bestFit="1" customWidth="1"/>
    <col min="11291" max="11291" width="9.109375" style="32"/>
    <col min="11292" max="11292" width="38.88671875" style="32" bestFit="1" customWidth="1"/>
    <col min="11293" max="11521" width="9.109375" style="32"/>
    <col min="11522" max="11522" width="16.88671875" style="32" customWidth="1"/>
    <col min="11523" max="11523" width="22.5546875" style="32" customWidth="1"/>
    <col min="11524" max="11524" width="31.88671875" style="32" customWidth="1"/>
    <col min="11525" max="11525" width="24.5546875" style="32" customWidth="1"/>
    <col min="11526" max="11526" width="20.109375" style="32" customWidth="1"/>
    <col min="11527" max="11527" width="24.88671875" style="32" customWidth="1"/>
    <col min="11528" max="11528" width="27.109375" style="32" bestFit="1" customWidth="1"/>
    <col min="11529" max="11529" width="21.5546875" style="32" customWidth="1"/>
    <col min="11530" max="11530" width="14.6640625" style="32" customWidth="1"/>
    <col min="11531" max="11531" width="16" style="32" customWidth="1"/>
    <col min="11532" max="11532" width="19.5546875" style="32" bestFit="1" customWidth="1"/>
    <col min="11533" max="11533" width="32.44140625" style="32" customWidth="1"/>
    <col min="11534" max="11537" width="9.109375" style="32"/>
    <col min="11538" max="11538" width="28.6640625" style="32" customWidth="1"/>
    <col min="11539" max="11539" width="12.33203125" style="32" bestFit="1" customWidth="1"/>
    <col min="11540" max="11540" width="26" style="32" bestFit="1" customWidth="1"/>
    <col min="11541" max="11541" width="34.109375" style="32" bestFit="1" customWidth="1"/>
    <col min="11542" max="11542" width="6.88671875" style="32" bestFit="1" customWidth="1"/>
    <col min="11543" max="11543" width="24.33203125" style="32" bestFit="1" customWidth="1"/>
    <col min="11544" max="11544" width="31.6640625" style="32" bestFit="1" customWidth="1"/>
    <col min="11545" max="11545" width="15.44140625" style="32" bestFit="1" customWidth="1"/>
    <col min="11546" max="11546" width="18.88671875" style="32" bestFit="1" customWidth="1"/>
    <col min="11547" max="11547" width="9.109375" style="32"/>
    <col min="11548" max="11548" width="38.88671875" style="32" bestFit="1" customWidth="1"/>
    <col min="11549" max="11777" width="9.109375" style="32"/>
    <col min="11778" max="11778" width="16.88671875" style="32" customWidth="1"/>
    <col min="11779" max="11779" width="22.5546875" style="32" customWidth="1"/>
    <col min="11780" max="11780" width="31.88671875" style="32" customWidth="1"/>
    <col min="11781" max="11781" width="24.5546875" style="32" customWidth="1"/>
    <col min="11782" max="11782" width="20.109375" style="32" customWidth="1"/>
    <col min="11783" max="11783" width="24.88671875" style="32" customWidth="1"/>
    <col min="11784" max="11784" width="27.109375" style="32" bestFit="1" customWidth="1"/>
    <col min="11785" max="11785" width="21.5546875" style="32" customWidth="1"/>
    <col min="11786" max="11786" width="14.6640625" style="32" customWidth="1"/>
    <col min="11787" max="11787" width="16" style="32" customWidth="1"/>
    <col min="11788" max="11788" width="19.5546875" style="32" bestFit="1" customWidth="1"/>
    <col min="11789" max="11789" width="32.44140625" style="32" customWidth="1"/>
    <col min="11790" max="11793" width="9.109375" style="32"/>
    <col min="11794" max="11794" width="28.6640625" style="32" customWidth="1"/>
    <col min="11795" max="11795" width="12.33203125" style="32" bestFit="1" customWidth="1"/>
    <col min="11796" max="11796" width="26" style="32" bestFit="1" customWidth="1"/>
    <col min="11797" max="11797" width="34.109375" style="32" bestFit="1" customWidth="1"/>
    <col min="11798" max="11798" width="6.88671875" style="32" bestFit="1" customWidth="1"/>
    <col min="11799" max="11799" width="24.33203125" style="32" bestFit="1" customWidth="1"/>
    <col min="11800" max="11800" width="31.6640625" style="32" bestFit="1" customWidth="1"/>
    <col min="11801" max="11801" width="15.44140625" style="32" bestFit="1" customWidth="1"/>
    <col min="11802" max="11802" width="18.88671875" style="32" bestFit="1" customWidth="1"/>
    <col min="11803" max="11803" width="9.109375" style="32"/>
    <col min="11804" max="11804" width="38.88671875" style="32" bestFit="1" customWidth="1"/>
    <col min="11805" max="12033" width="9.109375" style="32"/>
    <col min="12034" max="12034" width="16.88671875" style="32" customWidth="1"/>
    <col min="12035" max="12035" width="22.5546875" style="32" customWidth="1"/>
    <col min="12036" max="12036" width="31.88671875" style="32" customWidth="1"/>
    <col min="12037" max="12037" width="24.5546875" style="32" customWidth="1"/>
    <col min="12038" max="12038" width="20.109375" style="32" customWidth="1"/>
    <col min="12039" max="12039" width="24.88671875" style="32" customWidth="1"/>
    <col min="12040" max="12040" width="27.109375" style="32" bestFit="1" customWidth="1"/>
    <col min="12041" max="12041" width="21.5546875" style="32" customWidth="1"/>
    <col min="12042" max="12042" width="14.6640625" style="32" customWidth="1"/>
    <col min="12043" max="12043" width="16" style="32" customWidth="1"/>
    <col min="12044" max="12044" width="19.5546875" style="32" bestFit="1" customWidth="1"/>
    <col min="12045" max="12045" width="32.44140625" style="32" customWidth="1"/>
    <col min="12046" max="12049" width="9.109375" style="32"/>
    <col min="12050" max="12050" width="28.6640625" style="32" customWidth="1"/>
    <col min="12051" max="12051" width="12.33203125" style="32" bestFit="1" customWidth="1"/>
    <col min="12052" max="12052" width="26" style="32" bestFit="1" customWidth="1"/>
    <col min="12053" max="12053" width="34.109375" style="32" bestFit="1" customWidth="1"/>
    <col min="12054" max="12054" width="6.88671875" style="32" bestFit="1" customWidth="1"/>
    <col min="12055" max="12055" width="24.33203125" style="32" bestFit="1" customWidth="1"/>
    <col min="12056" max="12056" width="31.6640625" style="32" bestFit="1" customWidth="1"/>
    <col min="12057" max="12057" width="15.44140625" style="32" bestFit="1" customWidth="1"/>
    <col min="12058" max="12058" width="18.88671875" style="32" bestFit="1" customWidth="1"/>
    <col min="12059" max="12059" width="9.109375" style="32"/>
    <col min="12060" max="12060" width="38.88671875" style="32" bestFit="1" customWidth="1"/>
    <col min="12061" max="12289" width="9.109375" style="32"/>
    <col min="12290" max="12290" width="16.88671875" style="32" customWidth="1"/>
    <col min="12291" max="12291" width="22.5546875" style="32" customWidth="1"/>
    <col min="12292" max="12292" width="31.88671875" style="32" customWidth="1"/>
    <col min="12293" max="12293" width="24.5546875" style="32" customWidth="1"/>
    <col min="12294" max="12294" width="20.109375" style="32" customWidth="1"/>
    <col min="12295" max="12295" width="24.88671875" style="32" customWidth="1"/>
    <col min="12296" max="12296" width="27.109375" style="32" bestFit="1" customWidth="1"/>
    <col min="12297" max="12297" width="21.5546875" style="32" customWidth="1"/>
    <col min="12298" max="12298" width="14.6640625" style="32" customWidth="1"/>
    <col min="12299" max="12299" width="16" style="32" customWidth="1"/>
    <col min="12300" max="12300" width="19.5546875" style="32" bestFit="1" customWidth="1"/>
    <col min="12301" max="12301" width="32.44140625" style="32" customWidth="1"/>
    <col min="12302" max="12305" width="9.109375" style="32"/>
    <col min="12306" max="12306" width="28.6640625" style="32" customWidth="1"/>
    <col min="12307" max="12307" width="12.33203125" style="32" bestFit="1" customWidth="1"/>
    <col min="12308" max="12308" width="26" style="32" bestFit="1" customWidth="1"/>
    <col min="12309" max="12309" width="34.109375" style="32" bestFit="1" customWidth="1"/>
    <col min="12310" max="12310" width="6.88671875" style="32" bestFit="1" customWidth="1"/>
    <col min="12311" max="12311" width="24.33203125" style="32" bestFit="1" customWidth="1"/>
    <col min="12312" max="12312" width="31.6640625" style="32" bestFit="1" customWidth="1"/>
    <col min="12313" max="12313" width="15.44140625" style="32" bestFit="1" customWidth="1"/>
    <col min="12314" max="12314" width="18.88671875" style="32" bestFit="1" customWidth="1"/>
    <col min="12315" max="12315" width="9.109375" style="32"/>
    <col min="12316" max="12316" width="38.88671875" style="32" bestFit="1" customWidth="1"/>
    <col min="12317" max="12545" width="9.109375" style="32"/>
    <col min="12546" max="12546" width="16.88671875" style="32" customWidth="1"/>
    <col min="12547" max="12547" width="22.5546875" style="32" customWidth="1"/>
    <col min="12548" max="12548" width="31.88671875" style="32" customWidth="1"/>
    <col min="12549" max="12549" width="24.5546875" style="32" customWidth="1"/>
    <col min="12550" max="12550" width="20.109375" style="32" customWidth="1"/>
    <col min="12551" max="12551" width="24.88671875" style="32" customWidth="1"/>
    <col min="12552" max="12552" width="27.109375" style="32" bestFit="1" customWidth="1"/>
    <col min="12553" max="12553" width="21.5546875" style="32" customWidth="1"/>
    <col min="12554" max="12554" width="14.6640625" style="32" customWidth="1"/>
    <col min="12555" max="12555" width="16" style="32" customWidth="1"/>
    <col min="12556" max="12556" width="19.5546875" style="32" bestFit="1" customWidth="1"/>
    <col min="12557" max="12557" width="32.44140625" style="32" customWidth="1"/>
    <col min="12558" max="12561" width="9.109375" style="32"/>
    <col min="12562" max="12562" width="28.6640625" style="32" customWidth="1"/>
    <col min="12563" max="12563" width="12.33203125" style="32" bestFit="1" customWidth="1"/>
    <col min="12564" max="12564" width="26" style="32" bestFit="1" customWidth="1"/>
    <col min="12565" max="12565" width="34.109375" style="32" bestFit="1" customWidth="1"/>
    <col min="12566" max="12566" width="6.88671875" style="32" bestFit="1" customWidth="1"/>
    <col min="12567" max="12567" width="24.33203125" style="32" bestFit="1" customWidth="1"/>
    <col min="12568" max="12568" width="31.6640625" style="32" bestFit="1" customWidth="1"/>
    <col min="12569" max="12569" width="15.44140625" style="32" bestFit="1" customWidth="1"/>
    <col min="12570" max="12570" width="18.88671875" style="32" bestFit="1" customWidth="1"/>
    <col min="12571" max="12571" width="9.109375" style="32"/>
    <col min="12572" max="12572" width="38.88671875" style="32" bestFit="1" customWidth="1"/>
    <col min="12573" max="12801" width="9.109375" style="32"/>
    <col min="12802" max="12802" width="16.88671875" style="32" customWidth="1"/>
    <col min="12803" max="12803" width="22.5546875" style="32" customWidth="1"/>
    <col min="12804" max="12804" width="31.88671875" style="32" customWidth="1"/>
    <col min="12805" max="12805" width="24.5546875" style="32" customWidth="1"/>
    <col min="12806" max="12806" width="20.109375" style="32" customWidth="1"/>
    <col min="12807" max="12807" width="24.88671875" style="32" customWidth="1"/>
    <col min="12808" max="12808" width="27.109375" style="32" bestFit="1" customWidth="1"/>
    <col min="12809" max="12809" width="21.5546875" style="32" customWidth="1"/>
    <col min="12810" max="12810" width="14.6640625" style="32" customWidth="1"/>
    <col min="12811" max="12811" width="16" style="32" customWidth="1"/>
    <col min="12812" max="12812" width="19.5546875" style="32" bestFit="1" customWidth="1"/>
    <col min="12813" max="12813" width="32.44140625" style="32" customWidth="1"/>
    <col min="12814" max="12817" width="9.109375" style="32"/>
    <col min="12818" max="12818" width="28.6640625" style="32" customWidth="1"/>
    <col min="12819" max="12819" width="12.33203125" style="32" bestFit="1" customWidth="1"/>
    <col min="12820" max="12820" width="26" style="32" bestFit="1" customWidth="1"/>
    <col min="12821" max="12821" width="34.109375" style="32" bestFit="1" customWidth="1"/>
    <col min="12822" max="12822" width="6.88671875" style="32" bestFit="1" customWidth="1"/>
    <col min="12823" max="12823" width="24.33203125" style="32" bestFit="1" customWidth="1"/>
    <col min="12824" max="12824" width="31.6640625" style="32" bestFit="1" customWidth="1"/>
    <col min="12825" max="12825" width="15.44140625" style="32" bestFit="1" customWidth="1"/>
    <col min="12826" max="12826" width="18.88671875" style="32" bestFit="1" customWidth="1"/>
    <col min="12827" max="12827" width="9.109375" style="32"/>
    <col min="12828" max="12828" width="38.88671875" style="32" bestFit="1" customWidth="1"/>
    <col min="12829" max="13057" width="9.109375" style="32"/>
    <col min="13058" max="13058" width="16.88671875" style="32" customWidth="1"/>
    <col min="13059" max="13059" width="22.5546875" style="32" customWidth="1"/>
    <col min="13060" max="13060" width="31.88671875" style="32" customWidth="1"/>
    <col min="13061" max="13061" width="24.5546875" style="32" customWidth="1"/>
    <col min="13062" max="13062" width="20.109375" style="32" customWidth="1"/>
    <col min="13063" max="13063" width="24.88671875" style="32" customWidth="1"/>
    <col min="13064" max="13064" width="27.109375" style="32" bestFit="1" customWidth="1"/>
    <col min="13065" max="13065" width="21.5546875" style="32" customWidth="1"/>
    <col min="13066" max="13066" width="14.6640625" style="32" customWidth="1"/>
    <col min="13067" max="13067" width="16" style="32" customWidth="1"/>
    <col min="13068" max="13068" width="19.5546875" style="32" bestFit="1" customWidth="1"/>
    <col min="13069" max="13069" width="32.44140625" style="32" customWidth="1"/>
    <col min="13070" max="13073" width="9.109375" style="32"/>
    <col min="13074" max="13074" width="28.6640625" style="32" customWidth="1"/>
    <col min="13075" max="13075" width="12.33203125" style="32" bestFit="1" customWidth="1"/>
    <col min="13076" max="13076" width="26" style="32" bestFit="1" customWidth="1"/>
    <col min="13077" max="13077" width="34.109375" style="32" bestFit="1" customWidth="1"/>
    <col min="13078" max="13078" width="6.88671875" style="32" bestFit="1" customWidth="1"/>
    <col min="13079" max="13079" width="24.33203125" style="32" bestFit="1" customWidth="1"/>
    <col min="13080" max="13080" width="31.6640625" style="32" bestFit="1" customWidth="1"/>
    <col min="13081" max="13081" width="15.44140625" style="32" bestFit="1" customWidth="1"/>
    <col min="13082" max="13082" width="18.88671875" style="32" bestFit="1" customWidth="1"/>
    <col min="13083" max="13083" width="9.109375" style="32"/>
    <col min="13084" max="13084" width="38.88671875" style="32" bestFit="1" customWidth="1"/>
    <col min="13085" max="13313" width="9.109375" style="32"/>
    <col min="13314" max="13314" width="16.88671875" style="32" customWidth="1"/>
    <col min="13315" max="13315" width="22.5546875" style="32" customWidth="1"/>
    <col min="13316" max="13316" width="31.88671875" style="32" customWidth="1"/>
    <col min="13317" max="13317" width="24.5546875" style="32" customWidth="1"/>
    <col min="13318" max="13318" width="20.109375" style="32" customWidth="1"/>
    <col min="13319" max="13319" width="24.88671875" style="32" customWidth="1"/>
    <col min="13320" max="13320" width="27.109375" style="32" bestFit="1" customWidth="1"/>
    <col min="13321" max="13321" width="21.5546875" style="32" customWidth="1"/>
    <col min="13322" max="13322" width="14.6640625" style="32" customWidth="1"/>
    <col min="13323" max="13323" width="16" style="32" customWidth="1"/>
    <col min="13324" max="13324" width="19.5546875" style="32" bestFit="1" customWidth="1"/>
    <col min="13325" max="13325" width="32.44140625" style="32" customWidth="1"/>
    <col min="13326" max="13329" width="9.109375" style="32"/>
    <col min="13330" max="13330" width="28.6640625" style="32" customWidth="1"/>
    <col min="13331" max="13331" width="12.33203125" style="32" bestFit="1" customWidth="1"/>
    <col min="13332" max="13332" width="26" style="32" bestFit="1" customWidth="1"/>
    <col min="13333" max="13333" width="34.109375" style="32" bestFit="1" customWidth="1"/>
    <col min="13334" max="13334" width="6.88671875" style="32" bestFit="1" customWidth="1"/>
    <col min="13335" max="13335" width="24.33203125" style="32" bestFit="1" customWidth="1"/>
    <col min="13336" max="13336" width="31.6640625" style="32" bestFit="1" customWidth="1"/>
    <col min="13337" max="13337" width="15.44140625" style="32" bestFit="1" customWidth="1"/>
    <col min="13338" max="13338" width="18.88671875" style="32" bestFit="1" customWidth="1"/>
    <col min="13339" max="13339" width="9.109375" style="32"/>
    <col min="13340" max="13340" width="38.88671875" style="32" bestFit="1" customWidth="1"/>
    <col min="13341" max="13569" width="9.109375" style="32"/>
    <col min="13570" max="13570" width="16.88671875" style="32" customWidth="1"/>
    <col min="13571" max="13571" width="22.5546875" style="32" customWidth="1"/>
    <col min="13572" max="13572" width="31.88671875" style="32" customWidth="1"/>
    <col min="13573" max="13573" width="24.5546875" style="32" customWidth="1"/>
    <col min="13574" max="13574" width="20.109375" style="32" customWidth="1"/>
    <col min="13575" max="13575" width="24.88671875" style="32" customWidth="1"/>
    <col min="13576" max="13576" width="27.109375" style="32" bestFit="1" customWidth="1"/>
    <col min="13577" max="13577" width="21.5546875" style="32" customWidth="1"/>
    <col min="13578" max="13578" width="14.6640625" style="32" customWidth="1"/>
    <col min="13579" max="13579" width="16" style="32" customWidth="1"/>
    <col min="13580" max="13580" width="19.5546875" style="32" bestFit="1" customWidth="1"/>
    <col min="13581" max="13581" width="32.44140625" style="32" customWidth="1"/>
    <col min="13582" max="13585" width="9.109375" style="32"/>
    <col min="13586" max="13586" width="28.6640625" style="32" customWidth="1"/>
    <col min="13587" max="13587" width="12.33203125" style="32" bestFit="1" customWidth="1"/>
    <col min="13588" max="13588" width="26" style="32" bestFit="1" customWidth="1"/>
    <col min="13589" max="13589" width="34.109375" style="32" bestFit="1" customWidth="1"/>
    <col min="13590" max="13590" width="6.88671875" style="32" bestFit="1" customWidth="1"/>
    <col min="13591" max="13591" width="24.33203125" style="32" bestFit="1" customWidth="1"/>
    <col min="13592" max="13592" width="31.6640625" style="32" bestFit="1" customWidth="1"/>
    <col min="13593" max="13593" width="15.44140625" style="32" bestFit="1" customWidth="1"/>
    <col min="13594" max="13594" width="18.88671875" style="32" bestFit="1" customWidth="1"/>
    <col min="13595" max="13595" width="9.109375" style="32"/>
    <col min="13596" max="13596" width="38.88671875" style="32" bestFit="1" customWidth="1"/>
    <col min="13597" max="13825" width="9.109375" style="32"/>
    <col min="13826" max="13826" width="16.88671875" style="32" customWidth="1"/>
    <col min="13827" max="13827" width="22.5546875" style="32" customWidth="1"/>
    <col min="13828" max="13828" width="31.88671875" style="32" customWidth="1"/>
    <col min="13829" max="13829" width="24.5546875" style="32" customWidth="1"/>
    <col min="13830" max="13830" width="20.109375" style="32" customWidth="1"/>
    <col min="13831" max="13831" width="24.88671875" style="32" customWidth="1"/>
    <col min="13832" max="13832" width="27.109375" style="32" bestFit="1" customWidth="1"/>
    <col min="13833" max="13833" width="21.5546875" style="32" customWidth="1"/>
    <col min="13834" max="13834" width="14.6640625" style="32" customWidth="1"/>
    <col min="13835" max="13835" width="16" style="32" customWidth="1"/>
    <col min="13836" max="13836" width="19.5546875" style="32" bestFit="1" customWidth="1"/>
    <col min="13837" max="13837" width="32.44140625" style="32" customWidth="1"/>
    <col min="13838" max="13841" width="9.109375" style="32"/>
    <col min="13842" max="13842" width="28.6640625" style="32" customWidth="1"/>
    <col min="13843" max="13843" width="12.33203125" style="32" bestFit="1" customWidth="1"/>
    <col min="13844" max="13844" width="26" style="32" bestFit="1" customWidth="1"/>
    <col min="13845" max="13845" width="34.109375" style="32" bestFit="1" customWidth="1"/>
    <col min="13846" max="13846" width="6.88671875" style="32" bestFit="1" customWidth="1"/>
    <col min="13847" max="13847" width="24.33203125" style="32" bestFit="1" customWidth="1"/>
    <col min="13848" max="13848" width="31.6640625" style="32" bestFit="1" customWidth="1"/>
    <col min="13849" max="13849" width="15.44140625" style="32" bestFit="1" customWidth="1"/>
    <col min="13850" max="13850" width="18.88671875" style="32" bestFit="1" customWidth="1"/>
    <col min="13851" max="13851" width="9.109375" style="32"/>
    <col min="13852" max="13852" width="38.88671875" style="32" bestFit="1" customWidth="1"/>
    <col min="13853" max="14081" width="9.109375" style="32"/>
    <col min="14082" max="14082" width="16.88671875" style="32" customWidth="1"/>
    <col min="14083" max="14083" width="22.5546875" style="32" customWidth="1"/>
    <col min="14084" max="14084" width="31.88671875" style="32" customWidth="1"/>
    <col min="14085" max="14085" width="24.5546875" style="32" customWidth="1"/>
    <col min="14086" max="14086" width="20.109375" style="32" customWidth="1"/>
    <col min="14087" max="14087" width="24.88671875" style="32" customWidth="1"/>
    <col min="14088" max="14088" width="27.109375" style="32" bestFit="1" customWidth="1"/>
    <col min="14089" max="14089" width="21.5546875" style="32" customWidth="1"/>
    <col min="14090" max="14090" width="14.6640625" style="32" customWidth="1"/>
    <col min="14091" max="14091" width="16" style="32" customWidth="1"/>
    <col min="14092" max="14092" width="19.5546875" style="32" bestFit="1" customWidth="1"/>
    <col min="14093" max="14093" width="32.44140625" style="32" customWidth="1"/>
    <col min="14094" max="14097" width="9.109375" style="32"/>
    <col min="14098" max="14098" width="28.6640625" style="32" customWidth="1"/>
    <col min="14099" max="14099" width="12.33203125" style="32" bestFit="1" customWidth="1"/>
    <col min="14100" max="14100" width="26" style="32" bestFit="1" customWidth="1"/>
    <col min="14101" max="14101" width="34.109375" style="32" bestFit="1" customWidth="1"/>
    <col min="14102" max="14102" width="6.88671875" style="32" bestFit="1" customWidth="1"/>
    <col min="14103" max="14103" width="24.33203125" style="32" bestFit="1" customWidth="1"/>
    <col min="14104" max="14104" width="31.6640625" style="32" bestFit="1" customWidth="1"/>
    <col min="14105" max="14105" width="15.44140625" style="32" bestFit="1" customWidth="1"/>
    <col min="14106" max="14106" width="18.88671875" style="32" bestFit="1" customWidth="1"/>
    <col min="14107" max="14107" width="9.109375" style="32"/>
    <col min="14108" max="14108" width="38.88671875" style="32" bestFit="1" customWidth="1"/>
    <col min="14109" max="14337" width="9.109375" style="32"/>
    <col min="14338" max="14338" width="16.88671875" style="32" customWidth="1"/>
    <col min="14339" max="14339" width="22.5546875" style="32" customWidth="1"/>
    <col min="14340" max="14340" width="31.88671875" style="32" customWidth="1"/>
    <col min="14341" max="14341" width="24.5546875" style="32" customWidth="1"/>
    <col min="14342" max="14342" width="20.109375" style="32" customWidth="1"/>
    <col min="14343" max="14343" width="24.88671875" style="32" customWidth="1"/>
    <col min="14344" max="14344" width="27.109375" style="32" bestFit="1" customWidth="1"/>
    <col min="14345" max="14345" width="21.5546875" style="32" customWidth="1"/>
    <col min="14346" max="14346" width="14.6640625" style="32" customWidth="1"/>
    <col min="14347" max="14347" width="16" style="32" customWidth="1"/>
    <col min="14348" max="14348" width="19.5546875" style="32" bestFit="1" customWidth="1"/>
    <col min="14349" max="14349" width="32.44140625" style="32" customWidth="1"/>
    <col min="14350" max="14353" width="9.109375" style="32"/>
    <col min="14354" max="14354" width="28.6640625" style="32" customWidth="1"/>
    <col min="14355" max="14355" width="12.33203125" style="32" bestFit="1" customWidth="1"/>
    <col min="14356" max="14356" width="26" style="32" bestFit="1" customWidth="1"/>
    <col min="14357" max="14357" width="34.109375" style="32" bestFit="1" customWidth="1"/>
    <col min="14358" max="14358" width="6.88671875" style="32" bestFit="1" customWidth="1"/>
    <col min="14359" max="14359" width="24.33203125" style="32" bestFit="1" customWidth="1"/>
    <col min="14360" max="14360" width="31.6640625" style="32" bestFit="1" customWidth="1"/>
    <col min="14361" max="14361" width="15.44140625" style="32" bestFit="1" customWidth="1"/>
    <col min="14362" max="14362" width="18.88671875" style="32" bestFit="1" customWidth="1"/>
    <col min="14363" max="14363" width="9.109375" style="32"/>
    <col min="14364" max="14364" width="38.88671875" style="32" bestFit="1" customWidth="1"/>
    <col min="14365" max="14593" width="9.109375" style="32"/>
    <col min="14594" max="14594" width="16.88671875" style="32" customWidth="1"/>
    <col min="14595" max="14595" width="22.5546875" style="32" customWidth="1"/>
    <col min="14596" max="14596" width="31.88671875" style="32" customWidth="1"/>
    <col min="14597" max="14597" width="24.5546875" style="32" customWidth="1"/>
    <col min="14598" max="14598" width="20.109375" style="32" customWidth="1"/>
    <col min="14599" max="14599" width="24.88671875" style="32" customWidth="1"/>
    <col min="14600" max="14600" width="27.109375" style="32" bestFit="1" customWidth="1"/>
    <col min="14601" max="14601" width="21.5546875" style="32" customWidth="1"/>
    <col min="14602" max="14602" width="14.6640625" style="32" customWidth="1"/>
    <col min="14603" max="14603" width="16" style="32" customWidth="1"/>
    <col min="14604" max="14604" width="19.5546875" style="32" bestFit="1" customWidth="1"/>
    <col min="14605" max="14605" width="32.44140625" style="32" customWidth="1"/>
    <col min="14606" max="14609" width="9.109375" style="32"/>
    <col min="14610" max="14610" width="28.6640625" style="32" customWidth="1"/>
    <col min="14611" max="14611" width="12.33203125" style="32" bestFit="1" customWidth="1"/>
    <col min="14612" max="14612" width="26" style="32" bestFit="1" customWidth="1"/>
    <col min="14613" max="14613" width="34.109375" style="32" bestFit="1" customWidth="1"/>
    <col min="14614" max="14614" width="6.88671875" style="32" bestFit="1" customWidth="1"/>
    <col min="14615" max="14615" width="24.33203125" style="32" bestFit="1" customWidth="1"/>
    <col min="14616" max="14616" width="31.6640625" style="32" bestFit="1" customWidth="1"/>
    <col min="14617" max="14617" width="15.44140625" style="32" bestFit="1" customWidth="1"/>
    <col min="14618" max="14618" width="18.88671875" style="32" bestFit="1" customWidth="1"/>
    <col min="14619" max="14619" width="9.109375" style="32"/>
    <col min="14620" max="14620" width="38.88671875" style="32" bestFit="1" customWidth="1"/>
    <col min="14621" max="14849" width="9.109375" style="32"/>
    <col min="14850" max="14850" width="16.88671875" style="32" customWidth="1"/>
    <col min="14851" max="14851" width="22.5546875" style="32" customWidth="1"/>
    <col min="14852" max="14852" width="31.88671875" style="32" customWidth="1"/>
    <col min="14853" max="14853" width="24.5546875" style="32" customWidth="1"/>
    <col min="14854" max="14854" width="20.109375" style="32" customWidth="1"/>
    <col min="14855" max="14855" width="24.88671875" style="32" customWidth="1"/>
    <col min="14856" max="14856" width="27.109375" style="32" bestFit="1" customWidth="1"/>
    <col min="14857" max="14857" width="21.5546875" style="32" customWidth="1"/>
    <col min="14858" max="14858" width="14.6640625" style="32" customWidth="1"/>
    <col min="14859" max="14859" width="16" style="32" customWidth="1"/>
    <col min="14860" max="14860" width="19.5546875" style="32" bestFit="1" customWidth="1"/>
    <col min="14861" max="14861" width="32.44140625" style="32" customWidth="1"/>
    <col min="14862" max="14865" width="9.109375" style="32"/>
    <col min="14866" max="14866" width="28.6640625" style="32" customWidth="1"/>
    <col min="14867" max="14867" width="12.33203125" style="32" bestFit="1" customWidth="1"/>
    <col min="14868" max="14868" width="26" style="32" bestFit="1" customWidth="1"/>
    <col min="14869" max="14869" width="34.109375" style="32" bestFit="1" customWidth="1"/>
    <col min="14870" max="14870" width="6.88671875" style="32" bestFit="1" customWidth="1"/>
    <col min="14871" max="14871" width="24.33203125" style="32" bestFit="1" customWidth="1"/>
    <col min="14872" max="14872" width="31.6640625" style="32" bestFit="1" customWidth="1"/>
    <col min="14873" max="14873" width="15.44140625" style="32" bestFit="1" customWidth="1"/>
    <col min="14874" max="14874" width="18.88671875" style="32" bestFit="1" customWidth="1"/>
    <col min="14875" max="14875" width="9.109375" style="32"/>
    <col min="14876" max="14876" width="38.88671875" style="32" bestFit="1" customWidth="1"/>
    <col min="14877" max="15105" width="9.109375" style="32"/>
    <col min="15106" max="15106" width="16.88671875" style="32" customWidth="1"/>
    <col min="15107" max="15107" width="22.5546875" style="32" customWidth="1"/>
    <col min="15108" max="15108" width="31.88671875" style="32" customWidth="1"/>
    <col min="15109" max="15109" width="24.5546875" style="32" customWidth="1"/>
    <col min="15110" max="15110" width="20.109375" style="32" customWidth="1"/>
    <col min="15111" max="15111" width="24.88671875" style="32" customWidth="1"/>
    <col min="15112" max="15112" width="27.109375" style="32" bestFit="1" customWidth="1"/>
    <col min="15113" max="15113" width="21.5546875" style="32" customWidth="1"/>
    <col min="15114" max="15114" width="14.6640625" style="32" customWidth="1"/>
    <col min="15115" max="15115" width="16" style="32" customWidth="1"/>
    <col min="15116" max="15116" width="19.5546875" style="32" bestFit="1" customWidth="1"/>
    <col min="15117" max="15117" width="32.44140625" style="32" customWidth="1"/>
    <col min="15118" max="15121" width="9.109375" style="32"/>
    <col min="15122" max="15122" width="28.6640625" style="32" customWidth="1"/>
    <col min="15123" max="15123" width="12.33203125" style="32" bestFit="1" customWidth="1"/>
    <col min="15124" max="15124" width="26" style="32" bestFit="1" customWidth="1"/>
    <col min="15125" max="15125" width="34.109375" style="32" bestFit="1" customWidth="1"/>
    <col min="15126" max="15126" width="6.88671875" style="32" bestFit="1" customWidth="1"/>
    <col min="15127" max="15127" width="24.33203125" style="32" bestFit="1" customWidth="1"/>
    <col min="15128" max="15128" width="31.6640625" style="32" bestFit="1" customWidth="1"/>
    <col min="15129" max="15129" width="15.44140625" style="32" bestFit="1" customWidth="1"/>
    <col min="15130" max="15130" width="18.88671875" style="32" bestFit="1" customWidth="1"/>
    <col min="15131" max="15131" width="9.109375" style="32"/>
    <col min="15132" max="15132" width="38.88671875" style="32" bestFit="1" customWidth="1"/>
    <col min="15133" max="15361" width="9.109375" style="32"/>
    <col min="15362" max="15362" width="16.88671875" style="32" customWidth="1"/>
    <col min="15363" max="15363" width="22.5546875" style="32" customWidth="1"/>
    <col min="15364" max="15364" width="31.88671875" style="32" customWidth="1"/>
    <col min="15365" max="15365" width="24.5546875" style="32" customWidth="1"/>
    <col min="15366" max="15366" width="20.109375" style="32" customWidth="1"/>
    <col min="15367" max="15367" width="24.88671875" style="32" customWidth="1"/>
    <col min="15368" max="15368" width="27.109375" style="32" bestFit="1" customWidth="1"/>
    <col min="15369" max="15369" width="21.5546875" style="32" customWidth="1"/>
    <col min="15370" max="15370" width="14.6640625" style="32" customWidth="1"/>
    <col min="15371" max="15371" width="16" style="32" customWidth="1"/>
    <col min="15372" max="15372" width="19.5546875" style="32" bestFit="1" customWidth="1"/>
    <col min="15373" max="15373" width="32.44140625" style="32" customWidth="1"/>
    <col min="15374" max="15377" width="9.109375" style="32"/>
    <col min="15378" max="15378" width="28.6640625" style="32" customWidth="1"/>
    <col min="15379" max="15379" width="12.33203125" style="32" bestFit="1" customWidth="1"/>
    <col min="15380" max="15380" width="26" style="32" bestFit="1" customWidth="1"/>
    <col min="15381" max="15381" width="34.109375" style="32" bestFit="1" customWidth="1"/>
    <col min="15382" max="15382" width="6.88671875" style="32" bestFit="1" customWidth="1"/>
    <col min="15383" max="15383" width="24.33203125" style="32" bestFit="1" customWidth="1"/>
    <col min="15384" max="15384" width="31.6640625" style="32" bestFit="1" customWidth="1"/>
    <col min="15385" max="15385" width="15.44140625" style="32" bestFit="1" customWidth="1"/>
    <col min="15386" max="15386" width="18.88671875" style="32" bestFit="1" customWidth="1"/>
    <col min="15387" max="15387" width="9.109375" style="32"/>
    <col min="15388" max="15388" width="38.88671875" style="32" bestFit="1" customWidth="1"/>
    <col min="15389" max="15617" width="9.109375" style="32"/>
    <col min="15618" max="15618" width="16.88671875" style="32" customWidth="1"/>
    <col min="15619" max="15619" width="22.5546875" style="32" customWidth="1"/>
    <col min="15620" max="15620" width="31.88671875" style="32" customWidth="1"/>
    <col min="15621" max="15621" width="24.5546875" style="32" customWidth="1"/>
    <col min="15622" max="15622" width="20.109375" style="32" customWidth="1"/>
    <col min="15623" max="15623" width="24.88671875" style="32" customWidth="1"/>
    <col min="15624" max="15624" width="27.109375" style="32" bestFit="1" customWidth="1"/>
    <col min="15625" max="15625" width="21.5546875" style="32" customWidth="1"/>
    <col min="15626" max="15626" width="14.6640625" style="32" customWidth="1"/>
    <col min="15627" max="15627" width="16" style="32" customWidth="1"/>
    <col min="15628" max="15628" width="19.5546875" style="32" bestFit="1" customWidth="1"/>
    <col min="15629" max="15629" width="32.44140625" style="32" customWidth="1"/>
    <col min="15630" max="15633" width="9.109375" style="32"/>
    <col min="15634" max="15634" width="28.6640625" style="32" customWidth="1"/>
    <col min="15635" max="15635" width="12.33203125" style="32" bestFit="1" customWidth="1"/>
    <col min="15636" max="15636" width="26" style="32" bestFit="1" customWidth="1"/>
    <col min="15637" max="15637" width="34.109375" style="32" bestFit="1" customWidth="1"/>
    <col min="15638" max="15638" width="6.88671875" style="32" bestFit="1" customWidth="1"/>
    <col min="15639" max="15639" width="24.33203125" style="32" bestFit="1" customWidth="1"/>
    <col min="15640" max="15640" width="31.6640625" style="32" bestFit="1" customWidth="1"/>
    <col min="15641" max="15641" width="15.44140625" style="32" bestFit="1" customWidth="1"/>
    <col min="15642" max="15642" width="18.88671875" style="32" bestFit="1" customWidth="1"/>
    <col min="15643" max="15643" width="9.109375" style="32"/>
    <col min="15644" max="15644" width="38.88671875" style="32" bestFit="1" customWidth="1"/>
    <col min="15645" max="15873" width="9.109375" style="32"/>
    <col min="15874" max="15874" width="16.88671875" style="32" customWidth="1"/>
    <col min="15875" max="15875" width="22.5546875" style="32" customWidth="1"/>
    <col min="15876" max="15876" width="31.88671875" style="32" customWidth="1"/>
    <col min="15877" max="15877" width="24.5546875" style="32" customWidth="1"/>
    <col min="15878" max="15878" width="20.109375" style="32" customWidth="1"/>
    <col min="15879" max="15879" width="24.88671875" style="32" customWidth="1"/>
    <col min="15880" max="15880" width="27.109375" style="32" bestFit="1" customWidth="1"/>
    <col min="15881" max="15881" width="21.5546875" style="32" customWidth="1"/>
    <col min="15882" max="15882" width="14.6640625" style="32" customWidth="1"/>
    <col min="15883" max="15883" width="16" style="32" customWidth="1"/>
    <col min="15884" max="15884" width="19.5546875" style="32" bestFit="1" customWidth="1"/>
    <col min="15885" max="15885" width="32.44140625" style="32" customWidth="1"/>
    <col min="15886" max="15889" width="9.109375" style="32"/>
    <col min="15890" max="15890" width="28.6640625" style="32" customWidth="1"/>
    <col min="15891" max="15891" width="12.33203125" style="32" bestFit="1" customWidth="1"/>
    <col min="15892" max="15892" width="26" style="32" bestFit="1" customWidth="1"/>
    <col min="15893" max="15893" width="34.109375" style="32" bestFit="1" customWidth="1"/>
    <col min="15894" max="15894" width="6.88671875" style="32" bestFit="1" customWidth="1"/>
    <col min="15895" max="15895" width="24.33203125" style="32" bestFit="1" customWidth="1"/>
    <col min="15896" max="15896" width="31.6640625" style="32" bestFit="1" customWidth="1"/>
    <col min="15897" max="15897" width="15.44140625" style="32" bestFit="1" customWidth="1"/>
    <col min="15898" max="15898" width="18.88671875" style="32" bestFit="1" customWidth="1"/>
    <col min="15899" max="15899" width="9.109375" style="32"/>
    <col min="15900" max="15900" width="38.88671875" style="32" bestFit="1" customWidth="1"/>
    <col min="15901" max="16129" width="9.109375" style="32"/>
    <col min="16130" max="16130" width="16.88671875" style="32" customWidth="1"/>
    <col min="16131" max="16131" width="22.5546875" style="32" customWidth="1"/>
    <col min="16132" max="16132" width="31.88671875" style="32" customWidth="1"/>
    <col min="16133" max="16133" width="24.5546875" style="32" customWidth="1"/>
    <col min="16134" max="16134" width="20.109375" style="32" customWidth="1"/>
    <col min="16135" max="16135" width="24.88671875" style="32" customWidth="1"/>
    <col min="16136" max="16136" width="27.109375" style="32" bestFit="1" customWidth="1"/>
    <col min="16137" max="16137" width="21.5546875" style="32" customWidth="1"/>
    <col min="16138" max="16138" width="14.6640625" style="32" customWidth="1"/>
    <col min="16139" max="16139" width="16" style="32" customWidth="1"/>
    <col min="16140" max="16140" width="19.5546875" style="32" bestFit="1" customWidth="1"/>
    <col min="16141" max="16141" width="32.44140625" style="32" customWidth="1"/>
    <col min="16142" max="16145" width="9.109375" style="32"/>
    <col min="16146" max="16146" width="28.6640625" style="32" customWidth="1"/>
    <col min="16147" max="16147" width="12.33203125" style="32" bestFit="1" customWidth="1"/>
    <col min="16148" max="16148" width="26" style="32" bestFit="1" customWidth="1"/>
    <col min="16149" max="16149" width="34.109375" style="32" bestFit="1" customWidth="1"/>
    <col min="16150" max="16150" width="6.88671875" style="32" bestFit="1" customWidth="1"/>
    <col min="16151" max="16151" width="24.33203125" style="32" bestFit="1" customWidth="1"/>
    <col min="16152" max="16152" width="31.6640625" style="32" bestFit="1" customWidth="1"/>
    <col min="16153" max="16153" width="15.44140625" style="32" bestFit="1" customWidth="1"/>
    <col min="16154" max="16154" width="18.88671875" style="32" bestFit="1" customWidth="1"/>
    <col min="16155" max="16155" width="9.109375" style="32"/>
    <col min="16156" max="16156" width="38.88671875" style="32" bestFit="1" customWidth="1"/>
    <col min="16157" max="16384" width="9.109375" style="32"/>
  </cols>
  <sheetData>
    <row r="2" spans="2:26" x14ac:dyDescent="0.25">
      <c r="B2" s="64" t="s">
        <v>997</v>
      </c>
      <c r="R2" s="292" t="s">
        <v>121</v>
      </c>
      <c r="S2" s="292"/>
    </row>
    <row r="4" spans="2:26" x14ac:dyDescent="0.25">
      <c r="B4" s="64"/>
      <c r="C4" s="278"/>
      <c r="E4" s="64"/>
      <c r="F4" s="64"/>
      <c r="G4" s="64"/>
      <c r="H4" s="293"/>
      <c r="I4" s="293"/>
      <c r="J4" s="31"/>
      <c r="K4" s="31"/>
      <c r="L4" s="31"/>
      <c r="M4" s="31"/>
      <c r="R4" s="62" t="s">
        <v>42</v>
      </c>
      <c r="S4" s="62"/>
      <c r="T4" s="62"/>
      <c r="U4" s="62"/>
      <c r="V4" s="62"/>
      <c r="W4" s="62"/>
      <c r="X4" s="62"/>
      <c r="Y4" s="62"/>
      <c r="Z4" s="62"/>
    </row>
    <row r="5" spans="2:26" x14ac:dyDescent="0.25">
      <c r="F5" s="294" t="s">
        <v>15</v>
      </c>
      <c r="G5" s="294"/>
      <c r="H5" s="279"/>
      <c r="I5" s="280"/>
      <c r="J5" s="280"/>
      <c r="K5" s="281"/>
      <c r="L5" s="281"/>
      <c r="M5" s="281"/>
      <c r="N5" s="31"/>
      <c r="R5" s="136" t="s">
        <v>20</v>
      </c>
      <c r="S5" s="136"/>
      <c r="T5" s="62"/>
      <c r="U5" s="62"/>
      <c r="V5" s="62"/>
      <c r="W5" s="62"/>
      <c r="X5" s="62"/>
      <c r="Y5" s="62"/>
      <c r="Z5" s="62"/>
    </row>
    <row r="6" spans="2:26" ht="41.4" x14ac:dyDescent="0.25">
      <c r="B6" s="282" t="s">
        <v>35</v>
      </c>
      <c r="C6" s="282" t="s">
        <v>1</v>
      </c>
      <c r="D6" s="283" t="s">
        <v>45</v>
      </c>
      <c r="E6" s="282" t="s">
        <v>7</v>
      </c>
      <c r="F6" s="284" t="s">
        <v>8</v>
      </c>
      <c r="G6" s="285" t="s">
        <v>119</v>
      </c>
      <c r="H6" s="285" t="s">
        <v>120</v>
      </c>
      <c r="I6" s="285" t="s">
        <v>18</v>
      </c>
      <c r="J6" s="285" t="s">
        <v>3</v>
      </c>
      <c r="K6" s="285" t="s">
        <v>6</v>
      </c>
      <c r="L6" s="285" t="s">
        <v>125</v>
      </c>
      <c r="M6" s="286" t="s">
        <v>543</v>
      </c>
      <c r="N6" s="286" t="s">
        <v>1031</v>
      </c>
      <c r="R6" s="63" t="s">
        <v>13</v>
      </c>
      <c r="S6" s="63" t="s">
        <v>35</v>
      </c>
      <c r="T6" s="63" t="s">
        <v>1</v>
      </c>
      <c r="U6" s="63" t="s">
        <v>2</v>
      </c>
      <c r="V6" s="63" t="s">
        <v>21</v>
      </c>
      <c r="W6" s="63" t="s">
        <v>22</v>
      </c>
      <c r="X6" s="63" t="s">
        <v>23</v>
      </c>
      <c r="Y6" s="63" t="s">
        <v>24</v>
      </c>
      <c r="Z6" s="63" t="s">
        <v>25</v>
      </c>
    </row>
    <row r="7" spans="2:26" ht="42" thickBot="1" x14ac:dyDescent="0.3">
      <c r="B7" s="287" t="s">
        <v>107</v>
      </c>
      <c r="C7" s="288" t="s">
        <v>26</v>
      </c>
      <c r="D7" s="288" t="s">
        <v>27</v>
      </c>
      <c r="E7" s="288" t="s">
        <v>37</v>
      </c>
      <c r="F7" s="124" t="s">
        <v>38</v>
      </c>
      <c r="G7" s="288" t="s">
        <v>112</v>
      </c>
      <c r="H7" s="288" t="s">
        <v>40</v>
      </c>
      <c r="I7" s="288" t="s">
        <v>41</v>
      </c>
      <c r="J7" s="288" t="s">
        <v>44</v>
      </c>
      <c r="K7" s="288" t="s">
        <v>43</v>
      </c>
      <c r="L7" s="288" t="s">
        <v>124</v>
      </c>
      <c r="M7" s="124" t="s">
        <v>715</v>
      </c>
      <c r="N7" s="124"/>
      <c r="R7" s="289" t="s">
        <v>51</v>
      </c>
      <c r="S7" s="289" t="s">
        <v>36</v>
      </c>
      <c r="T7" s="289" t="s">
        <v>26</v>
      </c>
      <c r="U7" s="289" t="s">
        <v>27</v>
      </c>
      <c r="V7" s="289" t="s">
        <v>28</v>
      </c>
      <c r="W7" s="289" t="s">
        <v>29</v>
      </c>
      <c r="X7" s="289" t="s">
        <v>57</v>
      </c>
      <c r="Y7" s="289" t="s">
        <v>56</v>
      </c>
      <c r="Z7" s="289" t="s">
        <v>30</v>
      </c>
    </row>
    <row r="8" spans="2:26" x14ac:dyDescent="0.25">
      <c r="B8" s="290" t="s">
        <v>108</v>
      </c>
      <c r="C8" s="290"/>
      <c r="D8" s="291"/>
      <c r="E8" s="291" t="s">
        <v>101</v>
      </c>
      <c r="F8" s="129"/>
      <c r="G8" s="291"/>
      <c r="H8" s="291" t="s">
        <v>831</v>
      </c>
      <c r="I8" s="291" t="s">
        <v>556</v>
      </c>
      <c r="J8" s="291" t="s">
        <v>971</v>
      </c>
      <c r="K8" s="291" t="s">
        <v>970</v>
      </c>
      <c r="L8" s="291"/>
      <c r="M8" s="129" t="s">
        <v>999</v>
      </c>
      <c r="N8" s="129"/>
      <c r="R8" s="32" t="s">
        <v>111</v>
      </c>
      <c r="T8" s="32" t="s">
        <v>1000</v>
      </c>
      <c r="U8" s="32" t="s">
        <v>1001</v>
      </c>
      <c r="V8" s="32" t="s">
        <v>80</v>
      </c>
      <c r="W8" s="32" t="s">
        <v>806</v>
      </c>
    </row>
    <row r="9" spans="2:26" x14ac:dyDescent="0.25">
      <c r="B9" s="103"/>
      <c r="C9" s="75" t="str">
        <f>$T$8</f>
        <v>STRCOACOK00</v>
      </c>
      <c r="D9" s="75" t="str">
        <f>$U$8</f>
        <v>Production of coke (from coking coal)</v>
      </c>
      <c r="E9" s="104" t="s">
        <v>896</v>
      </c>
      <c r="F9" s="105"/>
      <c r="G9" s="52">
        <v>1.5</v>
      </c>
      <c r="H9" s="52">
        <f>'En.Bal-Primary-Transf.'!P86/1000*41.868/I9</f>
        <v>0</v>
      </c>
      <c r="I9" s="53">
        <v>0.9</v>
      </c>
      <c r="J9" s="53">
        <v>0</v>
      </c>
      <c r="K9" s="53">
        <v>0</v>
      </c>
      <c r="L9" s="75">
        <v>50</v>
      </c>
      <c r="M9" s="105">
        <v>5</v>
      </c>
      <c r="N9" s="105">
        <f>96*G9-96</f>
        <v>48</v>
      </c>
      <c r="T9" s="32" t="s">
        <v>998</v>
      </c>
      <c r="U9" s="32" t="s">
        <v>123</v>
      </c>
      <c r="V9" s="32" t="s">
        <v>80</v>
      </c>
      <c r="W9" s="32" t="s">
        <v>806</v>
      </c>
    </row>
    <row r="10" spans="2:26" x14ac:dyDescent="0.25">
      <c r="B10" s="106"/>
      <c r="C10" s="36"/>
      <c r="D10" s="36"/>
      <c r="E10" s="21" t="s">
        <v>292</v>
      </c>
      <c r="F10" s="107"/>
      <c r="G10" s="19">
        <v>0</v>
      </c>
      <c r="H10" s="49"/>
      <c r="I10" s="49"/>
      <c r="J10" s="49"/>
      <c r="K10" s="49"/>
      <c r="L10" s="36"/>
      <c r="M10" s="107"/>
      <c r="N10" s="107"/>
    </row>
    <row r="11" spans="2:26" x14ac:dyDescent="0.25">
      <c r="B11" s="106"/>
      <c r="C11" s="36"/>
      <c r="D11" s="36"/>
      <c r="E11" s="21" t="s">
        <v>963</v>
      </c>
      <c r="F11" s="107"/>
      <c r="G11" s="19">
        <v>0</v>
      </c>
      <c r="H11" s="49"/>
      <c r="I11" s="49"/>
      <c r="J11" s="49"/>
      <c r="K11" s="49"/>
      <c r="L11" s="36"/>
      <c r="M11" s="107"/>
      <c r="N11" s="107"/>
    </row>
    <row r="12" spans="2:26" x14ac:dyDescent="0.25">
      <c r="B12" s="106"/>
      <c r="C12" s="36"/>
      <c r="D12" s="36"/>
      <c r="E12" s="21" t="s">
        <v>545</v>
      </c>
      <c r="F12" s="107"/>
      <c r="G12" s="19">
        <v>0</v>
      </c>
      <c r="H12" s="49"/>
      <c r="I12" s="49"/>
      <c r="J12" s="49"/>
      <c r="K12" s="49"/>
      <c r="L12" s="36"/>
      <c r="M12" s="107"/>
      <c r="N12" s="107"/>
    </row>
    <row r="13" spans="2:26" x14ac:dyDescent="0.25">
      <c r="B13" s="110"/>
      <c r="C13" s="88"/>
      <c r="D13" s="88"/>
      <c r="E13" s="88"/>
      <c r="F13" s="114" t="str">
        <f>E14</f>
        <v>COACOC</v>
      </c>
      <c r="G13" s="135"/>
      <c r="H13" s="135"/>
      <c r="I13" s="135"/>
      <c r="J13" s="135"/>
      <c r="K13" s="135"/>
      <c r="L13" s="88"/>
      <c r="M13" s="111"/>
      <c r="N13" s="111"/>
    </row>
    <row r="14" spans="2:26" x14ac:dyDescent="0.25">
      <c r="B14" s="103"/>
      <c r="C14" s="75" t="str">
        <f>$T$9</f>
        <v>STRGASBFG00</v>
      </c>
      <c r="D14" s="75" t="str">
        <f>$U$9</f>
        <v>Blast Furnaces</v>
      </c>
      <c r="E14" s="104" t="s">
        <v>165</v>
      </c>
      <c r="F14" s="105"/>
      <c r="G14" s="52">
        <v>1</v>
      </c>
      <c r="H14" s="52">
        <f>'En.Bal-Primary-Transf.'!AW87/1000*41.868/I14</f>
        <v>0</v>
      </c>
      <c r="I14" s="53">
        <v>0.9</v>
      </c>
      <c r="J14" s="53">
        <v>0</v>
      </c>
      <c r="K14" s="53">
        <v>0</v>
      </c>
      <c r="L14" s="36">
        <v>50</v>
      </c>
      <c r="M14" s="107">
        <v>50</v>
      </c>
      <c r="N14" s="107"/>
    </row>
    <row r="15" spans="2:26" x14ac:dyDescent="0.25">
      <c r="B15" s="110"/>
      <c r="C15" s="88"/>
      <c r="D15" s="88"/>
      <c r="E15" s="88"/>
      <c r="F15" s="114" t="s">
        <v>183</v>
      </c>
      <c r="G15" s="135"/>
      <c r="H15" s="135"/>
      <c r="I15" s="135"/>
      <c r="J15" s="135"/>
      <c r="K15" s="135"/>
      <c r="L15" s="88"/>
      <c r="M15" s="111"/>
      <c r="N15" s="11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B2:AK31"/>
  <sheetViews>
    <sheetView zoomScale="70" zoomScaleNormal="70" workbookViewId="0">
      <selection sqref="A1:XFD1048576"/>
    </sheetView>
  </sheetViews>
  <sheetFormatPr defaultColWidth="9.109375" defaultRowHeight="13.8" x14ac:dyDescent="0.25"/>
  <cols>
    <col min="1" max="1" width="9.109375" style="32"/>
    <col min="2" max="2" width="22.6640625" style="32" customWidth="1"/>
    <col min="3" max="3" width="27" style="32" customWidth="1"/>
    <col min="4" max="4" width="18.33203125" style="32" customWidth="1"/>
    <col min="5" max="5" width="20.109375" style="32" customWidth="1"/>
    <col min="6" max="6" width="23.6640625" style="32" customWidth="1"/>
    <col min="7" max="7" width="25.33203125" style="32" customWidth="1"/>
    <col min="8" max="8" width="16.44140625" style="32" customWidth="1"/>
    <col min="9" max="10" width="22.6640625" style="32" customWidth="1"/>
    <col min="11" max="11" width="29.6640625" style="32" bestFit="1" customWidth="1"/>
    <col min="12" max="12" width="20.5546875" style="32" bestFit="1" customWidth="1"/>
    <col min="13" max="13" width="25.33203125" style="32" customWidth="1"/>
    <col min="14" max="14" width="26.44140625" style="32" bestFit="1" customWidth="1"/>
    <col min="15" max="17" width="26.44140625" style="32" customWidth="1"/>
    <col min="18" max="18" width="20.88671875" style="32" customWidth="1"/>
    <col min="19" max="19" width="23.5546875" style="32" bestFit="1" customWidth="1"/>
    <col min="20" max="20" width="24" style="32" bestFit="1" customWidth="1"/>
    <col min="21" max="21" width="20.5546875" style="32" bestFit="1" customWidth="1"/>
    <col min="22" max="22" width="29.6640625" style="32" bestFit="1" customWidth="1"/>
    <col min="23" max="23" width="12.33203125" style="32" bestFit="1" customWidth="1"/>
    <col min="24" max="24" width="14.88671875" style="32" bestFit="1" customWidth="1"/>
    <col min="25" max="25" width="31" style="32" bestFit="1" customWidth="1"/>
    <col min="26" max="26" width="40.109375" style="32" bestFit="1" customWidth="1"/>
    <col min="27" max="27" width="24" style="32" bestFit="1" customWidth="1"/>
    <col min="28" max="28" width="49.6640625" style="32" bestFit="1" customWidth="1"/>
    <col min="29" max="29" width="17.44140625" style="32" customWidth="1"/>
    <col min="30" max="30" width="18.88671875" style="32" bestFit="1" customWidth="1"/>
    <col min="31" max="32" width="27.6640625" style="32" bestFit="1" customWidth="1"/>
    <col min="33" max="33" width="18.6640625" style="32" customWidth="1"/>
    <col min="34" max="34" width="24.5546875" style="32" bestFit="1" customWidth="1"/>
    <col min="35" max="16384" width="9.109375" style="32"/>
  </cols>
  <sheetData>
    <row r="2" spans="2:37" ht="17.399999999999999" x14ac:dyDescent="0.3">
      <c r="B2" s="180" t="s">
        <v>580</v>
      </c>
      <c r="Y2" s="32" t="s">
        <v>121</v>
      </c>
    </row>
    <row r="3" spans="2:37" x14ac:dyDescent="0.25">
      <c r="G3" s="295" t="s">
        <v>805</v>
      </c>
      <c r="H3" s="295"/>
      <c r="I3" s="295"/>
      <c r="J3" s="295"/>
      <c r="K3" s="295"/>
      <c r="AC3" s="62"/>
      <c r="AD3" s="62"/>
      <c r="AE3" s="62"/>
      <c r="AF3" s="62"/>
      <c r="AG3" s="62"/>
    </row>
    <row r="4" spans="2:37" x14ac:dyDescent="0.25">
      <c r="B4" s="64" t="s">
        <v>581</v>
      </c>
      <c r="D4" s="18"/>
      <c r="E4" s="18"/>
      <c r="F4" s="137"/>
      <c r="G4" s="309">
        <v>1.05</v>
      </c>
      <c r="H4" s="295">
        <v>0.95</v>
      </c>
      <c r="I4" s="295">
        <v>1.1000000000000001</v>
      </c>
      <c r="J4" s="295">
        <v>1.1499999999999999</v>
      </c>
      <c r="K4" s="295">
        <v>0.8</v>
      </c>
      <c r="Y4" s="62" t="s">
        <v>42</v>
      </c>
      <c r="Z4" s="62"/>
      <c r="AA4" s="62"/>
      <c r="AB4" s="62"/>
      <c r="AC4" s="62"/>
      <c r="AD4" s="62"/>
      <c r="AE4" s="62"/>
    </row>
    <row r="5" spans="2:37" x14ac:dyDescent="0.25">
      <c r="E5" s="137"/>
      <c r="F5" s="137" t="s">
        <v>15</v>
      </c>
      <c r="Y5" s="136" t="s">
        <v>20</v>
      </c>
      <c r="Z5" s="62"/>
      <c r="AA5" s="62"/>
      <c r="AB5" s="62"/>
      <c r="AC5" s="62"/>
      <c r="AD5" s="62"/>
      <c r="AE5" s="62"/>
    </row>
    <row r="6" spans="2:37" ht="19.5" customHeight="1" x14ac:dyDescent="0.25">
      <c r="B6" s="71" t="s">
        <v>1</v>
      </c>
      <c r="C6" s="71" t="s">
        <v>45</v>
      </c>
      <c r="D6" s="71" t="s">
        <v>7</v>
      </c>
      <c r="E6" s="71" t="s">
        <v>542</v>
      </c>
      <c r="F6" s="93" t="s">
        <v>8</v>
      </c>
      <c r="G6" s="296" t="s">
        <v>673</v>
      </c>
      <c r="H6" s="119" t="s">
        <v>674</v>
      </c>
      <c r="I6" s="94" t="s">
        <v>673</v>
      </c>
      <c r="J6" s="94" t="s">
        <v>1016</v>
      </c>
      <c r="K6" s="94" t="s">
        <v>674</v>
      </c>
      <c r="L6" s="94" t="s">
        <v>119</v>
      </c>
      <c r="M6" s="94" t="s">
        <v>17</v>
      </c>
      <c r="N6" s="94" t="s">
        <v>540</v>
      </c>
      <c r="O6" s="94" t="s">
        <v>1008</v>
      </c>
      <c r="P6" s="94" t="s">
        <v>693</v>
      </c>
      <c r="Q6" s="94" t="s">
        <v>695</v>
      </c>
      <c r="R6" s="94" t="s">
        <v>120</v>
      </c>
      <c r="S6" s="94" t="s">
        <v>703</v>
      </c>
      <c r="T6" s="94" t="s">
        <v>699</v>
      </c>
      <c r="U6" s="94" t="s">
        <v>18</v>
      </c>
      <c r="V6" s="94" t="s">
        <v>543</v>
      </c>
      <c r="W6" s="94" t="s">
        <v>1030</v>
      </c>
      <c r="Y6" s="63" t="s">
        <v>13</v>
      </c>
      <c r="Z6" s="63" t="s">
        <v>35</v>
      </c>
      <c r="AA6" s="63" t="s">
        <v>1</v>
      </c>
      <c r="AB6" s="63" t="s">
        <v>2</v>
      </c>
      <c r="AC6" s="63" t="s">
        <v>21</v>
      </c>
      <c r="AD6" s="63" t="s">
        <v>22</v>
      </c>
      <c r="AE6" s="63" t="s">
        <v>23</v>
      </c>
      <c r="AF6" s="63" t="s">
        <v>24</v>
      </c>
      <c r="AG6" s="63" t="s">
        <v>25</v>
      </c>
    </row>
    <row r="7" spans="2:37" s="300" customFormat="1" ht="49.5" customHeight="1" thickBot="1" x14ac:dyDescent="0.3">
      <c r="B7" s="297" t="s">
        <v>52</v>
      </c>
      <c r="C7" s="297" t="s">
        <v>27</v>
      </c>
      <c r="D7" s="297" t="s">
        <v>37</v>
      </c>
      <c r="E7" s="97" t="s">
        <v>629</v>
      </c>
      <c r="F7" s="298" t="s">
        <v>38</v>
      </c>
      <c r="G7" s="297" t="s">
        <v>717</v>
      </c>
      <c r="H7" s="297" t="s">
        <v>717</v>
      </c>
      <c r="I7" s="297" t="s">
        <v>582</v>
      </c>
      <c r="J7" s="297" t="s">
        <v>582</v>
      </c>
      <c r="K7" s="297" t="s">
        <v>582</v>
      </c>
      <c r="L7" s="101" t="s">
        <v>662</v>
      </c>
      <c r="M7" s="297" t="s">
        <v>39</v>
      </c>
      <c r="N7" s="297" t="s">
        <v>1009</v>
      </c>
      <c r="O7" s="297" t="s">
        <v>1009</v>
      </c>
      <c r="P7" s="297" t="s">
        <v>1009</v>
      </c>
      <c r="Q7" s="297" t="s">
        <v>1009</v>
      </c>
      <c r="R7" s="297" t="s">
        <v>40</v>
      </c>
      <c r="S7" s="297" t="s">
        <v>1010</v>
      </c>
      <c r="T7" s="297" t="s">
        <v>1010</v>
      </c>
      <c r="U7" s="297" t="s">
        <v>41</v>
      </c>
      <c r="V7" s="297" t="s">
        <v>715</v>
      </c>
      <c r="W7" s="297"/>
      <c r="X7" s="32"/>
      <c r="Y7" s="299" t="s">
        <v>51</v>
      </c>
      <c r="Z7" s="299" t="s">
        <v>36</v>
      </c>
      <c r="AA7" s="299" t="s">
        <v>26</v>
      </c>
      <c r="AB7" s="299" t="s">
        <v>27</v>
      </c>
      <c r="AC7" s="299" t="s">
        <v>28</v>
      </c>
      <c r="AD7" s="299" t="s">
        <v>29</v>
      </c>
      <c r="AE7" s="299" t="s">
        <v>57</v>
      </c>
      <c r="AF7" s="299" t="s">
        <v>56</v>
      </c>
      <c r="AG7" s="299" t="s">
        <v>30</v>
      </c>
    </row>
    <row r="8" spans="2:37" x14ac:dyDescent="0.25">
      <c r="B8" s="72"/>
      <c r="C8" s="74"/>
      <c r="D8" s="74" t="s">
        <v>101</v>
      </c>
      <c r="E8" s="74"/>
      <c r="F8" s="73"/>
      <c r="G8" s="74" t="s">
        <v>583</v>
      </c>
      <c r="H8" s="74" t="s">
        <v>583</v>
      </c>
      <c r="I8" s="74" t="s">
        <v>583</v>
      </c>
      <c r="J8" s="74" t="s">
        <v>583</v>
      </c>
      <c r="K8" s="74" t="s">
        <v>583</v>
      </c>
      <c r="L8" s="74" t="s">
        <v>661</v>
      </c>
      <c r="M8" s="74" t="s">
        <v>556</v>
      </c>
      <c r="N8" s="74" t="s">
        <v>80</v>
      </c>
      <c r="O8" s="74" t="s">
        <v>80</v>
      </c>
      <c r="P8" s="74" t="s">
        <v>80</v>
      </c>
      <c r="Q8" s="74" t="s">
        <v>80</v>
      </c>
      <c r="R8" s="74" t="str">
        <f>General!$D$13</f>
        <v>PJ/year</v>
      </c>
      <c r="S8" s="74" t="s">
        <v>80</v>
      </c>
      <c r="T8" s="74"/>
      <c r="U8" s="74" t="s">
        <v>556</v>
      </c>
      <c r="V8" s="74" t="s">
        <v>999</v>
      </c>
      <c r="W8" s="74"/>
      <c r="Y8" s="301" t="s">
        <v>111</v>
      </c>
      <c r="Z8" s="301"/>
      <c r="AA8" s="301" t="str">
        <f>"STR"&amp;Commodities!D14&amp;"_E01"</f>
        <v>STROILCRD_E01</v>
      </c>
      <c r="AB8" s="301" t="s">
        <v>981</v>
      </c>
      <c r="AC8" s="301" t="str">
        <f>General!$B$2</f>
        <v>PJ</v>
      </c>
      <c r="AD8" s="301" t="str">
        <f>General!$B$2&amp;"a"</f>
        <v>PJa</v>
      </c>
      <c r="AE8" s="302"/>
      <c r="AF8" s="302" t="s">
        <v>718</v>
      </c>
      <c r="AG8" s="302"/>
      <c r="AJ8" s="62"/>
      <c r="AK8" s="62"/>
    </row>
    <row r="9" spans="2:37" x14ac:dyDescent="0.25">
      <c r="B9" s="303" t="str">
        <f>$AA$8</f>
        <v>STROILCRD_E01</v>
      </c>
      <c r="C9" s="303" t="str">
        <f>AB8</f>
        <v>Petrochemical Installations - Refinery</v>
      </c>
      <c r="D9" s="303" t="str">
        <f>Commodities!D14</f>
        <v>OILCRD</v>
      </c>
      <c r="E9" s="303"/>
      <c r="F9" s="304"/>
      <c r="G9" s="51">
        <f>MIN(1,$G$4*'En.Bal-Primary-Transf.'!$X$31/'En.Bal-Primary-Transf.'!$W$31)</f>
        <v>1</v>
      </c>
      <c r="H9" s="51">
        <f>G9*H4</f>
        <v>0.95</v>
      </c>
      <c r="I9" s="49"/>
      <c r="J9" s="49"/>
      <c r="K9" s="49"/>
      <c r="L9" s="49"/>
      <c r="M9" s="131">
        <f>'En.Bal-Primary-Transf.'!H31/'En.Bal-Primary-Transf.'!H89</f>
        <v>1.1100287248657426</v>
      </c>
      <c r="N9" s="51">
        <f>'En.Bal-Primary-Transf.'!H31/1000*41.868*1.1</f>
        <v>409.33506240000008</v>
      </c>
      <c r="O9" s="51">
        <f>N9*1.15</f>
        <v>470.73532176000003</v>
      </c>
      <c r="P9" s="51">
        <f>N9*2</f>
        <v>818.67012480000017</v>
      </c>
      <c r="Q9" s="51">
        <f>N9*3</f>
        <v>1228.0051872000004</v>
      </c>
      <c r="R9" s="51">
        <f>N9*1.3</f>
        <v>532.1355811200001</v>
      </c>
      <c r="S9" s="51">
        <f>N9*0.8</f>
        <v>327.46804992000011</v>
      </c>
      <c r="T9" s="51">
        <f>N9*0.1</f>
        <v>40.933506240000014</v>
      </c>
      <c r="U9" s="19">
        <f>N9/R9</f>
        <v>0.76923076923076927</v>
      </c>
      <c r="V9" s="19">
        <v>4.5</v>
      </c>
      <c r="W9" s="19"/>
      <c r="Y9" s="88"/>
      <c r="Z9" s="88"/>
      <c r="AA9" s="88" t="str">
        <f>"STR"&amp;Commodities!D14&amp;"_E02"</f>
        <v>STROILCRD_E02</v>
      </c>
      <c r="AB9" s="88" t="s">
        <v>1029</v>
      </c>
      <c r="AC9" s="88" t="str">
        <f>AC8</f>
        <v>PJ</v>
      </c>
      <c r="AD9" s="88" t="str">
        <f>AD8</f>
        <v>PJa</v>
      </c>
      <c r="AE9" s="135"/>
      <c r="AF9" s="135" t="str">
        <f>AF8</f>
        <v>NRGI</v>
      </c>
      <c r="AG9" s="135"/>
    </row>
    <row r="10" spans="2:37" x14ac:dyDescent="0.25">
      <c r="B10" s="303"/>
      <c r="C10" s="303"/>
      <c r="D10" s="303" t="str">
        <f>Commodities!D15</f>
        <v>OILNGL</v>
      </c>
      <c r="E10" s="303"/>
      <c r="F10" s="305"/>
      <c r="G10" s="51">
        <f>MIN(1,$G$4*('En.Bal-Primary-Transf.'!$Y$31+'En.Bal-Primary-Transf.'!$Y$16)/('En.Bal-Primary-Transf.'!$W$31+'En.Bal-Primary-Transf.'!$Y$16))</f>
        <v>0.10375668028921724</v>
      </c>
      <c r="H10" s="51">
        <v>0</v>
      </c>
      <c r="I10" s="49"/>
      <c r="J10" s="49"/>
      <c r="K10" s="49"/>
      <c r="L10" s="49"/>
      <c r="M10" s="131"/>
      <c r="N10" s="51"/>
      <c r="O10" s="51"/>
      <c r="P10" s="51"/>
      <c r="Q10" s="51"/>
      <c r="R10" s="51"/>
      <c r="S10" s="51"/>
      <c r="T10" s="51"/>
      <c r="U10" s="19"/>
      <c r="V10" s="19"/>
      <c r="W10" s="19"/>
      <c r="Y10" s="36"/>
      <c r="Z10" s="36"/>
      <c r="AA10" s="36"/>
      <c r="AB10" s="36"/>
      <c r="AC10" s="49"/>
      <c r="AD10" s="49"/>
      <c r="AE10" s="49"/>
      <c r="AF10" s="49"/>
      <c r="AG10" s="49"/>
    </row>
    <row r="11" spans="2:37" x14ac:dyDescent="0.25">
      <c r="B11" s="303"/>
      <c r="C11" s="303"/>
      <c r="D11" s="303" t="str">
        <f>Commodities!D78</f>
        <v>SUPOILDSL</v>
      </c>
      <c r="E11" s="303"/>
      <c r="F11" s="305"/>
      <c r="G11" s="51">
        <f>G4*'En.Bal-Primary-Transf.'!AL31/'En.Bal-Primary-Transf.'!W31</f>
        <v>0</v>
      </c>
      <c r="H11" s="51">
        <f>H4*'En.Bal-Primary-Transf.'!AL31/'En.Bal-Primary-Transf.'!W31</f>
        <v>0</v>
      </c>
      <c r="I11" s="49"/>
      <c r="J11" s="49"/>
      <c r="K11" s="49"/>
      <c r="L11" s="49"/>
      <c r="M11" s="49"/>
      <c r="N11" s="49"/>
      <c r="O11" s="49"/>
      <c r="P11" s="49"/>
      <c r="Q11" s="49"/>
      <c r="R11" s="49"/>
      <c r="S11" s="49"/>
      <c r="T11" s="49"/>
      <c r="U11" s="19"/>
      <c r="V11" s="49"/>
      <c r="W11" s="49"/>
    </row>
    <row r="12" spans="2:37" x14ac:dyDescent="0.25">
      <c r="B12" s="303"/>
      <c r="C12" s="303"/>
      <c r="D12" s="303" t="str">
        <f>Commodities!D81</f>
        <v>SUPOILHFO</v>
      </c>
      <c r="E12" s="303"/>
      <c r="F12" s="305"/>
      <c r="G12" s="51">
        <f>G4*'En.Bal-Primary-Transf.'!AM31/'En.Bal-Primary-Transf.'!W31</f>
        <v>0</v>
      </c>
      <c r="H12" s="51">
        <f>H4*'En.Bal-Primary-Transf.'!AM31/'En.Bal-Primary-Transf.'!W31</f>
        <v>0</v>
      </c>
      <c r="I12" s="49"/>
      <c r="J12" s="49"/>
      <c r="K12" s="49"/>
      <c r="L12" s="49"/>
      <c r="M12" s="49"/>
      <c r="N12" s="49"/>
      <c r="O12" s="49"/>
      <c r="P12" s="49"/>
      <c r="Q12" s="49"/>
      <c r="R12" s="49"/>
      <c r="S12" s="49"/>
      <c r="T12" s="49"/>
      <c r="U12" s="19"/>
      <c r="V12" s="49"/>
      <c r="W12" s="49"/>
    </row>
    <row r="13" spans="2:37" x14ac:dyDescent="0.25">
      <c r="B13" s="303"/>
      <c r="C13" s="303"/>
      <c r="D13" s="303" t="str">
        <f>Commodities!D80</f>
        <v>SUPOILLPG</v>
      </c>
      <c r="E13" s="303"/>
      <c r="F13" s="305"/>
      <c r="G13" s="51">
        <f>G4*'En.Bal-Primary-Transf.'!AF31/'En.Bal-Primary-Transf.'!W31</f>
        <v>0</v>
      </c>
      <c r="H13" s="51">
        <f>H4*'En.Bal-Primary-Transf.'!AF31/'En.Bal-Primary-Transf.'!W31</f>
        <v>0</v>
      </c>
      <c r="I13" s="49"/>
      <c r="J13" s="49"/>
      <c r="K13" s="49"/>
      <c r="L13" s="49"/>
      <c r="M13" s="49"/>
      <c r="N13" s="49"/>
      <c r="O13" s="49"/>
      <c r="P13" s="49"/>
      <c r="Q13" s="49"/>
      <c r="R13" s="49"/>
      <c r="S13" s="49"/>
      <c r="T13" s="49"/>
      <c r="U13" s="19"/>
      <c r="V13" s="49"/>
      <c r="W13" s="49"/>
    </row>
    <row r="14" spans="2:37" ht="12" customHeight="1" x14ac:dyDescent="0.25">
      <c r="B14" s="303" t="str">
        <f>IF(L14=0,"*","")</f>
        <v>*</v>
      </c>
      <c r="C14" s="303"/>
      <c r="D14" s="303"/>
      <c r="E14" s="303" t="str">
        <f>Commodities!$D$109</f>
        <v>SUPELC</v>
      </c>
      <c r="F14" s="305"/>
      <c r="G14" s="19"/>
      <c r="H14" s="19"/>
      <c r="I14" s="19"/>
      <c r="J14" s="19"/>
      <c r="K14" s="35"/>
      <c r="L14" s="131">
        <f>'En.Bal-Primary-Transf.'!BX121/'En.Bal-Primary-Transf.'!W31</f>
        <v>0</v>
      </c>
      <c r="M14" s="49"/>
      <c r="N14" s="49"/>
      <c r="O14" s="49"/>
      <c r="P14" s="49"/>
      <c r="Q14" s="49"/>
      <c r="R14" s="49"/>
      <c r="S14" s="49"/>
      <c r="T14" s="49"/>
      <c r="U14" s="19"/>
      <c r="V14" s="49"/>
      <c r="W14" s="49"/>
    </row>
    <row r="15" spans="2:37" x14ac:dyDescent="0.25">
      <c r="B15" s="303" t="str">
        <f t="shared" ref="B15:B16" si="0">IF(L15=0,"*","")</f>
        <v/>
      </c>
      <c r="C15" s="303"/>
      <c r="D15" s="303"/>
      <c r="E15" s="303" t="str">
        <f>Commodities!$D$88</f>
        <v>SUPGASNAT</v>
      </c>
      <c r="F15" s="305"/>
      <c r="G15" s="49"/>
      <c r="H15" s="49"/>
      <c r="I15" s="49"/>
      <c r="J15" s="49"/>
      <c r="K15" s="35"/>
      <c r="L15" s="131">
        <f>'En.Bal-Primary-Transf.'!AU121/'En.Bal-Primary-Transf.'!W31</f>
        <v>3.3753375337533753E-2</v>
      </c>
      <c r="M15" s="49"/>
      <c r="N15" s="49"/>
      <c r="O15" s="49"/>
      <c r="P15" s="49"/>
      <c r="Q15" s="49"/>
      <c r="R15" s="49"/>
      <c r="S15" s="49"/>
      <c r="T15" s="49"/>
      <c r="U15" s="19"/>
      <c r="V15" s="49"/>
      <c r="W15" s="49"/>
    </row>
    <row r="16" spans="2:37" x14ac:dyDescent="0.25">
      <c r="B16" s="303" t="str">
        <f t="shared" si="0"/>
        <v>*</v>
      </c>
      <c r="C16" s="303"/>
      <c r="D16" s="303"/>
      <c r="E16" s="303" t="str">
        <f>Commodities!$D$110</f>
        <v>SUPHTH</v>
      </c>
      <c r="F16" s="305"/>
      <c r="G16" s="49"/>
      <c r="H16" s="49"/>
      <c r="I16" s="49"/>
      <c r="J16" s="49"/>
      <c r="K16" s="35"/>
      <c r="L16" s="131">
        <f>'En.Bal-Primary-Transf.'!BW121/'En.Bal-Primary-Transf.'!W31</f>
        <v>0</v>
      </c>
      <c r="M16" s="49"/>
      <c r="N16" s="49"/>
      <c r="O16" s="49"/>
      <c r="P16" s="49"/>
      <c r="Q16" s="49"/>
      <c r="R16" s="49"/>
      <c r="S16" s="49"/>
      <c r="T16" s="49"/>
      <c r="U16" s="19"/>
      <c r="V16" s="49"/>
      <c r="W16" s="49"/>
    </row>
    <row r="17" spans="2:23" ht="15" customHeight="1" x14ac:dyDescent="0.25">
      <c r="B17" s="303" t="str">
        <f>IF(I17=0,"*","")</f>
        <v>*</v>
      </c>
      <c r="C17" s="303"/>
      <c r="D17" s="303"/>
      <c r="E17" s="303"/>
      <c r="F17" s="305" t="str">
        <f>Commodities!D17</f>
        <v>OILRFG</v>
      </c>
      <c r="G17" s="49"/>
      <c r="H17" s="49"/>
      <c r="I17" s="131">
        <f>$I$4*'En.Bal-Primary-Transf.'!$AC$89/'En.Bal-Primary-Transf.'!$W$89</f>
        <v>0</v>
      </c>
      <c r="J17" s="131"/>
      <c r="K17" s="131">
        <f>$K$4*'En.Bal-Primary-Transf.'!$AC$89/'En.Bal-Primary-Transf.'!$W$89</f>
        <v>0</v>
      </c>
      <c r="L17" s="19"/>
      <c r="M17" s="49"/>
      <c r="N17" s="49"/>
      <c r="O17" s="49"/>
      <c r="P17" s="49"/>
      <c r="Q17" s="49"/>
      <c r="R17" s="49"/>
      <c r="S17" s="49"/>
      <c r="T17" s="49"/>
      <c r="U17" s="19"/>
      <c r="V17" s="49"/>
      <c r="W17" s="49"/>
    </row>
    <row r="18" spans="2:23" ht="15" customHeight="1" x14ac:dyDescent="0.25">
      <c r="B18" s="303" t="str">
        <f t="shared" ref="B18:B27" si="1">IF(I18=0,"*","")</f>
        <v/>
      </c>
      <c r="C18" s="303"/>
      <c r="D18" s="303"/>
      <c r="E18" s="303"/>
      <c r="F18" s="305" t="str">
        <f>Commodities!D18</f>
        <v>OILDSL</v>
      </c>
      <c r="G18" s="49"/>
      <c r="H18" s="49"/>
      <c r="I18" s="131">
        <f>$I$4*'En.Bal-Primary-Transf.'!$AL$89/'En.Bal-Primary-Transf.'!$W$89</f>
        <v>0.38054202572748852</v>
      </c>
      <c r="J18" s="131"/>
      <c r="K18" s="131">
        <f>$K$4*'En.Bal-Primary-Transf.'!$AL$89/'En.Bal-Primary-Transf.'!$W$89</f>
        <v>0.27675783689271888</v>
      </c>
      <c r="L18" s="19"/>
      <c r="M18" s="49"/>
      <c r="N18" s="306"/>
      <c r="O18" s="306"/>
      <c r="P18" s="306"/>
      <c r="Q18" s="306"/>
      <c r="R18" s="49"/>
      <c r="S18" s="49"/>
      <c r="T18" s="49"/>
      <c r="U18" s="19"/>
      <c r="V18" s="49"/>
      <c r="W18" s="49"/>
    </row>
    <row r="19" spans="2:23" ht="15" customHeight="1" x14ac:dyDescent="0.25">
      <c r="B19" s="303" t="str">
        <f t="shared" si="1"/>
        <v/>
      </c>
      <c r="C19" s="303"/>
      <c r="D19" s="303"/>
      <c r="E19" s="303"/>
      <c r="F19" s="305" t="str">
        <f>Commodities!D19</f>
        <v>OILGSL</v>
      </c>
      <c r="G19" s="49"/>
      <c r="H19" s="49"/>
      <c r="I19" s="131">
        <f>$I$4*'En.Bal-Primary-Transf.'!$AF$89/'En.Bal-Primary-Transf.'!$W$89</f>
        <v>0.35856125889846391</v>
      </c>
      <c r="J19" s="131">
        <f>I19*$J$4</f>
        <v>0.41234544773323345</v>
      </c>
      <c r="K19" s="131">
        <f>$K$4*'En.Bal-Primary-Transf.'!$AF$89/'En.Bal-Primary-Transf.'!$W$89</f>
        <v>0.26077182465342824</v>
      </c>
      <c r="L19" s="19"/>
      <c r="M19" s="49"/>
      <c r="N19" s="306"/>
      <c r="O19" s="306"/>
      <c r="P19" s="306"/>
      <c r="Q19" s="306"/>
      <c r="R19" s="49"/>
      <c r="S19" s="49"/>
      <c r="T19" s="49"/>
      <c r="U19" s="19"/>
      <c r="V19" s="49"/>
      <c r="W19" s="49"/>
    </row>
    <row r="20" spans="2:23" ht="15" customHeight="1" x14ac:dyDescent="0.25">
      <c r="B20" s="303" t="str">
        <f t="shared" si="1"/>
        <v/>
      </c>
      <c r="C20" s="303"/>
      <c r="D20" s="303"/>
      <c r="E20" s="303"/>
      <c r="F20" s="305" t="str">
        <f>Commodities!D21</f>
        <v>OILLPG</v>
      </c>
      <c r="G20" s="49"/>
      <c r="H20" s="49"/>
      <c r="I20" s="131">
        <f>$I$4*('En.Bal-Primary-Transf.'!$AE$89+'En.Bal-Primary-Transf.'!$Y$16)/('En.Bal-Primary-Transf.'!$W$89+'En.Bal-Primary-Transf.'!$Y$16)</f>
        <v>0.12889632879242668</v>
      </c>
      <c r="J20" s="131"/>
      <c r="K20" s="131">
        <f>I20*K4</f>
        <v>0.10311706303394136</v>
      </c>
      <c r="L20" s="19"/>
      <c r="M20" s="49"/>
      <c r="N20" s="306"/>
      <c r="O20" s="306"/>
      <c r="P20" s="306"/>
      <c r="Q20" s="306"/>
      <c r="R20" s="49"/>
      <c r="S20" s="49"/>
      <c r="T20" s="49"/>
      <c r="U20" s="19"/>
      <c r="V20" s="49"/>
      <c r="W20" s="49"/>
    </row>
    <row r="21" spans="2:23" ht="15" customHeight="1" x14ac:dyDescent="0.25">
      <c r="B21" s="303" t="str">
        <f t="shared" si="1"/>
        <v/>
      </c>
      <c r="C21" s="303"/>
      <c r="D21" s="303"/>
      <c r="E21" s="303"/>
      <c r="F21" s="305" t="str">
        <f>Commodities!D22</f>
        <v>OILHFO</v>
      </c>
      <c r="G21" s="131"/>
      <c r="H21" s="49"/>
      <c r="I21" s="131">
        <f>$I$4*'En.Bal-Primary-Transf.'!$AM$89/'En.Bal-Primary-Transf.'!$W$89</f>
        <v>0.23217184963157239</v>
      </c>
      <c r="J21" s="131"/>
      <c r="K21" s="131">
        <f>$K$4*'En.Bal-Primary-Transf.'!$AM$89/'En.Bal-Primary-Transf.'!$W$89</f>
        <v>0.16885225427750719</v>
      </c>
      <c r="L21" s="19"/>
      <c r="M21" s="49"/>
      <c r="N21" s="306"/>
      <c r="O21" s="306"/>
      <c r="P21" s="306"/>
      <c r="Q21" s="306"/>
      <c r="R21" s="49"/>
      <c r="S21" s="49"/>
      <c r="T21" s="49"/>
      <c r="U21" s="19"/>
      <c r="V21" s="49"/>
      <c r="W21" s="49"/>
    </row>
    <row r="22" spans="2:23" ht="15" customHeight="1" x14ac:dyDescent="0.25">
      <c r="B22" s="303" t="str">
        <f t="shared" si="1"/>
        <v/>
      </c>
      <c r="C22" s="303"/>
      <c r="D22" s="303"/>
      <c r="E22" s="303"/>
      <c r="F22" s="305" t="str">
        <f>Commodities!D23</f>
        <v>OILKER</v>
      </c>
      <c r="G22" s="49"/>
      <c r="H22" s="49"/>
      <c r="I22" s="131">
        <f>$I$4*('En.Bal-Primary-Transf.'!$AI$89+'En.Bal-Primary-Transf.'!$AJ$89)/'En.Bal-Primary-Transf.'!$W$89</f>
        <v>7.9268140377169977E-2</v>
      </c>
      <c r="J22" s="131">
        <f>I22*$J$4</f>
        <v>9.1158361433745463E-2</v>
      </c>
      <c r="K22" s="131">
        <f>$K$4*('En.Bal-Primary-Transf.'!$AI$89+'En.Bal-Primary-Transf.'!$AJ$89)/'En.Bal-Primary-Transf.'!$W$89</f>
        <v>5.7649556637941801E-2</v>
      </c>
      <c r="L22" s="19"/>
      <c r="M22" s="49"/>
      <c r="N22" s="306"/>
      <c r="O22" s="306"/>
      <c r="P22" s="306"/>
      <c r="Q22" s="306"/>
      <c r="R22" s="49"/>
      <c r="S22" s="49"/>
      <c r="T22" s="49"/>
      <c r="U22" s="19"/>
      <c r="V22" s="49"/>
      <c r="W22" s="49"/>
    </row>
    <row r="23" spans="2:23" ht="15" customHeight="1" x14ac:dyDescent="0.25">
      <c r="B23" s="303" t="str">
        <f t="shared" si="1"/>
        <v>*</v>
      </c>
      <c r="C23" s="303"/>
      <c r="D23" s="303"/>
      <c r="E23" s="303"/>
      <c r="F23" s="305" t="str">
        <f>Commodities!D24</f>
        <v>OILNAP</v>
      </c>
      <c r="G23" s="49"/>
      <c r="H23" s="49"/>
      <c r="I23" s="131">
        <f>$I$4*'En.Bal-Primary-Transf.'!$AK$89/'En.Bal-Primary-Transf.'!$W$89</f>
        <v>0</v>
      </c>
      <c r="J23" s="131"/>
      <c r="K23" s="131">
        <f>$K$4*'En.Bal-Primary-Transf.'!$AK$89/'En.Bal-Primary-Transf.'!$W$89</f>
        <v>0</v>
      </c>
      <c r="L23" s="19"/>
      <c r="M23" s="49"/>
      <c r="N23" s="306"/>
      <c r="O23" s="306"/>
      <c r="P23" s="306"/>
      <c r="Q23" s="306"/>
      <c r="R23" s="49"/>
      <c r="S23" s="49"/>
      <c r="T23" s="49"/>
      <c r="U23" s="19"/>
      <c r="V23" s="49"/>
      <c r="W23" s="49"/>
    </row>
    <row r="24" spans="2:23" x14ac:dyDescent="0.25">
      <c r="B24" s="303" t="str">
        <f t="shared" si="1"/>
        <v>*</v>
      </c>
      <c r="C24" s="303"/>
      <c r="D24" s="303"/>
      <c r="E24" s="303"/>
      <c r="F24" s="305" t="str">
        <f>Commodities!D25</f>
        <v>OILPCK</v>
      </c>
      <c r="G24" s="49"/>
      <c r="H24" s="49"/>
      <c r="I24" s="131">
        <f>$I$4*'En.Bal-Primary-Transf.'!$AQ$89/'En.Bal-Primary-Transf.'!$W$89</f>
        <v>0</v>
      </c>
      <c r="J24" s="131"/>
      <c r="K24" s="131">
        <f>$K$4*'En.Bal-Primary-Transf.'!$AQ$89/'En.Bal-Primary-Transf.'!$W$89</f>
        <v>0</v>
      </c>
      <c r="L24" s="19"/>
      <c r="M24" s="49"/>
      <c r="N24" s="306"/>
      <c r="O24" s="306"/>
      <c r="P24" s="306"/>
      <c r="Q24" s="306"/>
      <c r="R24" s="49"/>
      <c r="S24" s="49"/>
      <c r="T24" s="49"/>
      <c r="U24" s="19"/>
      <c r="V24" s="49"/>
      <c r="W24" s="49"/>
    </row>
    <row r="25" spans="2:23" x14ac:dyDescent="0.25">
      <c r="B25" s="303" t="str">
        <f t="shared" si="1"/>
        <v>*</v>
      </c>
      <c r="C25" s="303"/>
      <c r="D25" s="303"/>
      <c r="E25" s="303"/>
      <c r="F25" s="305" t="str">
        <f>Commodities!D26</f>
        <v>OILBIT</v>
      </c>
      <c r="G25" s="49"/>
      <c r="H25" s="49"/>
      <c r="I25" s="131">
        <f>$I$4*'En.Bal-Primary-Transf.'!$AP$89/'En.Bal-Primary-Transf.'!$W$89</f>
        <v>0</v>
      </c>
      <c r="J25" s="131"/>
      <c r="K25" s="131">
        <f>$K$4*'En.Bal-Primary-Transf.'!$AP$89/'En.Bal-Primary-Transf.'!$W$89</f>
        <v>0</v>
      </c>
      <c r="L25" s="19"/>
      <c r="M25" s="49"/>
      <c r="N25" s="306"/>
      <c r="O25" s="306"/>
      <c r="P25" s="306"/>
      <c r="Q25" s="306"/>
      <c r="R25" s="49"/>
      <c r="S25" s="49"/>
      <c r="T25" s="49"/>
      <c r="U25" s="19"/>
      <c r="V25" s="49"/>
      <c r="W25" s="49"/>
    </row>
    <row r="26" spans="2:23" x14ac:dyDescent="0.25">
      <c r="B26" s="303" t="str">
        <f t="shared" si="1"/>
        <v>*</v>
      </c>
      <c r="C26" s="303"/>
      <c r="D26" s="303"/>
      <c r="E26" s="303"/>
      <c r="F26" s="305" t="str">
        <f>Commodities!D27</f>
        <v>OILLUB</v>
      </c>
      <c r="G26" s="49"/>
      <c r="H26" s="49"/>
      <c r="I26" s="131">
        <f>$I$4*'En.Bal-Primary-Transf.'!$AO$89/'En.Bal-Primary-Transf.'!$W$89</f>
        <v>0</v>
      </c>
      <c r="J26" s="131"/>
      <c r="K26" s="131">
        <f>$K$4*'En.Bal-Primary-Transf.'!$AO$89/'En.Bal-Primary-Transf.'!$W$89</f>
        <v>0</v>
      </c>
      <c r="L26" s="19"/>
      <c r="M26" s="49"/>
      <c r="N26" s="49"/>
      <c r="O26" s="49"/>
      <c r="P26" s="49"/>
      <c r="Q26" s="49"/>
      <c r="R26" s="49"/>
      <c r="S26" s="49"/>
      <c r="T26" s="49"/>
      <c r="U26" s="19"/>
      <c r="V26" s="49"/>
      <c r="W26" s="49"/>
    </row>
    <row r="27" spans="2:23" x14ac:dyDescent="0.25">
      <c r="B27" s="307" t="str">
        <f t="shared" si="1"/>
        <v>*</v>
      </c>
      <c r="C27" s="307"/>
      <c r="D27" s="307"/>
      <c r="E27" s="307"/>
      <c r="F27" s="169" t="str">
        <f>Commodities!D28</f>
        <v>OILOTH</v>
      </c>
      <c r="G27" s="135"/>
      <c r="H27" s="135"/>
      <c r="I27" s="133">
        <f>$I$4*'En.Bal-Primary-Transf.'!$AS$89/'En.Bal-Primary-Transf.'!$W$89</f>
        <v>0</v>
      </c>
      <c r="J27" s="133"/>
      <c r="K27" s="133">
        <f>$K$4*'En.Bal-Primary-Transf.'!$AS$89/'En.Bal-Primary-Transf.'!$W$89</f>
        <v>0</v>
      </c>
      <c r="L27" s="170"/>
      <c r="M27" s="135"/>
      <c r="N27" s="135"/>
      <c r="O27" s="135"/>
      <c r="P27" s="135"/>
      <c r="Q27" s="135"/>
      <c r="R27" s="135"/>
      <c r="S27" s="135"/>
      <c r="T27" s="135"/>
      <c r="U27" s="170"/>
      <c r="V27" s="135"/>
      <c r="W27" s="135"/>
    </row>
    <row r="28" spans="2:23" x14ac:dyDescent="0.25">
      <c r="B28" s="303" t="str">
        <f>$AA$9</f>
        <v>STROILCRD_E02</v>
      </c>
      <c r="C28" s="303" t="str">
        <f>AB9</f>
        <v>Petrochemical Installations - Refinery - New</v>
      </c>
      <c r="D28" s="303" t="str">
        <f>Commodities!D157</f>
        <v>GASNAT_HP</v>
      </c>
      <c r="E28" s="303"/>
      <c r="F28" s="305"/>
      <c r="G28" s="51">
        <v>1</v>
      </c>
      <c r="H28" s="51"/>
      <c r="I28" s="49"/>
      <c r="J28" s="49"/>
      <c r="K28" s="49"/>
      <c r="L28" s="49"/>
      <c r="M28" s="19">
        <v>0.85</v>
      </c>
      <c r="N28" s="159">
        <f>1.8*35</f>
        <v>63</v>
      </c>
      <c r="O28" s="159"/>
      <c r="P28" s="159">
        <f>1.8*35</f>
        <v>63</v>
      </c>
      <c r="Q28" s="159">
        <f>P28*1.25</f>
        <v>78.75</v>
      </c>
      <c r="R28" s="51"/>
      <c r="S28" s="51"/>
      <c r="T28" s="51"/>
      <c r="U28" s="19">
        <v>0.8</v>
      </c>
      <c r="V28" s="19"/>
      <c r="W28" s="308">
        <v>2020</v>
      </c>
    </row>
    <row r="29" spans="2:23" ht="15" customHeight="1" x14ac:dyDescent="0.25">
      <c r="B29" s="303"/>
      <c r="C29" s="303"/>
      <c r="D29" s="303"/>
      <c r="E29" s="303"/>
      <c r="F29" s="305" t="str">
        <f>F18</f>
        <v>OILDSL</v>
      </c>
      <c r="G29" s="51"/>
      <c r="H29" s="51"/>
      <c r="I29" s="51">
        <f>12/(12+600+115)</f>
        <v>1.6506189821182942E-2</v>
      </c>
      <c r="J29" s="49"/>
      <c r="K29" s="49"/>
      <c r="L29" s="49"/>
      <c r="M29" s="131"/>
      <c r="N29" s="51"/>
      <c r="O29" s="51"/>
      <c r="P29" s="51"/>
      <c r="Q29" s="51"/>
      <c r="R29" s="51"/>
      <c r="S29" s="51"/>
      <c r="T29" s="51"/>
      <c r="U29" s="19"/>
      <c r="V29" s="19"/>
      <c r="W29" s="19"/>
    </row>
    <row r="30" spans="2:23" x14ac:dyDescent="0.25">
      <c r="B30" s="303"/>
      <c r="C30" s="303"/>
      <c r="D30" s="303"/>
      <c r="E30" s="303"/>
      <c r="F30" s="305" t="str">
        <f>F19</f>
        <v>OILGSL</v>
      </c>
      <c r="G30" s="51"/>
      <c r="H30" s="51"/>
      <c r="I30" s="51">
        <f>600/(12+600+115)</f>
        <v>0.82530949105914719</v>
      </c>
      <c r="J30" s="49"/>
      <c r="K30" s="49"/>
      <c r="L30" s="49"/>
      <c r="M30" s="49"/>
      <c r="N30" s="49"/>
      <c r="O30" s="49"/>
      <c r="P30" s="49"/>
      <c r="Q30" s="49"/>
      <c r="R30" s="49"/>
      <c r="S30" s="49"/>
      <c r="T30" s="49"/>
      <c r="U30" s="19"/>
      <c r="V30" s="49"/>
      <c r="W30" s="49"/>
    </row>
    <row r="31" spans="2:23" x14ac:dyDescent="0.25">
      <c r="B31" s="303"/>
      <c r="C31" s="303"/>
      <c r="D31" s="303"/>
      <c r="E31" s="303"/>
      <c r="F31" s="305" t="str">
        <f>F20</f>
        <v>OILLPG</v>
      </c>
      <c r="G31" s="51"/>
      <c r="H31" s="51"/>
      <c r="I31" s="51">
        <f>115/(12+600+115)</f>
        <v>0.15818431911966988</v>
      </c>
      <c r="J31" s="49"/>
      <c r="K31" s="49"/>
      <c r="L31" s="49"/>
      <c r="M31" s="49"/>
      <c r="N31" s="49"/>
      <c r="O31" s="49"/>
      <c r="P31" s="49"/>
      <c r="Q31" s="49"/>
      <c r="R31" s="49"/>
      <c r="S31" s="49"/>
      <c r="T31" s="49"/>
      <c r="U31" s="19"/>
      <c r="V31" s="49"/>
      <c r="W31" s="49"/>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CN136"/>
  <sheetViews>
    <sheetView zoomScale="85" zoomScaleNormal="85" workbookViewId="0">
      <pane xSplit="7" ySplit="4" topLeftCell="S49" activePane="bottomRight" state="frozen"/>
      <selection sqref="A1:XFD1048576"/>
      <selection pane="topRight" sqref="A1:XFD1048576"/>
      <selection pane="bottomLeft" sqref="A1:XFD1048576"/>
      <selection pane="bottomRight" sqref="A1:XFD1048576"/>
    </sheetView>
  </sheetViews>
  <sheetFormatPr defaultRowHeight="13.2" x14ac:dyDescent="0.25"/>
  <cols>
    <col min="1" max="3" width="2" style="392" customWidth="1"/>
    <col min="4" max="4" width="2.44140625" style="392" customWidth="1"/>
    <col min="5" max="5" width="45.5546875" style="392" customWidth="1"/>
    <col min="6" max="6" width="7.109375" style="393" customWidth="1"/>
    <col min="7" max="7" width="0.5546875" style="393" customWidth="1"/>
    <col min="8" max="15" width="10.6640625" style="393" customWidth="1"/>
    <col min="16" max="37" width="10.6640625" style="392" customWidth="1"/>
    <col min="38" max="41" width="9.6640625" style="392" customWidth="1"/>
    <col min="42" max="42" width="10.6640625" style="393" customWidth="1"/>
    <col min="43" max="46" width="9.6640625" style="392" customWidth="1"/>
    <col min="47" max="47" width="11.33203125" style="392" bestFit="1" customWidth="1"/>
    <col min="48" max="58" width="9.109375" style="392"/>
    <col min="59" max="59" width="15.33203125" style="392" customWidth="1"/>
    <col min="60" max="60" width="11.44140625" style="392" customWidth="1"/>
    <col min="61" max="62" width="11.33203125" style="392" customWidth="1"/>
    <col min="63" max="76" width="9.109375" style="392"/>
    <col min="77" max="16384" width="8.88671875" style="5"/>
  </cols>
  <sheetData>
    <row r="1" spans="1:92" ht="16.5" customHeight="1" x14ac:dyDescent="0.25">
      <c r="A1" s="310"/>
      <c r="B1" s="310"/>
      <c r="C1" s="310"/>
      <c r="D1" s="310"/>
      <c r="E1" s="310"/>
      <c r="F1" s="311"/>
      <c r="G1" s="311"/>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f>AT4/1000*41.868</f>
        <v>2744.8660800000002</v>
      </c>
      <c r="AU1" s="312"/>
      <c r="AV1" s="312"/>
      <c r="AW1" s="312"/>
      <c r="AX1" s="312"/>
      <c r="AY1" s="312"/>
      <c r="AZ1" s="312"/>
      <c r="BA1" s="312"/>
      <c r="BB1" s="312"/>
      <c r="BC1" s="312"/>
      <c r="BD1" s="312"/>
      <c r="BE1" s="312"/>
      <c r="BF1" s="312"/>
      <c r="BG1" s="313" t="s">
        <v>824</v>
      </c>
      <c r="BH1" s="314"/>
      <c r="BI1" s="314"/>
      <c r="BJ1" s="315"/>
      <c r="BK1" s="312"/>
      <c r="BL1" s="312"/>
      <c r="BM1" s="312"/>
      <c r="BN1" s="312"/>
      <c r="BO1" s="312"/>
      <c r="BP1" s="312"/>
      <c r="BQ1" s="312"/>
      <c r="BR1" s="312"/>
      <c r="BS1" s="312"/>
      <c r="BT1" s="312"/>
      <c r="BU1" s="312"/>
      <c r="BV1" s="312"/>
      <c r="BW1" s="312"/>
      <c r="BX1" s="312"/>
    </row>
    <row r="2" spans="1:92" ht="27.75" customHeight="1" x14ac:dyDescent="0.25">
      <c r="A2" s="316" t="s">
        <v>968</v>
      </c>
      <c r="B2" s="316"/>
      <c r="C2" s="316"/>
      <c r="D2" s="316"/>
      <c r="E2" s="317" t="s">
        <v>1026</v>
      </c>
      <c r="F2" s="318" t="s">
        <v>926</v>
      </c>
      <c r="G2" s="319"/>
      <c r="H2" s="320" t="s">
        <v>841</v>
      </c>
      <c r="I2" s="321" t="s">
        <v>842</v>
      </c>
      <c r="J2" s="319" t="s">
        <v>59</v>
      </c>
      <c r="K2" s="319" t="s">
        <v>843</v>
      </c>
      <c r="L2" s="320" t="s">
        <v>81</v>
      </c>
      <c r="M2" s="320" t="s">
        <v>844</v>
      </c>
      <c r="N2" s="320" t="s">
        <v>845</v>
      </c>
      <c r="O2" s="320" t="s">
        <v>846</v>
      </c>
      <c r="P2" s="320" t="s">
        <v>82</v>
      </c>
      <c r="Q2" s="319" t="s">
        <v>847</v>
      </c>
      <c r="R2" s="319" t="s">
        <v>83</v>
      </c>
      <c r="S2" s="319" t="s">
        <v>848</v>
      </c>
      <c r="T2" s="319" t="s">
        <v>849</v>
      </c>
      <c r="U2" s="320" t="s">
        <v>850</v>
      </c>
      <c r="V2" s="320" t="s">
        <v>851</v>
      </c>
      <c r="W2" s="321" t="s">
        <v>852</v>
      </c>
      <c r="X2" s="320" t="s">
        <v>853</v>
      </c>
      <c r="Y2" s="320" t="s">
        <v>854</v>
      </c>
      <c r="Z2" s="320" t="s">
        <v>855</v>
      </c>
      <c r="AA2" s="320" t="s">
        <v>856</v>
      </c>
      <c r="AB2" s="320" t="s">
        <v>857</v>
      </c>
      <c r="AC2" s="320" t="s">
        <v>86</v>
      </c>
      <c r="AD2" s="320" t="s">
        <v>620</v>
      </c>
      <c r="AE2" s="320" t="s">
        <v>858</v>
      </c>
      <c r="AF2" s="320" t="s">
        <v>859</v>
      </c>
      <c r="AG2" s="320" t="s">
        <v>87</v>
      </c>
      <c r="AH2" s="320" t="s">
        <v>129</v>
      </c>
      <c r="AI2" s="320" t="s">
        <v>860</v>
      </c>
      <c r="AJ2" s="320" t="s">
        <v>861</v>
      </c>
      <c r="AK2" s="320" t="s">
        <v>64</v>
      </c>
      <c r="AL2" s="320" t="s">
        <v>862</v>
      </c>
      <c r="AM2" s="320" t="s">
        <v>130</v>
      </c>
      <c r="AN2" s="320" t="s">
        <v>131</v>
      </c>
      <c r="AO2" s="320" t="s">
        <v>91</v>
      </c>
      <c r="AP2" s="320" t="s">
        <v>90</v>
      </c>
      <c r="AQ2" s="320" t="s">
        <v>89</v>
      </c>
      <c r="AR2" s="320" t="s">
        <v>132</v>
      </c>
      <c r="AS2" s="320" t="s">
        <v>863</v>
      </c>
      <c r="AT2" s="321" t="s">
        <v>864</v>
      </c>
      <c r="AU2" s="320" t="s">
        <v>865</v>
      </c>
      <c r="AV2" s="320" t="s">
        <v>866</v>
      </c>
      <c r="AW2" s="320" t="s">
        <v>867</v>
      </c>
      <c r="AX2" s="320" t="s">
        <v>868</v>
      </c>
      <c r="AY2" s="320" t="s">
        <v>869</v>
      </c>
      <c r="AZ2" s="322" t="s">
        <v>870</v>
      </c>
      <c r="BA2" s="320" t="s">
        <v>871</v>
      </c>
      <c r="BB2" s="320" t="s">
        <v>872</v>
      </c>
      <c r="BC2" s="320" t="s">
        <v>873</v>
      </c>
      <c r="BD2" s="320" t="s">
        <v>874</v>
      </c>
      <c r="BE2" s="320" t="s">
        <v>875</v>
      </c>
      <c r="BF2" s="320" t="s">
        <v>876</v>
      </c>
      <c r="BG2" s="323" t="s">
        <v>820</v>
      </c>
      <c r="BH2" s="324" t="s">
        <v>821</v>
      </c>
      <c r="BI2" s="324" t="s">
        <v>822</v>
      </c>
      <c r="BJ2" s="325" t="s">
        <v>823</v>
      </c>
      <c r="BK2" s="320" t="s">
        <v>73</v>
      </c>
      <c r="BL2" s="320" t="s">
        <v>877</v>
      </c>
      <c r="BM2" s="320" t="s">
        <v>878</v>
      </c>
      <c r="BN2" s="320" t="s">
        <v>879</v>
      </c>
      <c r="BO2" s="320" t="s">
        <v>69</v>
      </c>
      <c r="BP2" s="320" t="s">
        <v>880</v>
      </c>
      <c r="BQ2" s="320" t="s">
        <v>881</v>
      </c>
      <c r="BR2" s="320" t="s">
        <v>882</v>
      </c>
      <c r="BS2" s="322" t="s">
        <v>883</v>
      </c>
      <c r="BT2" s="320" t="s">
        <v>884</v>
      </c>
      <c r="BU2" s="320" t="s">
        <v>885</v>
      </c>
      <c r="BV2" s="322" t="s">
        <v>886</v>
      </c>
      <c r="BW2" s="322" t="s">
        <v>887</v>
      </c>
      <c r="BX2" s="321" t="s">
        <v>888</v>
      </c>
    </row>
    <row r="3" spans="1:92" ht="11.25" customHeight="1" x14ac:dyDescent="0.25">
      <c r="A3" s="326"/>
      <c r="B3" s="326"/>
      <c r="C3" s="326"/>
      <c r="D3" s="326"/>
      <c r="E3" s="326"/>
      <c r="F3" s="327"/>
      <c r="G3" s="327"/>
      <c r="H3" s="328"/>
      <c r="I3" s="329"/>
      <c r="J3" s="328"/>
      <c r="K3" s="328"/>
      <c r="L3" s="328"/>
      <c r="M3" s="328"/>
      <c r="N3" s="328"/>
      <c r="O3" s="328"/>
      <c r="P3" s="328"/>
      <c r="Q3" s="328"/>
      <c r="R3" s="328"/>
      <c r="S3" s="328"/>
      <c r="T3" s="328"/>
      <c r="U3" s="328"/>
      <c r="V3" s="328"/>
      <c r="W3" s="329"/>
      <c r="X3" s="328"/>
      <c r="Y3" s="328"/>
      <c r="Z3" s="328"/>
      <c r="AA3" s="328"/>
      <c r="AB3" s="328"/>
      <c r="AC3" s="328"/>
      <c r="AD3" s="328"/>
      <c r="AE3" s="328"/>
      <c r="AF3" s="328"/>
      <c r="AG3" s="328"/>
      <c r="AH3" s="328"/>
      <c r="AI3" s="328"/>
      <c r="AJ3" s="328"/>
      <c r="AK3" s="328"/>
      <c r="AL3" s="328"/>
      <c r="AM3" s="328"/>
      <c r="AN3" s="328"/>
      <c r="AO3" s="328"/>
      <c r="AP3" s="328"/>
      <c r="AQ3" s="328"/>
      <c r="AR3" s="328"/>
      <c r="AS3" s="328"/>
      <c r="AT3" s="329"/>
      <c r="AU3" s="328"/>
      <c r="AV3" s="328"/>
      <c r="AW3" s="328"/>
      <c r="AX3" s="328"/>
      <c r="AY3" s="328"/>
      <c r="AZ3" s="329"/>
      <c r="BA3" s="328"/>
      <c r="BB3" s="328"/>
      <c r="BC3" s="328"/>
      <c r="BD3" s="328"/>
      <c r="BE3" s="328"/>
      <c r="BF3" s="328"/>
      <c r="BG3" s="329"/>
      <c r="BH3" s="328"/>
      <c r="BI3" s="328"/>
      <c r="BJ3" s="330"/>
      <c r="BK3" s="328"/>
      <c r="BL3" s="328"/>
      <c r="BM3" s="328"/>
      <c r="BN3" s="328"/>
      <c r="BO3" s="328"/>
      <c r="BP3" s="328"/>
      <c r="BQ3" s="328"/>
      <c r="BR3" s="328"/>
      <c r="BS3" s="329"/>
      <c r="BT3" s="328"/>
      <c r="BU3" s="328"/>
      <c r="BV3" s="329"/>
      <c r="BW3" s="329"/>
      <c r="BX3" s="329"/>
    </row>
    <row r="4" spans="1:92" ht="11.25" customHeight="1" x14ac:dyDescent="0.25">
      <c r="A4" s="331" t="s">
        <v>133</v>
      </c>
      <c r="B4" s="332" t="s">
        <v>134</v>
      </c>
      <c r="C4" s="332"/>
      <c r="D4" s="332"/>
      <c r="E4" s="332"/>
      <c r="F4" s="333" t="s">
        <v>135</v>
      </c>
      <c r="G4" s="334"/>
      <c r="H4" s="335"/>
      <c r="I4" s="336"/>
      <c r="J4" s="335"/>
      <c r="K4" s="335"/>
      <c r="L4" s="335"/>
      <c r="M4" s="335"/>
      <c r="N4" s="335"/>
      <c r="O4" s="335"/>
      <c r="P4" s="335"/>
      <c r="Q4" s="335"/>
      <c r="R4" s="335"/>
      <c r="S4" s="335"/>
      <c r="T4" s="335"/>
      <c r="U4" s="335"/>
      <c r="V4" s="335"/>
      <c r="W4" s="337">
        <f>SUM(X4:AS4)</f>
        <v>11243</v>
      </c>
      <c r="X4" s="338">
        <v>10300</v>
      </c>
      <c r="Y4" s="338">
        <v>943</v>
      </c>
      <c r="Z4" s="338"/>
      <c r="AA4" s="338"/>
      <c r="AB4" s="338"/>
      <c r="AC4" s="338"/>
      <c r="AD4" s="338"/>
      <c r="AE4" s="338"/>
      <c r="AF4" s="338"/>
      <c r="AG4" s="338"/>
      <c r="AH4" s="338"/>
      <c r="AI4" s="338"/>
      <c r="AJ4" s="338"/>
      <c r="AK4" s="338"/>
      <c r="AL4" s="338"/>
      <c r="AM4" s="338"/>
      <c r="AN4" s="338"/>
      <c r="AO4" s="338"/>
      <c r="AP4" s="338"/>
      <c r="AQ4" s="338"/>
      <c r="AR4" s="338"/>
      <c r="AS4" s="338"/>
      <c r="AT4" s="337">
        <f>SUM(AU4:AY4)</f>
        <v>65560</v>
      </c>
      <c r="AU4" s="338">
        <v>65560</v>
      </c>
      <c r="AV4" s="338"/>
      <c r="AW4" s="338"/>
      <c r="AX4" s="338"/>
      <c r="AY4" s="338"/>
      <c r="AZ4" s="337"/>
      <c r="BA4" s="338"/>
      <c r="BB4" s="338"/>
      <c r="BC4" s="338"/>
      <c r="BD4" s="338"/>
      <c r="BE4" s="338"/>
      <c r="BF4" s="338"/>
      <c r="BG4" s="337"/>
      <c r="BH4" s="338">
        <f>BH5</f>
        <v>2.7</v>
      </c>
      <c r="BI4" s="338"/>
      <c r="BJ4" s="339"/>
      <c r="BK4" s="338"/>
      <c r="BL4" s="338"/>
      <c r="BM4" s="338"/>
      <c r="BN4" s="338"/>
      <c r="BO4" s="338"/>
      <c r="BP4" s="338"/>
      <c r="BQ4" s="338"/>
      <c r="BR4" s="338"/>
      <c r="BS4" s="337"/>
      <c r="BT4" s="338"/>
      <c r="BU4" s="338"/>
      <c r="BV4" s="337"/>
      <c r="BW4" s="337"/>
      <c r="BX4" s="337"/>
      <c r="BY4" s="340"/>
      <c r="BZ4" s="340"/>
      <c r="CA4" s="340"/>
      <c r="CB4" s="340"/>
      <c r="CC4" s="340"/>
      <c r="CD4" s="340"/>
      <c r="CE4" s="340"/>
      <c r="CF4" s="340"/>
      <c r="CG4" s="340"/>
      <c r="CH4" s="340"/>
      <c r="CI4" s="340"/>
    </row>
    <row r="5" spans="1:92" ht="11.25" customHeight="1" x14ac:dyDescent="0.25">
      <c r="A5" s="341" t="s">
        <v>133</v>
      </c>
      <c r="B5" s="342" t="s">
        <v>136</v>
      </c>
      <c r="C5" s="342"/>
      <c r="D5" s="342"/>
      <c r="E5" s="342"/>
      <c r="F5" s="343" t="s">
        <v>137</v>
      </c>
      <c r="G5" s="344"/>
      <c r="H5" s="345"/>
      <c r="I5" s="346"/>
      <c r="J5" s="345"/>
      <c r="K5" s="345"/>
      <c r="L5" s="345"/>
      <c r="M5" s="345"/>
      <c r="N5" s="345"/>
      <c r="O5" s="345"/>
      <c r="P5" s="345"/>
      <c r="Q5" s="345"/>
      <c r="R5" s="345"/>
      <c r="S5" s="345"/>
      <c r="T5" s="345"/>
      <c r="U5" s="345"/>
      <c r="V5" s="345"/>
      <c r="W5" s="347"/>
      <c r="X5" s="348"/>
      <c r="Y5" s="348"/>
      <c r="Z5" s="348"/>
      <c r="AA5" s="348"/>
      <c r="AB5" s="348"/>
      <c r="AC5" s="348"/>
      <c r="AD5" s="348"/>
      <c r="AE5" s="348"/>
      <c r="AF5" s="348"/>
      <c r="AG5" s="348"/>
      <c r="AH5" s="348"/>
      <c r="AI5" s="348"/>
      <c r="AJ5" s="348"/>
      <c r="AK5" s="348"/>
      <c r="AL5" s="348"/>
      <c r="AM5" s="348"/>
      <c r="AN5" s="348"/>
      <c r="AO5" s="348"/>
      <c r="AP5" s="348"/>
      <c r="AQ5" s="348"/>
      <c r="AR5" s="348"/>
      <c r="AS5" s="348"/>
      <c r="AT5" s="347"/>
      <c r="AU5" s="348"/>
      <c r="AV5" s="348"/>
      <c r="AW5" s="348"/>
      <c r="AX5" s="348"/>
      <c r="AY5" s="348"/>
      <c r="AZ5" s="347"/>
      <c r="BA5" s="348"/>
      <c r="BB5" s="348"/>
      <c r="BC5" s="348"/>
      <c r="BD5" s="348"/>
      <c r="BE5" s="348"/>
      <c r="BF5" s="348">
        <f>SUM(BG5:BJ5)</f>
        <v>2.7</v>
      </c>
      <c r="BG5" s="347"/>
      <c r="BH5" s="348">
        <v>2.7</v>
      </c>
      <c r="BI5" s="348"/>
      <c r="BJ5" s="349"/>
      <c r="BK5" s="348"/>
      <c r="BL5" s="348"/>
      <c r="BM5" s="348"/>
      <c r="BN5" s="348"/>
      <c r="BO5" s="348"/>
      <c r="BP5" s="348"/>
      <c r="BQ5" s="348"/>
      <c r="BR5" s="348"/>
      <c r="BS5" s="347"/>
      <c r="BT5" s="348"/>
      <c r="BU5" s="348"/>
      <c r="BV5" s="347"/>
      <c r="BW5" s="347"/>
      <c r="BX5" s="347"/>
    </row>
    <row r="6" spans="1:92" ht="11.25" customHeight="1" x14ac:dyDescent="0.25">
      <c r="A6" s="341" t="s">
        <v>133</v>
      </c>
      <c r="B6" s="342" t="s">
        <v>138</v>
      </c>
      <c r="C6" s="342"/>
      <c r="D6" s="342"/>
      <c r="E6" s="342"/>
      <c r="F6" s="343" t="s">
        <v>139</v>
      </c>
      <c r="G6" s="344"/>
      <c r="H6" s="345"/>
      <c r="I6" s="346"/>
      <c r="J6" s="345"/>
      <c r="K6" s="345"/>
      <c r="L6" s="345"/>
      <c r="M6" s="345"/>
      <c r="N6" s="345"/>
      <c r="O6" s="345"/>
      <c r="P6" s="345"/>
      <c r="Q6" s="345"/>
      <c r="R6" s="345"/>
      <c r="S6" s="345"/>
      <c r="T6" s="345"/>
      <c r="U6" s="345"/>
      <c r="V6" s="345"/>
      <c r="W6" s="347"/>
      <c r="X6" s="348"/>
      <c r="Y6" s="348"/>
      <c r="Z6" s="348"/>
      <c r="AA6" s="348"/>
      <c r="AB6" s="348"/>
      <c r="AC6" s="348"/>
      <c r="AD6" s="348"/>
      <c r="AE6" s="348"/>
      <c r="AF6" s="348"/>
      <c r="AG6" s="348"/>
      <c r="AH6" s="348"/>
      <c r="AI6" s="348"/>
      <c r="AJ6" s="348"/>
      <c r="AK6" s="348"/>
      <c r="AL6" s="348"/>
      <c r="AM6" s="348"/>
      <c r="AN6" s="348"/>
      <c r="AO6" s="348"/>
      <c r="AP6" s="348"/>
      <c r="AQ6" s="348"/>
      <c r="AR6" s="348"/>
      <c r="AS6" s="348"/>
      <c r="AT6" s="347"/>
      <c r="AU6" s="348"/>
      <c r="AV6" s="348"/>
      <c r="AW6" s="348"/>
      <c r="AX6" s="348"/>
      <c r="AY6" s="348"/>
      <c r="AZ6" s="347"/>
      <c r="BA6" s="348"/>
      <c r="BB6" s="348"/>
      <c r="BC6" s="348"/>
      <c r="BD6" s="348"/>
      <c r="BE6" s="348"/>
      <c r="BF6" s="348"/>
      <c r="BG6" s="347"/>
      <c r="BH6" s="348"/>
      <c r="BI6" s="348"/>
      <c r="BJ6" s="349"/>
      <c r="BK6" s="348"/>
      <c r="BL6" s="348"/>
      <c r="BM6" s="348"/>
      <c r="BN6" s="348"/>
      <c r="BO6" s="348"/>
      <c r="BP6" s="348"/>
      <c r="BQ6" s="348"/>
      <c r="BR6" s="348"/>
      <c r="BS6" s="347"/>
      <c r="BT6" s="348"/>
      <c r="BU6" s="348"/>
      <c r="BV6" s="347"/>
      <c r="BW6" s="347"/>
      <c r="BX6" s="347"/>
    </row>
    <row r="7" spans="1:92" ht="11.25" customHeight="1" x14ac:dyDescent="0.25">
      <c r="A7" s="350"/>
      <c r="B7" s="341" t="s">
        <v>133</v>
      </c>
      <c r="C7" s="342" t="s">
        <v>140</v>
      </c>
      <c r="D7" s="342"/>
      <c r="E7" s="342"/>
      <c r="F7" s="343" t="s">
        <v>141</v>
      </c>
      <c r="G7" s="344"/>
      <c r="H7" s="345"/>
      <c r="I7" s="346"/>
      <c r="J7" s="345"/>
      <c r="K7" s="345"/>
      <c r="L7" s="345"/>
      <c r="M7" s="345"/>
      <c r="N7" s="345"/>
      <c r="O7" s="345"/>
      <c r="P7" s="345"/>
      <c r="Q7" s="345"/>
      <c r="R7" s="345"/>
      <c r="S7" s="345"/>
      <c r="T7" s="345"/>
      <c r="U7" s="345"/>
      <c r="V7" s="345"/>
      <c r="W7" s="347"/>
      <c r="X7" s="348"/>
      <c r="Y7" s="348"/>
      <c r="Z7" s="348"/>
      <c r="AA7" s="348"/>
      <c r="AB7" s="348"/>
      <c r="AC7" s="348"/>
      <c r="AD7" s="348"/>
      <c r="AE7" s="348"/>
      <c r="AF7" s="348"/>
      <c r="AG7" s="348"/>
      <c r="AH7" s="348"/>
      <c r="AI7" s="348"/>
      <c r="AJ7" s="348"/>
      <c r="AK7" s="348"/>
      <c r="AL7" s="348"/>
      <c r="AM7" s="348"/>
      <c r="AN7" s="348"/>
      <c r="AO7" s="348"/>
      <c r="AP7" s="348"/>
      <c r="AQ7" s="348"/>
      <c r="AR7" s="348"/>
      <c r="AS7" s="348"/>
      <c r="AT7" s="347"/>
      <c r="AU7" s="348"/>
      <c r="AV7" s="348"/>
      <c r="AW7" s="348"/>
      <c r="AX7" s="348"/>
      <c r="AY7" s="348"/>
      <c r="AZ7" s="347"/>
      <c r="BA7" s="348"/>
      <c r="BB7" s="348"/>
      <c r="BC7" s="348"/>
      <c r="BD7" s="348"/>
      <c r="BE7" s="348"/>
      <c r="BF7" s="348"/>
      <c r="BG7" s="347"/>
      <c r="BH7" s="348"/>
      <c r="BI7" s="348"/>
      <c r="BJ7" s="349"/>
      <c r="BK7" s="348"/>
      <c r="BL7" s="348"/>
      <c r="BM7" s="348"/>
      <c r="BN7" s="348"/>
      <c r="BO7" s="348"/>
      <c r="BP7" s="348"/>
      <c r="BQ7" s="348"/>
      <c r="BR7" s="348"/>
      <c r="BS7" s="347"/>
      <c r="BT7" s="348"/>
      <c r="BU7" s="348"/>
      <c r="BV7" s="347"/>
      <c r="BW7" s="347"/>
      <c r="BX7" s="347"/>
    </row>
    <row r="8" spans="1:92" ht="11.25" customHeight="1" x14ac:dyDescent="0.25">
      <c r="A8" s="350"/>
      <c r="B8" s="341" t="s">
        <v>133</v>
      </c>
      <c r="C8" s="342" t="s">
        <v>142</v>
      </c>
      <c r="D8" s="342"/>
      <c r="E8" s="342"/>
      <c r="F8" s="343" t="s">
        <v>143</v>
      </c>
      <c r="G8" s="344"/>
      <c r="H8" s="345"/>
      <c r="I8" s="346"/>
      <c r="J8" s="345"/>
      <c r="K8" s="345"/>
      <c r="L8" s="345"/>
      <c r="M8" s="345"/>
      <c r="N8" s="345"/>
      <c r="O8" s="345"/>
      <c r="P8" s="345"/>
      <c r="Q8" s="345"/>
      <c r="R8" s="345"/>
      <c r="S8" s="345"/>
      <c r="T8" s="345"/>
      <c r="U8" s="345"/>
      <c r="V8" s="345"/>
      <c r="W8" s="347"/>
      <c r="X8" s="348"/>
      <c r="Y8" s="348"/>
      <c r="Z8" s="348"/>
      <c r="AA8" s="348"/>
      <c r="AB8" s="348"/>
      <c r="AC8" s="348"/>
      <c r="AD8" s="348"/>
      <c r="AE8" s="348"/>
      <c r="AF8" s="348"/>
      <c r="AG8" s="348"/>
      <c r="AH8" s="348"/>
      <c r="AI8" s="348"/>
      <c r="AJ8" s="348"/>
      <c r="AK8" s="348"/>
      <c r="AL8" s="348"/>
      <c r="AM8" s="348"/>
      <c r="AN8" s="348"/>
      <c r="AO8" s="348"/>
      <c r="AP8" s="348"/>
      <c r="AQ8" s="348"/>
      <c r="AR8" s="348"/>
      <c r="AS8" s="348"/>
      <c r="AT8" s="347"/>
      <c r="AU8" s="348"/>
      <c r="AV8" s="348"/>
      <c r="AW8" s="348"/>
      <c r="AX8" s="348"/>
      <c r="AY8" s="348"/>
      <c r="AZ8" s="347"/>
      <c r="BA8" s="348"/>
      <c r="BB8" s="348"/>
      <c r="BC8" s="348"/>
      <c r="BD8" s="348"/>
      <c r="BE8" s="348"/>
      <c r="BF8" s="348"/>
      <c r="BG8" s="347"/>
      <c r="BH8" s="348"/>
      <c r="BI8" s="348"/>
      <c r="BJ8" s="349"/>
      <c r="BK8" s="348"/>
      <c r="BL8" s="348"/>
      <c r="BM8" s="348"/>
      <c r="BN8" s="348"/>
      <c r="BO8" s="348"/>
      <c r="BP8" s="348"/>
      <c r="BQ8" s="348"/>
      <c r="BR8" s="348"/>
      <c r="BS8" s="347"/>
      <c r="BT8" s="348"/>
      <c r="BU8" s="348"/>
      <c r="BV8" s="347"/>
      <c r="BW8" s="347"/>
      <c r="BX8" s="347"/>
    </row>
    <row r="9" spans="1:92" ht="11.25" customHeight="1" x14ac:dyDescent="0.25">
      <c r="A9" s="350"/>
      <c r="B9" s="341" t="s">
        <v>133</v>
      </c>
      <c r="C9" s="342" t="s">
        <v>144</v>
      </c>
      <c r="D9" s="342"/>
      <c r="E9" s="342"/>
      <c r="F9" s="343" t="s">
        <v>145</v>
      </c>
      <c r="G9" s="344"/>
      <c r="H9" s="345"/>
      <c r="I9" s="346"/>
      <c r="J9" s="345"/>
      <c r="K9" s="345"/>
      <c r="L9" s="345"/>
      <c r="M9" s="345"/>
      <c r="N9" s="345"/>
      <c r="O9" s="345"/>
      <c r="P9" s="345"/>
      <c r="Q9" s="345"/>
      <c r="R9" s="345"/>
      <c r="S9" s="345"/>
      <c r="T9" s="345"/>
      <c r="U9" s="345"/>
      <c r="V9" s="345"/>
      <c r="W9" s="347"/>
      <c r="X9" s="348"/>
      <c r="Y9" s="348"/>
      <c r="Z9" s="348"/>
      <c r="AA9" s="348"/>
      <c r="AB9" s="348"/>
      <c r="AC9" s="348"/>
      <c r="AD9" s="348"/>
      <c r="AE9" s="348"/>
      <c r="AF9" s="348"/>
      <c r="AG9" s="348"/>
      <c r="AH9" s="348"/>
      <c r="AI9" s="348"/>
      <c r="AJ9" s="348"/>
      <c r="AK9" s="348"/>
      <c r="AL9" s="348"/>
      <c r="AM9" s="348"/>
      <c r="AN9" s="348"/>
      <c r="AO9" s="348"/>
      <c r="AP9" s="348"/>
      <c r="AQ9" s="348"/>
      <c r="AR9" s="348"/>
      <c r="AS9" s="348"/>
      <c r="AT9" s="347"/>
      <c r="AU9" s="348"/>
      <c r="AV9" s="348"/>
      <c r="AW9" s="348"/>
      <c r="AX9" s="348"/>
      <c r="AY9" s="348"/>
      <c r="AZ9" s="347"/>
      <c r="BA9" s="348"/>
      <c r="BB9" s="348"/>
      <c r="BC9" s="348"/>
      <c r="BD9" s="348"/>
      <c r="BE9" s="348"/>
      <c r="BF9" s="348"/>
      <c r="BG9" s="347"/>
      <c r="BH9" s="348"/>
      <c r="BI9" s="348"/>
      <c r="BJ9" s="349"/>
      <c r="BK9" s="348"/>
      <c r="BL9" s="348"/>
      <c r="BM9" s="348"/>
      <c r="BN9" s="348"/>
      <c r="BO9" s="348"/>
      <c r="BP9" s="348"/>
      <c r="BQ9" s="348"/>
      <c r="BR9" s="348"/>
      <c r="BS9" s="347"/>
      <c r="BT9" s="348"/>
      <c r="BU9" s="348"/>
      <c r="BV9" s="347"/>
      <c r="BW9" s="347"/>
      <c r="BX9" s="347"/>
    </row>
    <row r="10" spans="1:92" ht="11.25" customHeight="1" x14ac:dyDescent="0.25">
      <c r="A10" s="350"/>
      <c r="B10" s="341" t="s">
        <v>133</v>
      </c>
      <c r="C10" s="342" t="s">
        <v>146</v>
      </c>
      <c r="D10" s="342"/>
      <c r="E10" s="342"/>
      <c r="F10" s="343" t="s">
        <v>147</v>
      </c>
      <c r="G10" s="344"/>
      <c r="H10" s="345"/>
      <c r="I10" s="346"/>
      <c r="J10" s="345"/>
      <c r="K10" s="345"/>
      <c r="L10" s="345"/>
      <c r="M10" s="345"/>
      <c r="N10" s="345"/>
      <c r="O10" s="345"/>
      <c r="P10" s="345"/>
      <c r="Q10" s="345"/>
      <c r="R10" s="345"/>
      <c r="S10" s="345"/>
      <c r="T10" s="345"/>
      <c r="U10" s="345"/>
      <c r="V10" s="345"/>
      <c r="W10" s="347"/>
      <c r="X10" s="348"/>
      <c r="Y10" s="348"/>
      <c r="Z10" s="348"/>
      <c r="AA10" s="348"/>
      <c r="AB10" s="348"/>
      <c r="AC10" s="348"/>
      <c r="AD10" s="348"/>
      <c r="AE10" s="348"/>
      <c r="AF10" s="348"/>
      <c r="AG10" s="348"/>
      <c r="AH10" s="348"/>
      <c r="AI10" s="348"/>
      <c r="AJ10" s="348"/>
      <c r="AK10" s="348"/>
      <c r="AL10" s="348"/>
      <c r="AM10" s="348"/>
      <c r="AN10" s="348"/>
      <c r="AO10" s="348"/>
      <c r="AP10" s="348"/>
      <c r="AQ10" s="348"/>
      <c r="AR10" s="348"/>
      <c r="AS10" s="348"/>
      <c r="AT10" s="347"/>
      <c r="AU10" s="348"/>
      <c r="AV10" s="348"/>
      <c r="AW10" s="348"/>
      <c r="AX10" s="348"/>
      <c r="AY10" s="348"/>
      <c r="AZ10" s="347"/>
      <c r="BA10" s="348"/>
      <c r="BB10" s="348"/>
      <c r="BC10" s="348"/>
      <c r="BD10" s="348"/>
      <c r="BE10" s="348"/>
      <c r="BF10" s="348"/>
      <c r="BG10" s="347"/>
      <c r="BH10" s="348"/>
      <c r="BI10" s="348"/>
      <c r="BJ10" s="349"/>
      <c r="BK10" s="348"/>
      <c r="BL10" s="348"/>
      <c r="BM10" s="348"/>
      <c r="BN10" s="348"/>
      <c r="BO10" s="348"/>
      <c r="BP10" s="348"/>
      <c r="BQ10" s="348"/>
      <c r="BR10" s="348"/>
      <c r="BS10" s="347"/>
      <c r="BT10" s="348"/>
      <c r="BU10" s="348"/>
      <c r="BV10" s="347"/>
      <c r="BW10" s="347"/>
      <c r="BX10" s="347"/>
    </row>
    <row r="11" spans="1:92" ht="11.25" customHeight="1" x14ac:dyDescent="0.25">
      <c r="A11" s="341" t="s">
        <v>133</v>
      </c>
      <c r="B11" s="342" t="s">
        <v>148</v>
      </c>
      <c r="C11" s="342"/>
      <c r="D11" s="342"/>
      <c r="E11" s="342"/>
      <c r="F11" s="343" t="s">
        <v>149</v>
      </c>
      <c r="G11" s="344"/>
      <c r="H11" s="345"/>
      <c r="I11" s="346"/>
      <c r="J11" s="345"/>
      <c r="K11" s="345"/>
      <c r="L11" s="345"/>
      <c r="M11" s="345"/>
      <c r="N11" s="345"/>
      <c r="O11" s="345"/>
      <c r="P11" s="345"/>
      <c r="Q11" s="345"/>
      <c r="R11" s="345"/>
      <c r="S11" s="345"/>
      <c r="T11" s="345"/>
      <c r="U11" s="345"/>
      <c r="V11" s="345"/>
      <c r="W11" s="347"/>
      <c r="X11" s="348"/>
      <c r="Y11" s="348"/>
      <c r="Z11" s="348"/>
      <c r="AA11" s="348"/>
      <c r="AB11" s="348"/>
      <c r="AC11" s="348"/>
      <c r="AD11" s="348"/>
      <c r="AE11" s="348"/>
      <c r="AF11" s="348"/>
      <c r="AG11" s="348"/>
      <c r="AH11" s="348"/>
      <c r="AI11" s="348"/>
      <c r="AJ11" s="348"/>
      <c r="AK11" s="348"/>
      <c r="AL11" s="348"/>
      <c r="AM11" s="348"/>
      <c r="AN11" s="348"/>
      <c r="AO11" s="348"/>
      <c r="AP11" s="348"/>
      <c r="AQ11" s="348"/>
      <c r="AR11" s="348"/>
      <c r="AS11" s="348"/>
      <c r="AT11" s="347"/>
      <c r="AU11" s="348"/>
      <c r="AV11" s="348"/>
      <c r="AW11" s="348"/>
      <c r="AX11" s="348"/>
      <c r="AY11" s="348"/>
      <c r="AZ11" s="347"/>
      <c r="BA11" s="348"/>
      <c r="BB11" s="348"/>
      <c r="BC11" s="348"/>
      <c r="BD11" s="348"/>
      <c r="BE11" s="348"/>
      <c r="BF11" s="348"/>
      <c r="BG11" s="347"/>
      <c r="BH11" s="348"/>
      <c r="BI11" s="348"/>
      <c r="BJ11" s="349"/>
      <c r="BK11" s="348"/>
      <c r="BL11" s="348"/>
      <c r="BM11" s="348"/>
      <c r="BN11" s="348"/>
      <c r="BO11" s="348"/>
      <c r="BP11" s="348"/>
      <c r="BQ11" s="348"/>
      <c r="BR11" s="348"/>
      <c r="BS11" s="347"/>
      <c r="BT11" s="348"/>
      <c r="BU11" s="348"/>
      <c r="BV11" s="347"/>
      <c r="BW11" s="347"/>
      <c r="BX11" s="347"/>
    </row>
    <row r="12" spans="1:92" ht="11.25" customHeight="1" x14ac:dyDescent="0.25">
      <c r="A12" s="341" t="s">
        <v>133</v>
      </c>
      <c r="B12" s="342" t="s">
        <v>150</v>
      </c>
      <c r="C12" s="342"/>
      <c r="D12" s="342"/>
      <c r="E12" s="342"/>
      <c r="F12" s="343" t="s">
        <v>151</v>
      </c>
      <c r="G12" s="344"/>
      <c r="H12" s="345"/>
      <c r="I12" s="346"/>
      <c r="J12" s="345"/>
      <c r="K12" s="345"/>
      <c r="L12" s="345"/>
      <c r="M12" s="345"/>
      <c r="N12" s="345"/>
      <c r="O12" s="345"/>
      <c r="P12" s="345"/>
      <c r="Q12" s="345"/>
      <c r="R12" s="345"/>
      <c r="S12" s="345"/>
      <c r="T12" s="345"/>
      <c r="U12" s="345"/>
      <c r="V12" s="345"/>
      <c r="W12" s="347"/>
      <c r="X12" s="348"/>
      <c r="Y12" s="348"/>
      <c r="Z12" s="348"/>
      <c r="AA12" s="348"/>
      <c r="AB12" s="348"/>
      <c r="AC12" s="348"/>
      <c r="AD12" s="348"/>
      <c r="AE12" s="348"/>
      <c r="AF12" s="351"/>
      <c r="AG12" s="348"/>
      <c r="AH12" s="348"/>
      <c r="AI12" s="348"/>
      <c r="AJ12" s="348"/>
      <c r="AK12" s="348"/>
      <c r="AL12" s="348"/>
      <c r="AM12" s="351"/>
      <c r="AN12" s="348"/>
      <c r="AO12" s="348"/>
      <c r="AP12" s="348"/>
      <c r="AQ12" s="348"/>
      <c r="AR12" s="348"/>
      <c r="AS12" s="348"/>
      <c r="AT12" s="347"/>
      <c r="AU12" s="348"/>
      <c r="AV12" s="348"/>
      <c r="AW12" s="348"/>
      <c r="AX12" s="348"/>
      <c r="AY12" s="348"/>
      <c r="AZ12" s="347"/>
      <c r="BA12" s="348"/>
      <c r="BB12" s="348"/>
      <c r="BC12" s="348"/>
      <c r="BD12" s="348"/>
      <c r="BE12" s="348"/>
      <c r="BF12" s="348">
        <f>SUM(BG12:BJ12)</f>
        <v>7</v>
      </c>
      <c r="BG12" s="347">
        <v>7</v>
      </c>
      <c r="BH12" s="348"/>
      <c r="BI12" s="348"/>
      <c r="BJ12" s="349"/>
      <c r="BK12" s="348"/>
      <c r="BL12" s="348"/>
      <c r="BM12" s="348"/>
      <c r="BN12" s="348"/>
      <c r="BO12" s="348"/>
      <c r="BP12" s="348"/>
      <c r="BQ12" s="348"/>
      <c r="BR12" s="348"/>
      <c r="BS12" s="347"/>
      <c r="BT12" s="348"/>
      <c r="BU12" s="348"/>
      <c r="BV12" s="347"/>
      <c r="BW12" s="347"/>
      <c r="BX12" s="347"/>
    </row>
    <row r="13" spans="1:92" ht="11.25" customHeight="1" x14ac:dyDescent="0.25">
      <c r="A13" s="341" t="s">
        <v>133</v>
      </c>
      <c r="B13" s="342" t="s">
        <v>152</v>
      </c>
      <c r="C13" s="342"/>
      <c r="D13" s="342"/>
      <c r="E13" s="342"/>
      <c r="F13" s="343" t="s">
        <v>153</v>
      </c>
      <c r="G13" s="344"/>
      <c r="H13" s="345"/>
      <c r="I13" s="346"/>
      <c r="J13" s="345"/>
      <c r="K13" s="345"/>
      <c r="L13" s="345"/>
      <c r="M13" s="345"/>
      <c r="N13" s="345"/>
      <c r="O13" s="345"/>
      <c r="P13" s="345"/>
      <c r="Q13" s="345"/>
      <c r="R13" s="345"/>
      <c r="S13" s="345"/>
      <c r="T13" s="345"/>
      <c r="U13" s="345"/>
      <c r="V13" s="345"/>
      <c r="W13" s="347"/>
      <c r="X13" s="348"/>
      <c r="Y13" s="348"/>
      <c r="Z13" s="348"/>
      <c r="AA13" s="348"/>
      <c r="AB13" s="348"/>
      <c r="AC13" s="348"/>
      <c r="AD13" s="348"/>
      <c r="AE13" s="348"/>
      <c r="AF13" s="348"/>
      <c r="AG13" s="348"/>
      <c r="AH13" s="348"/>
      <c r="AI13" s="348"/>
      <c r="AJ13" s="348"/>
      <c r="AK13" s="348"/>
      <c r="AL13" s="348"/>
      <c r="AM13" s="348"/>
      <c r="AN13" s="348"/>
      <c r="AO13" s="348"/>
      <c r="AP13" s="348"/>
      <c r="AQ13" s="348"/>
      <c r="AR13" s="348"/>
      <c r="AS13" s="348"/>
      <c r="AT13" s="347"/>
      <c r="AU13" s="348"/>
      <c r="AV13" s="348"/>
      <c r="AW13" s="348"/>
      <c r="AX13" s="348"/>
      <c r="AY13" s="348"/>
      <c r="AZ13" s="347"/>
      <c r="BA13" s="348"/>
      <c r="BB13" s="348"/>
      <c r="BC13" s="348"/>
      <c r="BD13" s="348"/>
      <c r="BE13" s="348"/>
      <c r="BF13" s="348"/>
      <c r="BG13" s="347"/>
      <c r="BH13" s="348"/>
      <c r="BI13" s="348"/>
      <c r="BJ13" s="349"/>
      <c r="BK13" s="348"/>
      <c r="BL13" s="348"/>
      <c r="BM13" s="348"/>
      <c r="BN13" s="348"/>
      <c r="BO13" s="348"/>
      <c r="BP13" s="348"/>
      <c r="BQ13" s="348"/>
      <c r="BR13" s="348"/>
      <c r="BS13" s="347"/>
      <c r="BT13" s="348"/>
      <c r="BU13" s="348"/>
      <c r="BV13" s="347"/>
      <c r="BW13" s="347"/>
      <c r="BX13" s="347"/>
    </row>
    <row r="14" spans="1:92" ht="11.25" customHeight="1" x14ac:dyDescent="0.25">
      <c r="A14" s="341" t="s">
        <v>154</v>
      </c>
      <c r="B14" s="342" t="s">
        <v>114</v>
      </c>
      <c r="C14" s="342"/>
      <c r="D14" s="342"/>
      <c r="E14" s="342"/>
      <c r="F14" s="343" t="s">
        <v>155</v>
      </c>
      <c r="G14" s="344"/>
      <c r="H14" s="345"/>
      <c r="I14" s="346"/>
      <c r="J14" s="345"/>
      <c r="K14" s="345"/>
      <c r="L14" s="345"/>
      <c r="M14" s="345"/>
      <c r="N14" s="345"/>
      <c r="O14" s="345"/>
      <c r="P14" s="345"/>
      <c r="Q14" s="345"/>
      <c r="R14" s="345"/>
      <c r="S14" s="345"/>
      <c r="T14" s="345"/>
      <c r="U14" s="345"/>
      <c r="V14" s="345"/>
      <c r="W14" s="347"/>
      <c r="X14" s="348">
        <v>1700</v>
      </c>
      <c r="Y14" s="348"/>
      <c r="Z14" s="348"/>
      <c r="AA14" s="348"/>
      <c r="AB14" s="348"/>
      <c r="AC14" s="348"/>
      <c r="AD14" s="348"/>
      <c r="AE14" s="348"/>
      <c r="AF14" s="348">
        <v>1105</v>
      </c>
      <c r="AG14" s="348"/>
      <c r="AH14" s="348"/>
      <c r="AI14" s="348"/>
      <c r="AJ14" s="348"/>
      <c r="AK14" s="348"/>
      <c r="AL14" s="348">
        <v>700</v>
      </c>
      <c r="AM14" s="348">
        <v>760</v>
      </c>
      <c r="AN14" s="348"/>
      <c r="AO14" s="348"/>
      <c r="AP14" s="348"/>
      <c r="AQ14" s="348"/>
      <c r="AR14" s="348"/>
      <c r="AS14" s="348"/>
      <c r="AT14" s="347">
        <f>AU14</f>
        <v>44215</v>
      </c>
      <c r="AU14" s="348">
        <v>44215</v>
      </c>
      <c r="AV14" s="348"/>
      <c r="AW14" s="348"/>
      <c r="AX14" s="348"/>
      <c r="AY14" s="348"/>
      <c r="AZ14" s="347"/>
      <c r="BA14" s="348"/>
      <c r="BB14" s="348"/>
      <c r="BC14" s="348"/>
      <c r="BD14" s="348"/>
      <c r="BE14" s="348"/>
      <c r="BF14" s="348"/>
      <c r="BG14" s="347"/>
      <c r="BH14" s="348"/>
      <c r="BI14" s="348"/>
      <c r="BJ14" s="349"/>
      <c r="BK14" s="348"/>
      <c r="BL14" s="348"/>
      <c r="BM14" s="348"/>
      <c r="BN14" s="348"/>
      <c r="BO14" s="348"/>
      <c r="BP14" s="348"/>
      <c r="BQ14" s="348"/>
      <c r="BR14" s="348"/>
      <c r="BS14" s="347"/>
      <c r="BT14" s="348"/>
      <c r="BU14" s="348"/>
      <c r="BV14" s="347"/>
      <c r="BW14" s="347"/>
      <c r="BX14" s="347">
        <v>275</v>
      </c>
      <c r="BY14" s="352"/>
      <c r="BZ14" s="352"/>
      <c r="CA14" s="352"/>
      <c r="CB14" s="352"/>
      <c r="CC14" s="352"/>
      <c r="CD14" s="352"/>
      <c r="CE14" s="352"/>
      <c r="CF14" s="352"/>
      <c r="CG14" s="352"/>
      <c r="CH14" s="352"/>
      <c r="CI14" s="352"/>
      <c r="CJ14" s="352"/>
      <c r="CK14" s="352"/>
      <c r="CL14" s="352"/>
      <c r="CM14" s="352"/>
      <c r="CN14" s="352"/>
    </row>
    <row r="15" spans="1:92" ht="11.25" customHeight="1" x14ac:dyDescent="0.25">
      <c r="A15" s="341" t="s">
        <v>154</v>
      </c>
      <c r="B15" s="342" t="s">
        <v>156</v>
      </c>
      <c r="C15" s="342"/>
      <c r="D15" s="342"/>
      <c r="E15" s="342"/>
      <c r="F15" s="343" t="s">
        <v>157</v>
      </c>
      <c r="G15" s="343"/>
      <c r="H15" s="353"/>
      <c r="I15" s="354"/>
      <c r="J15" s="353"/>
      <c r="K15" s="353"/>
      <c r="L15" s="353"/>
      <c r="M15" s="353"/>
      <c r="N15" s="353"/>
      <c r="O15" s="353"/>
      <c r="P15" s="353"/>
      <c r="Q15" s="353"/>
      <c r="R15" s="353"/>
      <c r="S15" s="353"/>
      <c r="T15" s="353"/>
      <c r="U15" s="353"/>
      <c r="V15" s="353"/>
      <c r="W15" s="347"/>
      <c r="X15" s="348"/>
      <c r="Y15" s="348"/>
      <c r="Z15" s="348"/>
      <c r="AA15" s="348"/>
      <c r="AB15" s="348"/>
      <c r="AC15" s="348"/>
      <c r="AD15" s="348"/>
      <c r="AE15" s="348"/>
      <c r="AF15" s="348"/>
      <c r="AG15" s="348"/>
      <c r="AH15" s="348"/>
      <c r="AI15" s="348"/>
      <c r="AJ15" s="348"/>
      <c r="AK15" s="348"/>
      <c r="AL15" s="348"/>
      <c r="AM15" s="348"/>
      <c r="AN15" s="348"/>
      <c r="AO15" s="348"/>
      <c r="AP15" s="348"/>
      <c r="AQ15" s="348"/>
      <c r="AR15" s="348"/>
      <c r="AS15" s="348"/>
      <c r="AT15" s="347"/>
      <c r="AU15" s="348"/>
      <c r="AV15" s="348"/>
      <c r="AW15" s="348"/>
      <c r="AX15" s="348"/>
      <c r="AY15" s="348"/>
      <c r="AZ15" s="347"/>
      <c r="BA15" s="348"/>
      <c r="BB15" s="348"/>
      <c r="BC15" s="348"/>
      <c r="BD15" s="348"/>
      <c r="BE15" s="348"/>
      <c r="BF15" s="348"/>
      <c r="BG15" s="347"/>
      <c r="BH15" s="348"/>
      <c r="BI15" s="348"/>
      <c r="BJ15" s="349"/>
      <c r="BK15" s="348"/>
      <c r="BL15" s="348"/>
      <c r="BM15" s="348"/>
      <c r="BN15" s="348"/>
      <c r="BO15" s="348"/>
      <c r="BP15" s="348"/>
      <c r="BQ15" s="348"/>
      <c r="BR15" s="348"/>
      <c r="BS15" s="347"/>
      <c r="BT15" s="348"/>
      <c r="BU15" s="348"/>
      <c r="BV15" s="347"/>
      <c r="BW15" s="347"/>
      <c r="BX15" s="347"/>
    </row>
    <row r="16" spans="1:92" ht="11.25" customHeight="1" x14ac:dyDescent="0.25">
      <c r="A16" s="355" t="s">
        <v>154</v>
      </c>
      <c r="B16" s="356" t="s">
        <v>158</v>
      </c>
      <c r="C16" s="356"/>
      <c r="D16" s="356"/>
      <c r="E16" s="356"/>
      <c r="F16" s="357" t="s">
        <v>159</v>
      </c>
      <c r="G16" s="357"/>
      <c r="H16" s="358"/>
      <c r="I16" s="359"/>
      <c r="J16" s="358"/>
      <c r="K16" s="358"/>
      <c r="L16" s="358"/>
      <c r="M16" s="358"/>
      <c r="N16" s="358"/>
      <c r="O16" s="358"/>
      <c r="P16" s="358"/>
      <c r="Q16" s="358"/>
      <c r="R16" s="358"/>
      <c r="S16" s="358"/>
      <c r="T16" s="358"/>
      <c r="U16" s="358"/>
      <c r="V16" s="358"/>
      <c r="W16" s="360"/>
      <c r="X16" s="361"/>
      <c r="Y16" s="361">
        <v>655</v>
      </c>
      <c r="Z16" s="361"/>
      <c r="AA16" s="361"/>
      <c r="AB16" s="361"/>
      <c r="AC16" s="361"/>
      <c r="AD16" s="361"/>
      <c r="AE16" s="361"/>
      <c r="AF16" s="361"/>
      <c r="AG16" s="361"/>
      <c r="AH16" s="361"/>
      <c r="AI16" s="361"/>
      <c r="AJ16" s="361"/>
      <c r="AK16" s="361"/>
      <c r="AL16" s="361"/>
      <c r="AM16" s="361"/>
      <c r="AN16" s="361"/>
      <c r="AO16" s="361"/>
      <c r="AP16" s="361"/>
      <c r="AQ16" s="361"/>
      <c r="AR16" s="361"/>
      <c r="AS16" s="361"/>
      <c r="AT16" s="360"/>
      <c r="AU16" s="361"/>
      <c r="AV16" s="361"/>
      <c r="AW16" s="361"/>
      <c r="AX16" s="361"/>
      <c r="AY16" s="361"/>
      <c r="AZ16" s="360"/>
      <c r="BA16" s="361"/>
      <c r="BB16" s="361"/>
      <c r="BC16" s="361"/>
      <c r="BD16" s="361"/>
      <c r="BE16" s="361"/>
      <c r="BF16" s="361"/>
      <c r="BG16" s="360"/>
      <c r="BH16" s="361"/>
      <c r="BI16" s="361"/>
      <c r="BJ16" s="362"/>
      <c r="BK16" s="361"/>
      <c r="BL16" s="361"/>
      <c r="BM16" s="361"/>
      <c r="BN16" s="361"/>
      <c r="BO16" s="361"/>
      <c r="BP16" s="361"/>
      <c r="BQ16" s="361"/>
      <c r="BR16" s="361"/>
      <c r="BS16" s="360"/>
      <c r="BT16" s="361"/>
      <c r="BU16" s="361"/>
      <c r="BV16" s="360"/>
      <c r="BW16" s="360"/>
      <c r="BX16" s="360"/>
    </row>
    <row r="17" spans="1:76" ht="11.25" customHeight="1" x14ac:dyDescent="0.25">
      <c r="A17" s="363" t="s">
        <v>301</v>
      </c>
      <c r="B17" s="363"/>
      <c r="C17" s="363"/>
      <c r="D17" s="363"/>
      <c r="E17" s="363"/>
      <c r="F17" s="364" t="s">
        <v>302</v>
      </c>
      <c r="G17" s="364"/>
      <c r="H17" s="365"/>
      <c r="I17" s="366"/>
      <c r="J17" s="365"/>
      <c r="K17" s="365"/>
      <c r="L17" s="365"/>
      <c r="M17" s="365"/>
      <c r="N17" s="365"/>
      <c r="O17" s="365"/>
      <c r="P17" s="365"/>
      <c r="Q17" s="365"/>
      <c r="R17" s="365"/>
      <c r="S17" s="365"/>
      <c r="T17" s="365"/>
      <c r="U17" s="365"/>
      <c r="V17" s="365"/>
      <c r="W17" s="367">
        <f>W4-W14+W12+W13-W16</f>
        <v>11243</v>
      </c>
      <c r="X17" s="368">
        <f>X4-X14+X12+X13-X16</f>
        <v>8600</v>
      </c>
      <c r="Y17" s="368">
        <f>Y4-Y14+Y12+Y13-Y16</f>
        <v>288</v>
      </c>
      <c r="Z17" s="369"/>
      <c r="AA17" s="369"/>
      <c r="AB17" s="369"/>
      <c r="AC17" s="369"/>
      <c r="AD17" s="369"/>
      <c r="AE17" s="369"/>
      <c r="AF17" s="369"/>
      <c r="AG17" s="369"/>
      <c r="AH17" s="369"/>
      <c r="AI17" s="369"/>
      <c r="AJ17" s="369"/>
      <c r="AK17" s="369"/>
      <c r="AL17" s="369"/>
      <c r="AM17" s="369"/>
      <c r="AN17" s="369"/>
      <c r="AO17" s="369"/>
      <c r="AP17" s="369"/>
      <c r="AQ17" s="369"/>
      <c r="AR17" s="369"/>
      <c r="AS17" s="369"/>
      <c r="AT17" s="367">
        <f>AT4-AT14+AT12+AT13-AT16</f>
        <v>21345</v>
      </c>
      <c r="AU17" s="368">
        <f>AT17</f>
        <v>21345</v>
      </c>
      <c r="AV17" s="369"/>
      <c r="AW17" s="369"/>
      <c r="AX17" s="369"/>
      <c r="AY17" s="369"/>
      <c r="AZ17" s="367"/>
      <c r="BA17" s="369"/>
      <c r="BB17" s="369"/>
      <c r="BC17" s="369"/>
      <c r="BD17" s="369"/>
      <c r="BE17" s="369"/>
      <c r="BF17" s="369"/>
      <c r="BG17" s="367"/>
      <c r="BH17" s="369"/>
      <c r="BI17" s="369"/>
      <c r="BJ17" s="370"/>
      <c r="BK17" s="369"/>
      <c r="BL17" s="369"/>
      <c r="BM17" s="369"/>
      <c r="BN17" s="369"/>
      <c r="BO17" s="369"/>
      <c r="BP17" s="369"/>
      <c r="BQ17" s="369"/>
      <c r="BR17" s="369"/>
      <c r="BS17" s="367"/>
      <c r="BT17" s="369"/>
      <c r="BU17" s="369"/>
      <c r="BV17" s="367"/>
      <c r="BW17" s="367"/>
      <c r="BX17" s="367"/>
    </row>
    <row r="18" spans="1:76" ht="11.25" customHeight="1" x14ac:dyDescent="0.25">
      <c r="A18" s="363" t="s">
        <v>303</v>
      </c>
      <c r="B18" s="363"/>
      <c r="C18" s="363"/>
      <c r="D18" s="363"/>
      <c r="E18" s="363"/>
      <c r="F18" s="364" t="s">
        <v>304</v>
      </c>
      <c r="G18" s="364"/>
      <c r="H18" s="365"/>
      <c r="I18" s="366"/>
      <c r="J18" s="365"/>
      <c r="K18" s="365"/>
      <c r="L18" s="365"/>
      <c r="M18" s="365"/>
      <c r="N18" s="365"/>
      <c r="O18" s="365"/>
      <c r="P18" s="365"/>
      <c r="Q18" s="365"/>
      <c r="R18" s="365"/>
      <c r="S18" s="365"/>
      <c r="T18" s="365"/>
      <c r="U18" s="365"/>
      <c r="V18" s="365"/>
      <c r="W18" s="367"/>
      <c r="X18" s="369"/>
      <c r="Y18" s="369"/>
      <c r="Z18" s="369"/>
      <c r="AA18" s="369"/>
      <c r="AB18" s="369"/>
      <c r="AC18" s="369"/>
      <c r="AD18" s="369"/>
      <c r="AE18" s="369"/>
      <c r="AF18" s="369"/>
      <c r="AG18" s="369"/>
      <c r="AH18" s="369"/>
      <c r="AI18" s="369"/>
      <c r="AJ18" s="369"/>
      <c r="AK18" s="369"/>
      <c r="AL18" s="369"/>
      <c r="AM18" s="369"/>
      <c r="AN18" s="369"/>
      <c r="AO18" s="369"/>
      <c r="AP18" s="369"/>
      <c r="AQ18" s="369"/>
      <c r="AR18" s="369"/>
      <c r="AS18" s="369"/>
      <c r="AT18" s="367"/>
      <c r="AU18" s="369"/>
      <c r="AV18" s="369"/>
      <c r="AW18" s="369"/>
      <c r="AX18" s="369"/>
      <c r="AY18" s="369"/>
      <c r="AZ18" s="367"/>
      <c r="BA18" s="369"/>
      <c r="BB18" s="369"/>
      <c r="BC18" s="369"/>
      <c r="BD18" s="369"/>
      <c r="BE18" s="369"/>
      <c r="BF18" s="369"/>
      <c r="BG18" s="367"/>
      <c r="BH18" s="369"/>
      <c r="BI18" s="369"/>
      <c r="BJ18" s="370"/>
      <c r="BK18" s="369"/>
      <c r="BL18" s="369"/>
      <c r="BM18" s="369"/>
      <c r="BN18" s="369"/>
      <c r="BO18" s="369"/>
      <c r="BP18" s="369"/>
      <c r="BQ18" s="369"/>
      <c r="BR18" s="369"/>
      <c r="BS18" s="367"/>
      <c r="BT18" s="369"/>
      <c r="BU18" s="369"/>
      <c r="BV18" s="367"/>
      <c r="BW18" s="367"/>
      <c r="BX18" s="367"/>
    </row>
    <row r="19" spans="1:76" ht="11.25" customHeight="1" x14ac:dyDescent="0.25">
      <c r="A19" s="371" t="s">
        <v>133</v>
      </c>
      <c r="B19" s="372" t="s">
        <v>305</v>
      </c>
      <c r="C19" s="372"/>
      <c r="D19" s="372"/>
      <c r="E19" s="372"/>
      <c r="F19" s="373" t="s">
        <v>306</v>
      </c>
      <c r="G19" s="373"/>
      <c r="H19" s="374"/>
      <c r="I19" s="375"/>
      <c r="J19" s="374"/>
      <c r="K19" s="374"/>
      <c r="L19" s="374"/>
      <c r="M19" s="374"/>
      <c r="N19" s="374"/>
      <c r="O19" s="374"/>
      <c r="P19" s="374"/>
      <c r="Q19" s="374"/>
      <c r="R19" s="374"/>
      <c r="S19" s="374"/>
      <c r="T19" s="374"/>
      <c r="U19" s="374"/>
      <c r="V19" s="374"/>
      <c r="W19" s="376"/>
      <c r="X19" s="377"/>
      <c r="Y19" s="377"/>
      <c r="Z19" s="377"/>
      <c r="AA19" s="377"/>
      <c r="AB19" s="377"/>
      <c r="AC19" s="377"/>
      <c r="AD19" s="377"/>
      <c r="AE19" s="377"/>
      <c r="AF19" s="377"/>
      <c r="AG19" s="377"/>
      <c r="AH19" s="377"/>
      <c r="AI19" s="377"/>
      <c r="AJ19" s="377"/>
      <c r="AK19" s="377"/>
      <c r="AL19" s="377"/>
      <c r="AM19" s="377"/>
      <c r="AN19" s="377"/>
      <c r="AO19" s="377"/>
      <c r="AP19" s="377"/>
      <c r="AQ19" s="377"/>
      <c r="AR19" s="377"/>
      <c r="AS19" s="377"/>
      <c r="AT19" s="376"/>
      <c r="AU19" s="377"/>
      <c r="AV19" s="377"/>
      <c r="AW19" s="377"/>
      <c r="AX19" s="377"/>
      <c r="AY19" s="377"/>
      <c r="AZ19" s="376"/>
      <c r="BA19" s="377"/>
      <c r="BB19" s="377"/>
      <c r="BC19" s="377"/>
      <c r="BD19" s="377"/>
      <c r="BE19" s="377"/>
      <c r="BF19" s="377"/>
      <c r="BG19" s="376"/>
      <c r="BH19" s="377"/>
      <c r="BI19" s="377"/>
      <c r="BJ19" s="378"/>
      <c r="BK19" s="377"/>
      <c r="BL19" s="377"/>
      <c r="BM19" s="377"/>
      <c r="BN19" s="377"/>
      <c r="BO19" s="377"/>
      <c r="BP19" s="377"/>
      <c r="BQ19" s="377"/>
      <c r="BR19" s="377"/>
      <c r="BS19" s="376"/>
      <c r="BT19" s="377"/>
      <c r="BU19" s="377"/>
      <c r="BV19" s="376"/>
      <c r="BW19" s="376"/>
      <c r="BX19" s="376"/>
    </row>
    <row r="20" spans="1:76" ht="11.25" customHeight="1" x14ac:dyDescent="0.25">
      <c r="A20" s="350"/>
      <c r="B20" s="341" t="s">
        <v>133</v>
      </c>
      <c r="C20" s="342" t="s">
        <v>307</v>
      </c>
      <c r="D20" s="342"/>
      <c r="E20" s="342"/>
      <c r="F20" s="343" t="s">
        <v>308</v>
      </c>
      <c r="G20" s="343"/>
      <c r="H20" s="353"/>
      <c r="I20" s="354"/>
      <c r="J20" s="353"/>
      <c r="K20" s="353"/>
      <c r="L20" s="353"/>
      <c r="M20" s="353"/>
      <c r="N20" s="353"/>
      <c r="O20" s="353"/>
      <c r="P20" s="353"/>
      <c r="Q20" s="353"/>
      <c r="R20" s="353"/>
      <c r="S20" s="353"/>
      <c r="T20" s="353"/>
      <c r="U20" s="353"/>
      <c r="V20" s="353"/>
      <c r="W20" s="347"/>
      <c r="X20" s="348"/>
      <c r="Y20" s="348"/>
      <c r="Z20" s="348"/>
      <c r="AA20" s="348"/>
      <c r="AB20" s="348"/>
      <c r="AC20" s="348"/>
      <c r="AD20" s="348"/>
      <c r="AE20" s="348"/>
      <c r="AF20" s="348"/>
      <c r="AG20" s="348"/>
      <c r="AH20" s="348"/>
      <c r="AI20" s="348"/>
      <c r="AJ20" s="348"/>
      <c r="AK20" s="348"/>
      <c r="AL20" s="348"/>
      <c r="AM20" s="348"/>
      <c r="AN20" s="348"/>
      <c r="AO20" s="348"/>
      <c r="AP20" s="348"/>
      <c r="AQ20" s="348"/>
      <c r="AR20" s="348"/>
      <c r="AS20" s="348"/>
      <c r="AT20" s="347"/>
      <c r="AU20" s="348"/>
      <c r="AV20" s="348"/>
      <c r="AW20" s="348"/>
      <c r="AX20" s="348"/>
      <c r="AY20" s="348"/>
      <c r="AZ20" s="347"/>
      <c r="BA20" s="348"/>
      <c r="BB20" s="348"/>
      <c r="BC20" s="348"/>
      <c r="BD20" s="348"/>
      <c r="BE20" s="348"/>
      <c r="BF20" s="348"/>
      <c r="BG20" s="347"/>
      <c r="BH20" s="348"/>
      <c r="BI20" s="348"/>
      <c r="BJ20" s="349"/>
      <c r="BK20" s="348"/>
      <c r="BL20" s="348"/>
      <c r="BM20" s="348"/>
      <c r="BN20" s="348"/>
      <c r="BO20" s="348"/>
      <c r="BP20" s="348"/>
      <c r="BQ20" s="348"/>
      <c r="BR20" s="348"/>
      <c r="BS20" s="347"/>
      <c r="BT20" s="348"/>
      <c r="BU20" s="348"/>
      <c r="BV20" s="347"/>
      <c r="BW20" s="347"/>
      <c r="BX20" s="347"/>
    </row>
    <row r="21" spans="1:76" ht="11.25" customHeight="1" x14ac:dyDescent="0.25">
      <c r="A21" s="350"/>
      <c r="B21" s="341"/>
      <c r="C21" s="341" t="s">
        <v>133</v>
      </c>
      <c r="D21" s="342" t="s">
        <v>309</v>
      </c>
      <c r="E21" s="342"/>
      <c r="F21" s="343" t="s">
        <v>310</v>
      </c>
      <c r="G21" s="343"/>
      <c r="H21" s="353"/>
      <c r="I21" s="354"/>
      <c r="J21" s="353"/>
      <c r="K21" s="353"/>
      <c r="L21" s="353"/>
      <c r="M21" s="353"/>
      <c r="N21" s="353"/>
      <c r="O21" s="353"/>
      <c r="P21" s="353"/>
      <c r="Q21" s="353"/>
      <c r="R21" s="353"/>
      <c r="S21" s="353"/>
      <c r="T21" s="353"/>
      <c r="U21" s="353"/>
      <c r="V21" s="353"/>
      <c r="W21" s="347"/>
      <c r="X21" s="348"/>
      <c r="Y21" s="348"/>
      <c r="Z21" s="348"/>
      <c r="AA21" s="348"/>
      <c r="AB21" s="348"/>
      <c r="AC21" s="348"/>
      <c r="AD21" s="348"/>
      <c r="AE21" s="348"/>
      <c r="AF21" s="348"/>
      <c r="AG21" s="348"/>
      <c r="AH21" s="348"/>
      <c r="AI21" s="348"/>
      <c r="AJ21" s="348"/>
      <c r="AK21" s="348"/>
      <c r="AL21" s="348"/>
      <c r="AM21" s="348"/>
      <c r="AN21" s="348"/>
      <c r="AO21" s="348"/>
      <c r="AP21" s="348"/>
      <c r="AQ21" s="348"/>
      <c r="AR21" s="348"/>
      <c r="AS21" s="348"/>
      <c r="AT21" s="347"/>
      <c r="AU21" s="348"/>
      <c r="AV21" s="348"/>
      <c r="AW21" s="348"/>
      <c r="AX21" s="348"/>
      <c r="AY21" s="348"/>
      <c r="AZ21" s="347"/>
      <c r="BA21" s="348"/>
      <c r="BB21" s="348"/>
      <c r="BC21" s="348"/>
      <c r="BD21" s="348"/>
      <c r="BE21" s="348"/>
      <c r="BF21" s="348"/>
      <c r="BG21" s="347"/>
      <c r="BH21" s="348"/>
      <c r="BI21" s="348"/>
      <c r="BJ21" s="349"/>
      <c r="BK21" s="348"/>
      <c r="BL21" s="348"/>
      <c r="BM21" s="348"/>
      <c r="BN21" s="348"/>
      <c r="BO21" s="348"/>
      <c r="BP21" s="348"/>
      <c r="BQ21" s="348"/>
      <c r="BR21" s="348"/>
      <c r="BS21" s="347"/>
      <c r="BT21" s="348"/>
      <c r="BU21" s="348"/>
      <c r="BV21" s="347"/>
      <c r="BW21" s="347"/>
      <c r="BX21" s="347"/>
    </row>
    <row r="22" spans="1:76" ht="11.25" customHeight="1" x14ac:dyDescent="0.25">
      <c r="A22" s="350"/>
      <c r="B22" s="341"/>
      <c r="C22" s="341" t="s">
        <v>133</v>
      </c>
      <c r="D22" s="342" t="s">
        <v>311</v>
      </c>
      <c r="E22" s="342"/>
      <c r="F22" s="343" t="s">
        <v>312</v>
      </c>
      <c r="G22" s="343"/>
      <c r="H22" s="353"/>
      <c r="I22" s="354"/>
      <c r="J22" s="353"/>
      <c r="K22" s="353"/>
      <c r="L22" s="353"/>
      <c r="M22" s="353"/>
      <c r="N22" s="353"/>
      <c r="O22" s="353"/>
      <c r="P22" s="353"/>
      <c r="Q22" s="353"/>
      <c r="R22" s="353"/>
      <c r="S22" s="353"/>
      <c r="T22" s="353"/>
      <c r="U22" s="353"/>
      <c r="V22" s="353"/>
      <c r="W22" s="347"/>
      <c r="X22" s="348"/>
      <c r="Y22" s="348"/>
      <c r="Z22" s="348"/>
      <c r="AA22" s="348"/>
      <c r="AB22" s="348"/>
      <c r="AC22" s="348"/>
      <c r="AD22" s="348"/>
      <c r="AE22" s="348"/>
      <c r="AF22" s="348"/>
      <c r="AG22" s="348"/>
      <c r="AH22" s="348"/>
      <c r="AI22" s="348"/>
      <c r="AJ22" s="348"/>
      <c r="AK22" s="348"/>
      <c r="AL22" s="348"/>
      <c r="AM22" s="348"/>
      <c r="AN22" s="348"/>
      <c r="AO22" s="348"/>
      <c r="AP22" s="348"/>
      <c r="AQ22" s="348"/>
      <c r="AR22" s="348"/>
      <c r="AS22" s="348"/>
      <c r="AT22" s="347"/>
      <c r="AU22" s="348"/>
      <c r="AV22" s="348"/>
      <c r="AW22" s="348"/>
      <c r="AX22" s="348"/>
      <c r="AY22" s="348"/>
      <c r="AZ22" s="347"/>
      <c r="BA22" s="348"/>
      <c r="BB22" s="348"/>
      <c r="BC22" s="348"/>
      <c r="BD22" s="348"/>
      <c r="BE22" s="348"/>
      <c r="BF22" s="348"/>
      <c r="BG22" s="347"/>
      <c r="BH22" s="348"/>
      <c r="BI22" s="348"/>
      <c r="BJ22" s="349"/>
      <c r="BK22" s="348"/>
      <c r="BL22" s="348"/>
      <c r="BM22" s="348"/>
      <c r="BN22" s="348"/>
      <c r="BO22" s="348"/>
      <c r="BP22" s="348"/>
      <c r="BQ22" s="348"/>
      <c r="BR22" s="348"/>
      <c r="BS22" s="347"/>
      <c r="BT22" s="348"/>
      <c r="BU22" s="348"/>
      <c r="BV22" s="347"/>
      <c r="BW22" s="347"/>
      <c r="BX22" s="347"/>
    </row>
    <row r="23" spans="1:76" ht="11.25" customHeight="1" x14ac:dyDescent="0.25">
      <c r="A23" s="350"/>
      <c r="B23" s="341" t="s">
        <v>133</v>
      </c>
      <c r="C23" s="342" t="s">
        <v>313</v>
      </c>
      <c r="D23" s="342"/>
      <c r="E23" s="342"/>
      <c r="F23" s="343" t="s">
        <v>314</v>
      </c>
      <c r="G23" s="343"/>
      <c r="H23" s="353"/>
      <c r="I23" s="354"/>
      <c r="J23" s="353"/>
      <c r="K23" s="353"/>
      <c r="L23" s="353"/>
      <c r="M23" s="353"/>
      <c r="N23" s="353"/>
      <c r="O23" s="353"/>
      <c r="P23" s="353"/>
      <c r="Q23" s="353"/>
      <c r="R23" s="353"/>
      <c r="S23" s="353"/>
      <c r="T23" s="353"/>
      <c r="U23" s="353"/>
      <c r="V23" s="353"/>
      <c r="W23" s="347"/>
      <c r="X23" s="348"/>
      <c r="Y23" s="348"/>
      <c r="Z23" s="348"/>
      <c r="AA23" s="348"/>
      <c r="AB23" s="348"/>
      <c r="AC23" s="348"/>
      <c r="AD23" s="348"/>
      <c r="AE23" s="348"/>
      <c r="AF23" s="348"/>
      <c r="AG23" s="348"/>
      <c r="AH23" s="348"/>
      <c r="AI23" s="348"/>
      <c r="AJ23" s="348"/>
      <c r="AK23" s="348"/>
      <c r="AL23" s="348"/>
      <c r="AM23" s="348"/>
      <c r="AN23" s="348"/>
      <c r="AO23" s="348"/>
      <c r="AP23" s="348"/>
      <c r="AQ23" s="348"/>
      <c r="AR23" s="348"/>
      <c r="AS23" s="348"/>
      <c r="AT23" s="347"/>
      <c r="AU23" s="348"/>
      <c r="AV23" s="348"/>
      <c r="AW23" s="348"/>
      <c r="AX23" s="348"/>
      <c r="AY23" s="348"/>
      <c r="AZ23" s="347"/>
      <c r="BA23" s="348"/>
      <c r="BB23" s="348"/>
      <c r="BC23" s="348"/>
      <c r="BD23" s="348"/>
      <c r="BE23" s="348"/>
      <c r="BF23" s="348"/>
      <c r="BG23" s="347"/>
      <c r="BH23" s="348"/>
      <c r="BI23" s="348"/>
      <c r="BJ23" s="349"/>
      <c r="BK23" s="348"/>
      <c r="BL23" s="348"/>
      <c r="BM23" s="348"/>
      <c r="BN23" s="348"/>
      <c r="BO23" s="348"/>
      <c r="BP23" s="348"/>
      <c r="BQ23" s="348"/>
      <c r="BR23" s="348"/>
      <c r="BS23" s="347"/>
      <c r="BT23" s="348"/>
      <c r="BU23" s="348"/>
      <c r="BV23" s="347"/>
      <c r="BW23" s="347"/>
      <c r="BX23" s="347"/>
    </row>
    <row r="24" spans="1:76" ht="11.25" customHeight="1" x14ac:dyDescent="0.25">
      <c r="A24" s="350"/>
      <c r="B24" s="341"/>
      <c r="C24" s="341" t="s">
        <v>133</v>
      </c>
      <c r="D24" s="342" t="s">
        <v>315</v>
      </c>
      <c r="E24" s="342"/>
      <c r="F24" s="343" t="s">
        <v>316</v>
      </c>
      <c r="G24" s="343"/>
      <c r="H24" s="353"/>
      <c r="I24" s="354"/>
      <c r="J24" s="353"/>
      <c r="K24" s="353"/>
      <c r="L24" s="353"/>
      <c r="M24" s="353"/>
      <c r="N24" s="353"/>
      <c r="O24" s="353"/>
      <c r="P24" s="353"/>
      <c r="Q24" s="353"/>
      <c r="R24" s="353"/>
      <c r="S24" s="353"/>
      <c r="T24" s="353"/>
      <c r="U24" s="353"/>
      <c r="V24" s="353"/>
      <c r="W24" s="347"/>
      <c r="X24" s="348"/>
      <c r="Y24" s="348"/>
      <c r="Z24" s="348"/>
      <c r="AA24" s="348"/>
      <c r="AB24" s="348"/>
      <c r="AC24" s="348"/>
      <c r="AD24" s="348"/>
      <c r="AE24" s="348"/>
      <c r="AF24" s="348"/>
      <c r="AG24" s="348"/>
      <c r="AH24" s="348"/>
      <c r="AI24" s="348"/>
      <c r="AJ24" s="348"/>
      <c r="AK24" s="348"/>
      <c r="AL24" s="348"/>
      <c r="AM24" s="348"/>
      <c r="AN24" s="348"/>
      <c r="AO24" s="348"/>
      <c r="AP24" s="348"/>
      <c r="AQ24" s="348"/>
      <c r="AR24" s="348"/>
      <c r="AS24" s="348"/>
      <c r="AT24" s="347"/>
      <c r="AU24" s="348"/>
      <c r="AV24" s="348"/>
      <c r="AW24" s="348"/>
      <c r="AX24" s="348"/>
      <c r="AY24" s="348"/>
      <c r="AZ24" s="347"/>
      <c r="BA24" s="348"/>
      <c r="BB24" s="348"/>
      <c r="BC24" s="348"/>
      <c r="BD24" s="348"/>
      <c r="BE24" s="348"/>
      <c r="BF24" s="348"/>
      <c r="BG24" s="347"/>
      <c r="BH24" s="348"/>
      <c r="BI24" s="348"/>
      <c r="BJ24" s="349"/>
      <c r="BK24" s="348"/>
      <c r="BL24" s="348"/>
      <c r="BM24" s="348"/>
      <c r="BN24" s="348"/>
      <c r="BO24" s="348"/>
      <c r="BP24" s="348"/>
      <c r="BQ24" s="348"/>
      <c r="BR24" s="348"/>
      <c r="BS24" s="347"/>
      <c r="BT24" s="348"/>
      <c r="BU24" s="348"/>
      <c r="BV24" s="347"/>
      <c r="BW24" s="347"/>
      <c r="BX24" s="347"/>
    </row>
    <row r="25" spans="1:76" ht="11.25" customHeight="1" x14ac:dyDescent="0.25">
      <c r="A25" s="350"/>
      <c r="B25" s="341"/>
      <c r="C25" s="341" t="s">
        <v>133</v>
      </c>
      <c r="D25" s="342" t="s">
        <v>317</v>
      </c>
      <c r="E25" s="342"/>
      <c r="F25" s="343" t="s">
        <v>318</v>
      </c>
      <c r="G25" s="343"/>
      <c r="H25" s="353"/>
      <c r="I25" s="354"/>
      <c r="J25" s="353"/>
      <c r="K25" s="353"/>
      <c r="L25" s="353"/>
      <c r="M25" s="353"/>
      <c r="N25" s="353"/>
      <c r="O25" s="353"/>
      <c r="P25" s="353"/>
      <c r="Q25" s="353"/>
      <c r="R25" s="353"/>
      <c r="S25" s="353"/>
      <c r="T25" s="353"/>
      <c r="U25" s="353"/>
      <c r="V25" s="353"/>
      <c r="W25" s="347"/>
      <c r="X25" s="348"/>
      <c r="Y25" s="348"/>
      <c r="Z25" s="348"/>
      <c r="AA25" s="348"/>
      <c r="AB25" s="348"/>
      <c r="AC25" s="348"/>
      <c r="AD25" s="348"/>
      <c r="AE25" s="348"/>
      <c r="AF25" s="348"/>
      <c r="AG25" s="348"/>
      <c r="AH25" s="348"/>
      <c r="AI25" s="348"/>
      <c r="AJ25" s="348"/>
      <c r="AK25" s="348"/>
      <c r="AL25" s="348"/>
      <c r="AM25" s="348"/>
      <c r="AN25" s="348"/>
      <c r="AO25" s="348"/>
      <c r="AP25" s="348"/>
      <c r="AQ25" s="348"/>
      <c r="AR25" s="348"/>
      <c r="AS25" s="348"/>
      <c r="AT25" s="347"/>
      <c r="AU25" s="348"/>
      <c r="AV25" s="348"/>
      <c r="AW25" s="348"/>
      <c r="AX25" s="348"/>
      <c r="AY25" s="348"/>
      <c r="AZ25" s="347"/>
      <c r="BA25" s="348"/>
      <c r="BB25" s="348"/>
      <c r="BC25" s="348"/>
      <c r="BD25" s="348"/>
      <c r="BE25" s="348"/>
      <c r="BF25" s="348"/>
      <c r="BG25" s="347"/>
      <c r="BH25" s="348"/>
      <c r="BI25" s="348"/>
      <c r="BJ25" s="349"/>
      <c r="BK25" s="348"/>
      <c r="BL25" s="348"/>
      <c r="BM25" s="348"/>
      <c r="BN25" s="348"/>
      <c r="BO25" s="348"/>
      <c r="BP25" s="348"/>
      <c r="BQ25" s="348"/>
      <c r="BR25" s="348"/>
      <c r="BS25" s="347"/>
      <c r="BT25" s="348"/>
      <c r="BU25" s="348"/>
      <c r="BV25" s="347"/>
      <c r="BW25" s="347"/>
      <c r="BX25" s="347"/>
    </row>
    <row r="26" spans="1:76" ht="11.25" customHeight="1" x14ac:dyDescent="0.25">
      <c r="A26" s="350"/>
      <c r="B26" s="341" t="s">
        <v>133</v>
      </c>
      <c r="C26" s="342" t="s">
        <v>319</v>
      </c>
      <c r="D26" s="342"/>
      <c r="E26" s="342"/>
      <c r="F26" s="343" t="s">
        <v>320</v>
      </c>
      <c r="G26" s="343"/>
      <c r="H26" s="353"/>
      <c r="I26" s="354"/>
      <c r="J26" s="353"/>
      <c r="K26" s="353"/>
      <c r="L26" s="353"/>
      <c r="M26" s="353"/>
      <c r="N26" s="353"/>
      <c r="O26" s="353"/>
      <c r="P26" s="353"/>
      <c r="Q26" s="353"/>
      <c r="R26" s="353"/>
      <c r="S26" s="353"/>
      <c r="T26" s="353"/>
      <c r="U26" s="353"/>
      <c r="V26" s="353"/>
      <c r="W26" s="347"/>
      <c r="X26" s="348"/>
      <c r="Y26" s="348"/>
      <c r="Z26" s="348"/>
      <c r="AA26" s="348"/>
      <c r="AB26" s="348"/>
      <c r="AC26" s="348"/>
      <c r="AD26" s="348"/>
      <c r="AE26" s="348"/>
      <c r="AF26" s="348"/>
      <c r="AG26" s="348"/>
      <c r="AH26" s="348"/>
      <c r="AI26" s="348"/>
      <c r="AJ26" s="348"/>
      <c r="AK26" s="348"/>
      <c r="AL26" s="348"/>
      <c r="AM26" s="348"/>
      <c r="AN26" s="348"/>
      <c r="AO26" s="348"/>
      <c r="AP26" s="348"/>
      <c r="AQ26" s="348"/>
      <c r="AR26" s="348"/>
      <c r="AS26" s="348"/>
      <c r="AT26" s="347"/>
      <c r="AU26" s="348"/>
      <c r="AV26" s="348"/>
      <c r="AW26" s="348"/>
      <c r="AX26" s="348"/>
      <c r="AY26" s="348"/>
      <c r="AZ26" s="347"/>
      <c r="BA26" s="348"/>
      <c r="BB26" s="348"/>
      <c r="BC26" s="348"/>
      <c r="BD26" s="348"/>
      <c r="BE26" s="348"/>
      <c r="BF26" s="348"/>
      <c r="BG26" s="347"/>
      <c r="BH26" s="348"/>
      <c r="BI26" s="348"/>
      <c r="BJ26" s="349"/>
      <c r="BK26" s="348"/>
      <c r="BL26" s="348"/>
      <c r="BM26" s="348"/>
      <c r="BN26" s="348"/>
      <c r="BO26" s="348"/>
      <c r="BP26" s="348"/>
      <c r="BQ26" s="348"/>
      <c r="BR26" s="348"/>
      <c r="BS26" s="347"/>
      <c r="BT26" s="348"/>
      <c r="BU26" s="348"/>
      <c r="BV26" s="347"/>
      <c r="BW26" s="347"/>
      <c r="BX26" s="347"/>
    </row>
    <row r="27" spans="1:76" ht="11.25" customHeight="1" x14ac:dyDescent="0.25">
      <c r="A27" s="341" t="s">
        <v>133</v>
      </c>
      <c r="B27" s="342" t="s">
        <v>321</v>
      </c>
      <c r="C27" s="342"/>
      <c r="D27" s="342"/>
      <c r="E27" s="342"/>
      <c r="F27" s="343" t="s">
        <v>322</v>
      </c>
      <c r="G27" s="343"/>
      <c r="H27" s="353"/>
      <c r="I27" s="354"/>
      <c r="J27" s="353"/>
      <c r="K27" s="353"/>
      <c r="L27" s="353"/>
      <c r="M27" s="353"/>
      <c r="N27" s="353"/>
      <c r="O27" s="353"/>
      <c r="P27" s="353"/>
      <c r="Q27" s="353"/>
      <c r="R27" s="353"/>
      <c r="S27" s="353"/>
      <c r="T27" s="353"/>
      <c r="U27" s="353"/>
      <c r="V27" s="353"/>
      <c r="W27" s="347"/>
      <c r="X27" s="348"/>
      <c r="Y27" s="348"/>
      <c r="Z27" s="348"/>
      <c r="AA27" s="348"/>
      <c r="AB27" s="348"/>
      <c r="AC27" s="348"/>
      <c r="AD27" s="348"/>
      <c r="AE27" s="348"/>
      <c r="AF27" s="348"/>
      <c r="AG27" s="348"/>
      <c r="AH27" s="348"/>
      <c r="AI27" s="348"/>
      <c r="AJ27" s="348"/>
      <c r="AK27" s="348"/>
      <c r="AL27" s="348"/>
      <c r="AM27" s="348"/>
      <c r="AN27" s="348"/>
      <c r="AO27" s="348"/>
      <c r="AP27" s="348"/>
      <c r="AQ27" s="348"/>
      <c r="AR27" s="348"/>
      <c r="AS27" s="348"/>
      <c r="AT27" s="347"/>
      <c r="AU27" s="348"/>
      <c r="AV27" s="348"/>
      <c r="AW27" s="348"/>
      <c r="AX27" s="348"/>
      <c r="AY27" s="348"/>
      <c r="AZ27" s="347"/>
      <c r="BA27" s="348"/>
      <c r="BB27" s="348"/>
      <c r="BC27" s="348"/>
      <c r="BD27" s="348"/>
      <c r="BE27" s="348"/>
      <c r="BF27" s="348"/>
      <c r="BG27" s="347"/>
      <c r="BH27" s="348"/>
      <c r="BI27" s="348"/>
      <c r="BJ27" s="349"/>
      <c r="BK27" s="348"/>
      <c r="BL27" s="348"/>
      <c r="BM27" s="348"/>
      <c r="BN27" s="348"/>
      <c r="BO27" s="348"/>
      <c r="BP27" s="348"/>
      <c r="BQ27" s="348"/>
      <c r="BR27" s="348"/>
      <c r="BS27" s="347"/>
      <c r="BT27" s="348"/>
      <c r="BU27" s="348"/>
      <c r="BV27" s="347"/>
      <c r="BW27" s="347"/>
      <c r="BX27" s="347"/>
    </row>
    <row r="28" spans="1:76" ht="11.25" customHeight="1" x14ac:dyDescent="0.25">
      <c r="A28" s="341" t="s">
        <v>133</v>
      </c>
      <c r="B28" s="342" t="s">
        <v>323</v>
      </c>
      <c r="C28" s="342"/>
      <c r="D28" s="342"/>
      <c r="E28" s="342"/>
      <c r="F28" s="343" t="s">
        <v>324</v>
      </c>
      <c r="G28" s="343"/>
      <c r="H28" s="353"/>
      <c r="I28" s="354"/>
      <c r="J28" s="353"/>
      <c r="K28" s="348"/>
      <c r="L28" s="353"/>
      <c r="M28" s="353"/>
      <c r="N28" s="353"/>
      <c r="O28" s="353"/>
      <c r="P28" s="353"/>
      <c r="Q28" s="353"/>
      <c r="R28" s="353"/>
      <c r="S28" s="353"/>
      <c r="T28" s="353"/>
      <c r="U28" s="353"/>
      <c r="V28" s="353"/>
      <c r="W28" s="347"/>
      <c r="X28" s="348"/>
      <c r="Y28" s="348"/>
      <c r="Z28" s="348"/>
      <c r="AA28" s="348"/>
      <c r="AB28" s="348"/>
      <c r="AC28" s="348"/>
      <c r="AD28" s="348"/>
      <c r="AE28" s="348"/>
      <c r="AF28" s="348"/>
      <c r="AG28" s="348"/>
      <c r="AH28" s="348"/>
      <c r="AI28" s="348"/>
      <c r="AJ28" s="348"/>
      <c r="AK28" s="348"/>
      <c r="AL28" s="348"/>
      <c r="AM28" s="348"/>
      <c r="AN28" s="348"/>
      <c r="AO28" s="348"/>
      <c r="AP28" s="348"/>
      <c r="AQ28" s="348"/>
      <c r="AR28" s="348"/>
      <c r="AS28" s="348"/>
      <c r="AT28" s="347"/>
      <c r="AU28" s="348"/>
      <c r="AV28" s="348"/>
      <c r="AW28" s="348"/>
      <c r="AX28" s="348"/>
      <c r="AY28" s="348"/>
      <c r="AZ28" s="347"/>
      <c r="BA28" s="348"/>
      <c r="BB28" s="348"/>
      <c r="BC28" s="348"/>
      <c r="BD28" s="348"/>
      <c r="BE28" s="348"/>
      <c r="BF28" s="348"/>
      <c r="BG28" s="347"/>
      <c r="BH28" s="348"/>
      <c r="BI28" s="348"/>
      <c r="BJ28" s="349"/>
      <c r="BK28" s="348"/>
      <c r="BL28" s="348"/>
      <c r="BM28" s="348"/>
      <c r="BN28" s="348"/>
      <c r="BO28" s="348"/>
      <c r="BP28" s="348"/>
      <c r="BQ28" s="348"/>
      <c r="BR28" s="348"/>
      <c r="BS28" s="347"/>
      <c r="BT28" s="348"/>
      <c r="BU28" s="348"/>
      <c r="BV28" s="347"/>
      <c r="BW28" s="347"/>
      <c r="BX28" s="347"/>
    </row>
    <row r="29" spans="1:76" ht="11.25" customHeight="1" x14ac:dyDescent="0.25">
      <c r="A29" s="341" t="s">
        <v>133</v>
      </c>
      <c r="B29" s="342" t="s">
        <v>325</v>
      </c>
      <c r="C29" s="342"/>
      <c r="D29" s="342"/>
      <c r="E29" s="342"/>
      <c r="F29" s="343" t="s">
        <v>326</v>
      </c>
      <c r="G29" s="343"/>
      <c r="H29" s="353"/>
      <c r="I29" s="354"/>
      <c r="J29" s="353"/>
      <c r="K29" s="353"/>
      <c r="L29" s="353"/>
      <c r="M29" s="353"/>
      <c r="N29" s="353"/>
      <c r="O29" s="353"/>
      <c r="P29" s="353"/>
      <c r="Q29" s="353"/>
      <c r="R29" s="353"/>
      <c r="S29" s="353"/>
      <c r="T29" s="353"/>
      <c r="U29" s="353"/>
      <c r="V29" s="353"/>
      <c r="W29" s="347"/>
      <c r="X29" s="348"/>
      <c r="Y29" s="348"/>
      <c r="Z29" s="348"/>
      <c r="AA29" s="348"/>
      <c r="AB29" s="348"/>
      <c r="AC29" s="348"/>
      <c r="AD29" s="348"/>
      <c r="AE29" s="348"/>
      <c r="AF29" s="348"/>
      <c r="AG29" s="348"/>
      <c r="AH29" s="348"/>
      <c r="AI29" s="348"/>
      <c r="AJ29" s="348"/>
      <c r="AK29" s="348"/>
      <c r="AL29" s="348"/>
      <c r="AM29" s="348"/>
      <c r="AN29" s="348"/>
      <c r="AO29" s="348"/>
      <c r="AP29" s="348"/>
      <c r="AQ29" s="348"/>
      <c r="AR29" s="348"/>
      <c r="AS29" s="348"/>
      <c r="AT29" s="347"/>
      <c r="AU29" s="348"/>
      <c r="AV29" s="348"/>
      <c r="AW29" s="348"/>
      <c r="AX29" s="348"/>
      <c r="AY29" s="348"/>
      <c r="AZ29" s="347"/>
      <c r="BA29" s="348"/>
      <c r="BB29" s="348"/>
      <c r="BC29" s="348"/>
      <c r="BD29" s="348"/>
      <c r="BE29" s="348"/>
      <c r="BF29" s="348"/>
      <c r="BG29" s="347"/>
      <c r="BH29" s="348"/>
      <c r="BI29" s="348"/>
      <c r="BJ29" s="349"/>
      <c r="BK29" s="348"/>
      <c r="BL29" s="348"/>
      <c r="BM29" s="348"/>
      <c r="BN29" s="348"/>
      <c r="BO29" s="348"/>
      <c r="BP29" s="348"/>
      <c r="BQ29" s="348"/>
      <c r="BR29" s="348"/>
      <c r="BS29" s="347"/>
      <c r="BT29" s="348"/>
      <c r="BU29" s="348"/>
      <c r="BV29" s="347"/>
      <c r="BW29" s="347"/>
      <c r="BX29" s="347"/>
    </row>
    <row r="30" spans="1:76" ht="11.25" customHeight="1" x14ac:dyDescent="0.25">
      <c r="A30" s="341" t="s">
        <v>133</v>
      </c>
      <c r="B30" s="342" t="s">
        <v>327</v>
      </c>
      <c r="C30" s="342"/>
      <c r="D30" s="342"/>
      <c r="E30" s="342"/>
      <c r="F30" s="343" t="s">
        <v>328</v>
      </c>
      <c r="G30" s="343"/>
      <c r="H30" s="353"/>
      <c r="I30" s="354"/>
      <c r="J30" s="353"/>
      <c r="K30" s="353"/>
      <c r="L30" s="353"/>
      <c r="M30" s="353"/>
      <c r="N30" s="353"/>
      <c r="O30" s="353"/>
      <c r="P30" s="353"/>
      <c r="Q30" s="353"/>
      <c r="R30" s="353"/>
      <c r="S30" s="353"/>
      <c r="T30" s="353"/>
      <c r="U30" s="353"/>
      <c r="V30" s="353"/>
      <c r="W30" s="347"/>
      <c r="X30" s="348"/>
      <c r="Y30" s="348"/>
      <c r="Z30" s="348"/>
      <c r="AA30" s="348"/>
      <c r="AB30" s="348"/>
      <c r="AC30" s="348"/>
      <c r="AD30" s="348"/>
      <c r="AE30" s="348"/>
      <c r="AF30" s="348"/>
      <c r="AG30" s="348"/>
      <c r="AH30" s="348"/>
      <c r="AI30" s="348"/>
      <c r="AJ30" s="348"/>
      <c r="AK30" s="348"/>
      <c r="AL30" s="348"/>
      <c r="AM30" s="348"/>
      <c r="AN30" s="348"/>
      <c r="AO30" s="348"/>
      <c r="AP30" s="348"/>
      <c r="AQ30" s="348"/>
      <c r="AR30" s="348"/>
      <c r="AS30" s="348"/>
      <c r="AT30" s="347"/>
      <c r="AU30" s="348"/>
      <c r="AV30" s="348"/>
      <c r="AW30" s="348"/>
      <c r="AX30" s="348"/>
      <c r="AY30" s="348"/>
      <c r="AZ30" s="347"/>
      <c r="BA30" s="348"/>
      <c r="BB30" s="348"/>
      <c r="BC30" s="348"/>
      <c r="BD30" s="348"/>
      <c r="BE30" s="348"/>
      <c r="BF30" s="348"/>
      <c r="BG30" s="347"/>
      <c r="BH30" s="348"/>
      <c r="BI30" s="348"/>
      <c r="BJ30" s="349"/>
      <c r="BK30" s="348"/>
      <c r="BL30" s="348"/>
      <c r="BM30" s="348"/>
      <c r="BN30" s="348"/>
      <c r="BO30" s="348"/>
      <c r="BP30" s="348"/>
      <c r="BQ30" s="348"/>
      <c r="BR30" s="348"/>
      <c r="BS30" s="347"/>
      <c r="BT30" s="348"/>
      <c r="BU30" s="348"/>
      <c r="BV30" s="347"/>
      <c r="BW30" s="347"/>
      <c r="BX30" s="347"/>
    </row>
    <row r="31" spans="1:76" ht="11.25" customHeight="1" x14ac:dyDescent="0.25">
      <c r="A31" s="341" t="s">
        <v>133</v>
      </c>
      <c r="B31" s="342" t="s">
        <v>329</v>
      </c>
      <c r="C31" s="342"/>
      <c r="D31" s="342"/>
      <c r="E31" s="342"/>
      <c r="F31" s="343" t="s">
        <v>330</v>
      </c>
      <c r="G31" s="343"/>
      <c r="H31" s="353">
        <f>W31</f>
        <v>8888</v>
      </c>
      <c r="I31" s="354"/>
      <c r="J31" s="353"/>
      <c r="K31" s="353"/>
      <c r="L31" s="353"/>
      <c r="M31" s="353"/>
      <c r="N31" s="353"/>
      <c r="O31" s="353"/>
      <c r="P31" s="353"/>
      <c r="Q31" s="353"/>
      <c r="R31" s="353"/>
      <c r="S31" s="353"/>
      <c r="T31" s="353"/>
      <c r="U31" s="353"/>
      <c r="V31" s="353"/>
      <c r="W31" s="347">
        <f>SUM(X31:AS31)</f>
        <v>8888</v>
      </c>
      <c r="X31" s="348">
        <f>X4+X12-X14</f>
        <v>8600</v>
      </c>
      <c r="Y31" s="348">
        <f>Y17</f>
        <v>288</v>
      </c>
      <c r="Z31" s="348"/>
      <c r="AA31" s="348"/>
      <c r="AB31" s="348"/>
      <c r="AC31" s="348"/>
      <c r="AD31" s="348"/>
      <c r="AE31" s="348"/>
      <c r="AF31" s="348"/>
      <c r="AG31" s="348"/>
      <c r="AH31" s="348"/>
      <c r="AI31" s="348"/>
      <c r="AJ31" s="348"/>
      <c r="AK31" s="348"/>
      <c r="AL31" s="348"/>
      <c r="AM31" s="348"/>
      <c r="AN31" s="348"/>
      <c r="AO31" s="348"/>
      <c r="AP31" s="348"/>
      <c r="AQ31" s="348"/>
      <c r="AR31" s="348"/>
      <c r="AS31" s="348"/>
      <c r="AT31" s="347"/>
      <c r="AU31" s="348"/>
      <c r="AV31" s="348"/>
      <c r="AW31" s="348"/>
      <c r="AX31" s="348"/>
      <c r="AY31" s="348"/>
      <c r="AZ31" s="347"/>
      <c r="BA31" s="348"/>
      <c r="BB31" s="348"/>
      <c r="BC31" s="348"/>
      <c r="BD31" s="348"/>
      <c r="BE31" s="348"/>
      <c r="BF31" s="348"/>
      <c r="BG31" s="347"/>
      <c r="BH31" s="348"/>
      <c r="BI31" s="348"/>
      <c r="BJ31" s="349"/>
      <c r="BK31" s="348"/>
      <c r="BL31" s="348"/>
      <c r="BM31" s="348"/>
      <c r="BN31" s="348"/>
      <c r="BO31" s="348"/>
      <c r="BP31" s="348"/>
      <c r="BQ31" s="348"/>
      <c r="BR31" s="348"/>
      <c r="BS31" s="347"/>
      <c r="BT31" s="348"/>
      <c r="BU31" s="348"/>
      <c r="BV31" s="347"/>
      <c r="BW31" s="347"/>
      <c r="BX31" s="347"/>
    </row>
    <row r="32" spans="1:76" ht="11.25" customHeight="1" x14ac:dyDescent="0.25">
      <c r="A32" s="341" t="s">
        <v>133</v>
      </c>
      <c r="B32" s="342" t="s">
        <v>331</v>
      </c>
      <c r="C32" s="342"/>
      <c r="D32" s="342"/>
      <c r="E32" s="342"/>
      <c r="F32" s="343" t="s">
        <v>332</v>
      </c>
      <c r="G32" s="343"/>
      <c r="H32" s="353"/>
      <c r="I32" s="354"/>
      <c r="J32" s="353"/>
      <c r="K32" s="353"/>
      <c r="L32" s="353"/>
      <c r="M32" s="353"/>
      <c r="N32" s="353"/>
      <c r="O32" s="353"/>
      <c r="P32" s="353"/>
      <c r="Q32" s="353"/>
      <c r="R32" s="353"/>
      <c r="S32" s="353"/>
      <c r="T32" s="353"/>
      <c r="U32" s="353"/>
      <c r="V32" s="353"/>
      <c r="W32" s="347"/>
      <c r="X32" s="348"/>
      <c r="Y32" s="348"/>
      <c r="Z32" s="348"/>
      <c r="AA32" s="348"/>
      <c r="AB32" s="348"/>
      <c r="AC32" s="348"/>
      <c r="AD32" s="348"/>
      <c r="AE32" s="348"/>
      <c r="AF32" s="348"/>
      <c r="AG32" s="348"/>
      <c r="AH32" s="348"/>
      <c r="AI32" s="348"/>
      <c r="AJ32" s="348"/>
      <c r="AK32" s="348"/>
      <c r="AL32" s="348"/>
      <c r="AM32" s="348"/>
      <c r="AN32" s="348"/>
      <c r="AO32" s="348"/>
      <c r="AP32" s="348"/>
      <c r="AQ32" s="348"/>
      <c r="AR32" s="348"/>
      <c r="AS32" s="348"/>
      <c r="AT32" s="347"/>
      <c r="AU32" s="348"/>
      <c r="AV32" s="348"/>
      <c r="AW32" s="348"/>
      <c r="AX32" s="348"/>
      <c r="AY32" s="348"/>
      <c r="AZ32" s="347"/>
      <c r="BA32" s="348"/>
      <c r="BB32" s="348"/>
      <c r="BC32" s="348"/>
      <c r="BD32" s="348"/>
      <c r="BE32" s="348"/>
      <c r="BF32" s="348"/>
      <c r="BG32" s="347"/>
      <c r="BH32" s="348"/>
      <c r="BI32" s="348"/>
      <c r="BJ32" s="349"/>
      <c r="BK32" s="348"/>
      <c r="BL32" s="348"/>
      <c r="BM32" s="348"/>
      <c r="BN32" s="348"/>
      <c r="BO32" s="348"/>
      <c r="BP32" s="348"/>
      <c r="BQ32" s="348"/>
      <c r="BR32" s="348"/>
      <c r="BS32" s="347"/>
      <c r="BT32" s="348"/>
      <c r="BU32" s="348"/>
      <c r="BV32" s="347"/>
      <c r="BW32" s="347"/>
      <c r="BX32" s="347"/>
    </row>
    <row r="33" spans="1:76" ht="11.25" customHeight="1" x14ac:dyDescent="0.25">
      <c r="A33" s="350"/>
      <c r="B33" s="341" t="s">
        <v>133</v>
      </c>
      <c r="C33" s="342" t="s">
        <v>333</v>
      </c>
      <c r="D33" s="342"/>
      <c r="E33" s="342"/>
      <c r="F33" s="343" t="s">
        <v>334</v>
      </c>
      <c r="G33" s="343"/>
      <c r="H33" s="353"/>
      <c r="I33" s="354"/>
      <c r="J33" s="353"/>
      <c r="K33" s="353"/>
      <c r="L33" s="353"/>
      <c r="M33" s="353"/>
      <c r="N33" s="353"/>
      <c r="O33" s="353"/>
      <c r="P33" s="353"/>
      <c r="Q33" s="353"/>
      <c r="R33" s="353"/>
      <c r="S33" s="353"/>
      <c r="T33" s="353"/>
      <c r="U33" s="353"/>
      <c r="V33" s="353"/>
      <c r="W33" s="347"/>
      <c r="X33" s="348"/>
      <c r="Y33" s="348"/>
      <c r="Z33" s="348"/>
      <c r="AA33" s="348"/>
      <c r="AB33" s="348"/>
      <c r="AC33" s="348"/>
      <c r="AD33" s="348"/>
      <c r="AE33" s="348"/>
      <c r="AF33" s="348"/>
      <c r="AG33" s="348"/>
      <c r="AH33" s="348"/>
      <c r="AI33" s="348"/>
      <c r="AJ33" s="348"/>
      <c r="AK33" s="348"/>
      <c r="AL33" s="348"/>
      <c r="AM33" s="348"/>
      <c r="AN33" s="348"/>
      <c r="AO33" s="348"/>
      <c r="AP33" s="348"/>
      <c r="AQ33" s="348"/>
      <c r="AR33" s="348"/>
      <c r="AS33" s="348"/>
      <c r="AT33" s="347"/>
      <c r="AU33" s="348"/>
      <c r="AV33" s="348"/>
      <c r="AW33" s="348"/>
      <c r="AX33" s="348"/>
      <c r="AY33" s="348"/>
      <c r="AZ33" s="347"/>
      <c r="BA33" s="348"/>
      <c r="BB33" s="348"/>
      <c r="BC33" s="348"/>
      <c r="BD33" s="348"/>
      <c r="BE33" s="348"/>
      <c r="BF33" s="348"/>
      <c r="BG33" s="347"/>
      <c r="BH33" s="348"/>
      <c r="BI33" s="348"/>
      <c r="BJ33" s="349"/>
      <c r="BK33" s="348"/>
      <c r="BL33" s="348"/>
      <c r="BM33" s="348"/>
      <c r="BN33" s="348"/>
      <c r="BO33" s="348"/>
      <c r="BP33" s="348"/>
      <c r="BQ33" s="348"/>
      <c r="BR33" s="348"/>
      <c r="BS33" s="347"/>
      <c r="BT33" s="348"/>
      <c r="BU33" s="348"/>
      <c r="BV33" s="347"/>
      <c r="BW33" s="347"/>
      <c r="BX33" s="347"/>
    </row>
    <row r="34" spans="1:76" ht="11.25" customHeight="1" x14ac:dyDescent="0.25">
      <c r="A34" s="350"/>
      <c r="B34" s="341" t="s">
        <v>133</v>
      </c>
      <c r="C34" s="342" t="s">
        <v>335</v>
      </c>
      <c r="D34" s="342"/>
      <c r="E34" s="342"/>
      <c r="F34" s="343" t="s">
        <v>336</v>
      </c>
      <c r="G34" s="343"/>
      <c r="H34" s="353"/>
      <c r="I34" s="354"/>
      <c r="J34" s="353"/>
      <c r="K34" s="353"/>
      <c r="L34" s="353"/>
      <c r="M34" s="353"/>
      <c r="N34" s="353"/>
      <c r="O34" s="353"/>
      <c r="P34" s="353"/>
      <c r="Q34" s="353"/>
      <c r="R34" s="353"/>
      <c r="S34" s="353"/>
      <c r="T34" s="353"/>
      <c r="U34" s="353"/>
      <c r="V34" s="353"/>
      <c r="W34" s="347"/>
      <c r="X34" s="348"/>
      <c r="Y34" s="348"/>
      <c r="Z34" s="348"/>
      <c r="AA34" s="348"/>
      <c r="AB34" s="348"/>
      <c r="AC34" s="348"/>
      <c r="AD34" s="348"/>
      <c r="AE34" s="348"/>
      <c r="AF34" s="348"/>
      <c r="AG34" s="348"/>
      <c r="AH34" s="348"/>
      <c r="AI34" s="348"/>
      <c r="AJ34" s="348"/>
      <c r="AK34" s="348"/>
      <c r="AL34" s="348"/>
      <c r="AM34" s="348"/>
      <c r="AN34" s="348"/>
      <c r="AO34" s="348"/>
      <c r="AP34" s="348"/>
      <c r="AQ34" s="348"/>
      <c r="AR34" s="348"/>
      <c r="AS34" s="348"/>
      <c r="AT34" s="347"/>
      <c r="AU34" s="348"/>
      <c r="AV34" s="348"/>
      <c r="AW34" s="348"/>
      <c r="AX34" s="348"/>
      <c r="AY34" s="348"/>
      <c r="AZ34" s="347"/>
      <c r="BA34" s="348"/>
      <c r="BB34" s="348"/>
      <c r="BC34" s="348"/>
      <c r="BD34" s="348"/>
      <c r="BE34" s="348"/>
      <c r="BF34" s="348"/>
      <c r="BG34" s="347"/>
      <c r="BH34" s="348"/>
      <c r="BI34" s="348"/>
      <c r="BJ34" s="349"/>
      <c r="BK34" s="348"/>
      <c r="BL34" s="348"/>
      <c r="BM34" s="348"/>
      <c r="BN34" s="348"/>
      <c r="BO34" s="348"/>
      <c r="BP34" s="348"/>
      <c r="BQ34" s="348"/>
      <c r="BR34" s="348"/>
      <c r="BS34" s="347"/>
      <c r="BT34" s="348"/>
      <c r="BU34" s="348"/>
      <c r="BV34" s="347"/>
      <c r="BW34" s="347"/>
      <c r="BX34" s="347"/>
    </row>
    <row r="35" spans="1:76" ht="11.25" customHeight="1" x14ac:dyDescent="0.25">
      <c r="A35" s="350"/>
      <c r="B35" s="341" t="s">
        <v>133</v>
      </c>
      <c r="C35" s="342" t="s">
        <v>337</v>
      </c>
      <c r="D35" s="342"/>
      <c r="E35" s="342"/>
      <c r="F35" s="343" t="s">
        <v>338</v>
      </c>
      <c r="G35" s="343"/>
      <c r="H35" s="353"/>
      <c r="I35" s="354"/>
      <c r="J35" s="353"/>
      <c r="K35" s="353"/>
      <c r="L35" s="353"/>
      <c r="M35" s="353"/>
      <c r="N35" s="353"/>
      <c r="O35" s="353"/>
      <c r="P35" s="353"/>
      <c r="Q35" s="353"/>
      <c r="R35" s="353"/>
      <c r="S35" s="353"/>
      <c r="T35" s="353"/>
      <c r="U35" s="353"/>
      <c r="V35" s="353"/>
      <c r="W35" s="347"/>
      <c r="X35" s="348"/>
      <c r="Y35" s="348"/>
      <c r="Z35" s="348"/>
      <c r="AA35" s="348"/>
      <c r="AB35" s="348"/>
      <c r="AC35" s="348"/>
      <c r="AD35" s="348"/>
      <c r="AE35" s="348"/>
      <c r="AF35" s="348"/>
      <c r="AG35" s="348"/>
      <c r="AH35" s="348"/>
      <c r="AI35" s="348"/>
      <c r="AJ35" s="348"/>
      <c r="AK35" s="348"/>
      <c r="AL35" s="348"/>
      <c r="AM35" s="348"/>
      <c r="AN35" s="348"/>
      <c r="AO35" s="348"/>
      <c r="AP35" s="348"/>
      <c r="AQ35" s="348"/>
      <c r="AR35" s="348"/>
      <c r="AS35" s="348"/>
      <c r="AT35" s="347"/>
      <c r="AU35" s="348"/>
      <c r="AV35" s="348"/>
      <c r="AW35" s="348"/>
      <c r="AX35" s="348"/>
      <c r="AY35" s="348"/>
      <c r="AZ35" s="347"/>
      <c r="BA35" s="348"/>
      <c r="BB35" s="348"/>
      <c r="BC35" s="348"/>
      <c r="BD35" s="348"/>
      <c r="BE35" s="348"/>
      <c r="BF35" s="348"/>
      <c r="BG35" s="347"/>
      <c r="BH35" s="348"/>
      <c r="BI35" s="348"/>
      <c r="BJ35" s="349"/>
      <c r="BK35" s="348"/>
      <c r="BL35" s="348"/>
      <c r="BM35" s="348"/>
      <c r="BN35" s="348"/>
      <c r="BO35" s="348"/>
      <c r="BP35" s="348"/>
      <c r="BQ35" s="348"/>
      <c r="BR35" s="348"/>
      <c r="BS35" s="347"/>
      <c r="BT35" s="348"/>
      <c r="BU35" s="348"/>
      <c r="BV35" s="347"/>
      <c r="BW35" s="347"/>
      <c r="BX35" s="347"/>
    </row>
    <row r="36" spans="1:76" ht="11.25" customHeight="1" x14ac:dyDescent="0.25">
      <c r="A36" s="350"/>
      <c r="B36" s="341" t="s">
        <v>133</v>
      </c>
      <c r="C36" s="342" t="s">
        <v>339</v>
      </c>
      <c r="D36" s="342"/>
      <c r="E36" s="342"/>
      <c r="F36" s="343" t="s">
        <v>340</v>
      </c>
      <c r="G36" s="343"/>
      <c r="H36" s="353"/>
      <c r="I36" s="354"/>
      <c r="J36" s="353"/>
      <c r="K36" s="353"/>
      <c r="L36" s="353"/>
      <c r="M36" s="353"/>
      <c r="N36" s="353"/>
      <c r="O36" s="353"/>
      <c r="P36" s="353"/>
      <c r="Q36" s="353"/>
      <c r="R36" s="353"/>
      <c r="S36" s="353"/>
      <c r="T36" s="353"/>
      <c r="U36" s="353"/>
      <c r="V36" s="353"/>
      <c r="W36" s="347"/>
      <c r="X36" s="348"/>
      <c r="Y36" s="348"/>
      <c r="Z36" s="348"/>
      <c r="AA36" s="348"/>
      <c r="AB36" s="348"/>
      <c r="AC36" s="348"/>
      <c r="AD36" s="348"/>
      <c r="AE36" s="348"/>
      <c r="AF36" s="348"/>
      <c r="AG36" s="348"/>
      <c r="AH36" s="348"/>
      <c r="AI36" s="348"/>
      <c r="AJ36" s="348"/>
      <c r="AK36" s="348"/>
      <c r="AL36" s="348"/>
      <c r="AM36" s="348"/>
      <c r="AN36" s="348"/>
      <c r="AO36" s="348"/>
      <c r="AP36" s="348"/>
      <c r="AQ36" s="348"/>
      <c r="AR36" s="348"/>
      <c r="AS36" s="348"/>
      <c r="AT36" s="347"/>
      <c r="AU36" s="348"/>
      <c r="AV36" s="348"/>
      <c r="AW36" s="348"/>
      <c r="AX36" s="348"/>
      <c r="AY36" s="348"/>
      <c r="AZ36" s="347"/>
      <c r="BA36" s="348"/>
      <c r="BB36" s="348"/>
      <c r="BC36" s="348"/>
      <c r="BD36" s="348"/>
      <c r="BE36" s="348"/>
      <c r="BF36" s="348"/>
      <c r="BG36" s="347"/>
      <c r="BH36" s="348"/>
      <c r="BI36" s="348"/>
      <c r="BJ36" s="349"/>
      <c r="BK36" s="348"/>
      <c r="BL36" s="348"/>
      <c r="BM36" s="348"/>
      <c r="BN36" s="348"/>
      <c r="BO36" s="348"/>
      <c r="BP36" s="348"/>
      <c r="BQ36" s="348"/>
      <c r="BR36" s="348"/>
      <c r="BS36" s="347"/>
      <c r="BT36" s="348"/>
      <c r="BU36" s="348"/>
      <c r="BV36" s="347"/>
      <c r="BW36" s="347"/>
      <c r="BX36" s="347"/>
    </row>
    <row r="37" spans="1:76" ht="11.25" customHeight="1" x14ac:dyDescent="0.25">
      <c r="A37" s="341" t="s">
        <v>133</v>
      </c>
      <c r="B37" s="342" t="s">
        <v>341</v>
      </c>
      <c r="C37" s="342"/>
      <c r="D37" s="342"/>
      <c r="E37" s="342"/>
      <c r="F37" s="343" t="s">
        <v>342</v>
      </c>
      <c r="G37" s="343"/>
      <c r="H37" s="353"/>
      <c r="I37" s="354"/>
      <c r="J37" s="353"/>
      <c r="K37" s="353"/>
      <c r="L37" s="353"/>
      <c r="M37" s="353"/>
      <c r="N37" s="353"/>
      <c r="O37" s="353"/>
      <c r="P37" s="353"/>
      <c r="Q37" s="353"/>
      <c r="R37" s="353"/>
      <c r="S37" s="353"/>
      <c r="T37" s="353"/>
      <c r="U37" s="353"/>
      <c r="V37" s="353"/>
      <c r="W37" s="347"/>
      <c r="X37" s="348"/>
      <c r="Y37" s="348"/>
      <c r="Z37" s="348"/>
      <c r="AA37" s="348"/>
      <c r="AB37" s="348"/>
      <c r="AC37" s="348"/>
      <c r="AD37" s="348"/>
      <c r="AE37" s="348"/>
      <c r="AF37" s="348"/>
      <c r="AG37" s="348"/>
      <c r="AH37" s="348"/>
      <c r="AI37" s="348"/>
      <c r="AJ37" s="348"/>
      <c r="AK37" s="348"/>
      <c r="AL37" s="348"/>
      <c r="AM37" s="348"/>
      <c r="AN37" s="348"/>
      <c r="AO37" s="348"/>
      <c r="AP37" s="348"/>
      <c r="AQ37" s="348"/>
      <c r="AR37" s="348"/>
      <c r="AS37" s="348"/>
      <c r="AT37" s="347"/>
      <c r="AU37" s="348"/>
      <c r="AV37" s="348"/>
      <c r="AW37" s="348"/>
      <c r="AX37" s="348"/>
      <c r="AY37" s="348"/>
      <c r="AZ37" s="347"/>
      <c r="BA37" s="348"/>
      <c r="BB37" s="348"/>
      <c r="BC37" s="348"/>
      <c r="BD37" s="348"/>
      <c r="BE37" s="348"/>
      <c r="BF37" s="348"/>
      <c r="BG37" s="347"/>
      <c r="BH37" s="348"/>
      <c r="BI37" s="348"/>
      <c r="BJ37" s="349"/>
      <c r="BK37" s="348"/>
      <c r="BL37" s="348"/>
      <c r="BM37" s="348"/>
      <c r="BN37" s="348"/>
      <c r="BO37" s="348"/>
      <c r="BP37" s="348"/>
      <c r="BQ37" s="348"/>
      <c r="BR37" s="348"/>
      <c r="BS37" s="347"/>
      <c r="BT37" s="348"/>
      <c r="BU37" s="348"/>
      <c r="BV37" s="347"/>
      <c r="BW37" s="347"/>
      <c r="BX37" s="347"/>
    </row>
    <row r="38" spans="1:76" ht="11.25" customHeight="1" x14ac:dyDescent="0.25">
      <c r="A38" s="341" t="s">
        <v>133</v>
      </c>
      <c r="B38" s="342" t="s">
        <v>343</v>
      </c>
      <c r="C38" s="342"/>
      <c r="D38" s="342"/>
      <c r="E38" s="342"/>
      <c r="F38" s="343" t="s">
        <v>344</v>
      </c>
      <c r="G38" s="343"/>
      <c r="H38" s="353"/>
      <c r="I38" s="354"/>
      <c r="J38" s="353"/>
      <c r="K38" s="353"/>
      <c r="L38" s="353"/>
      <c r="M38" s="353"/>
      <c r="N38" s="353"/>
      <c r="O38" s="353"/>
      <c r="P38" s="353"/>
      <c r="Q38" s="353"/>
      <c r="R38" s="353"/>
      <c r="S38" s="353"/>
      <c r="T38" s="353"/>
      <c r="U38" s="353"/>
      <c r="V38" s="353"/>
      <c r="W38" s="347"/>
      <c r="X38" s="348"/>
      <c r="Y38" s="348"/>
      <c r="Z38" s="348"/>
      <c r="AA38" s="348"/>
      <c r="AB38" s="348"/>
      <c r="AC38" s="348"/>
      <c r="AD38" s="348"/>
      <c r="AE38" s="348"/>
      <c r="AF38" s="348"/>
      <c r="AG38" s="348"/>
      <c r="AH38" s="348"/>
      <c r="AI38" s="348"/>
      <c r="AJ38" s="348"/>
      <c r="AK38" s="348"/>
      <c r="AL38" s="348"/>
      <c r="AM38" s="348"/>
      <c r="AN38" s="348"/>
      <c r="AO38" s="348"/>
      <c r="AP38" s="348"/>
      <c r="AQ38" s="348"/>
      <c r="AR38" s="348"/>
      <c r="AS38" s="348"/>
      <c r="AT38" s="347"/>
      <c r="AU38" s="348"/>
      <c r="AV38" s="348"/>
      <c r="AW38" s="348"/>
      <c r="AX38" s="348"/>
      <c r="AY38" s="348"/>
      <c r="AZ38" s="347"/>
      <c r="BA38" s="348"/>
      <c r="BB38" s="348"/>
      <c r="BC38" s="348"/>
      <c r="BD38" s="348"/>
      <c r="BE38" s="348"/>
      <c r="BF38" s="348"/>
      <c r="BG38" s="347"/>
      <c r="BH38" s="348"/>
      <c r="BI38" s="348"/>
      <c r="BJ38" s="349"/>
      <c r="BK38" s="348"/>
      <c r="BL38" s="348"/>
      <c r="BM38" s="348"/>
      <c r="BN38" s="348"/>
      <c r="BO38" s="348"/>
      <c r="BP38" s="348"/>
      <c r="BQ38" s="348"/>
      <c r="BR38" s="348"/>
      <c r="BS38" s="347"/>
      <c r="BT38" s="348"/>
      <c r="BU38" s="348"/>
      <c r="BV38" s="347"/>
      <c r="BW38" s="347"/>
      <c r="BX38" s="347"/>
    </row>
    <row r="39" spans="1:76" ht="11.25" customHeight="1" x14ac:dyDescent="0.25">
      <c r="A39" s="341" t="s">
        <v>133</v>
      </c>
      <c r="B39" s="342" t="s">
        <v>345</v>
      </c>
      <c r="C39" s="342"/>
      <c r="D39" s="342"/>
      <c r="E39" s="342"/>
      <c r="F39" s="343" t="s">
        <v>346</v>
      </c>
      <c r="G39" s="343"/>
      <c r="H39" s="353"/>
      <c r="I39" s="354"/>
      <c r="J39" s="353"/>
      <c r="K39" s="353"/>
      <c r="L39" s="353"/>
      <c r="M39" s="353"/>
      <c r="N39" s="353"/>
      <c r="O39" s="353"/>
      <c r="P39" s="353"/>
      <c r="Q39" s="353"/>
      <c r="R39" s="353"/>
      <c r="S39" s="353"/>
      <c r="T39" s="353"/>
      <c r="U39" s="353"/>
      <c r="V39" s="353"/>
      <c r="W39" s="347"/>
      <c r="X39" s="348"/>
      <c r="Y39" s="348"/>
      <c r="Z39" s="348"/>
      <c r="AA39" s="348"/>
      <c r="AB39" s="348"/>
      <c r="AC39" s="348"/>
      <c r="AD39" s="348"/>
      <c r="AE39" s="348"/>
      <c r="AF39" s="348"/>
      <c r="AG39" s="348"/>
      <c r="AH39" s="348"/>
      <c r="AI39" s="348"/>
      <c r="AJ39" s="348"/>
      <c r="AK39" s="348"/>
      <c r="AL39" s="348"/>
      <c r="AM39" s="348"/>
      <c r="AN39" s="348"/>
      <c r="AO39" s="348"/>
      <c r="AP39" s="348"/>
      <c r="AQ39" s="348"/>
      <c r="AR39" s="348"/>
      <c r="AS39" s="348"/>
      <c r="AT39" s="347"/>
      <c r="AU39" s="348"/>
      <c r="AV39" s="348"/>
      <c r="AW39" s="348"/>
      <c r="AX39" s="348"/>
      <c r="AY39" s="348"/>
      <c r="AZ39" s="347"/>
      <c r="BA39" s="348"/>
      <c r="BB39" s="348"/>
      <c r="BC39" s="348"/>
      <c r="BD39" s="348"/>
      <c r="BE39" s="348"/>
      <c r="BF39" s="348"/>
      <c r="BG39" s="347"/>
      <c r="BH39" s="348"/>
      <c r="BI39" s="348"/>
      <c r="BJ39" s="349"/>
      <c r="BK39" s="348"/>
      <c r="BL39" s="348"/>
      <c r="BM39" s="348"/>
      <c r="BN39" s="348"/>
      <c r="BO39" s="348"/>
      <c r="BP39" s="348"/>
      <c r="BQ39" s="348"/>
      <c r="BR39" s="348"/>
      <c r="BS39" s="347"/>
      <c r="BT39" s="348"/>
      <c r="BU39" s="348"/>
      <c r="BV39" s="347"/>
      <c r="BW39" s="347"/>
      <c r="BX39" s="347"/>
    </row>
    <row r="40" spans="1:76" ht="11.25" customHeight="1" x14ac:dyDescent="0.25">
      <c r="A40" s="341" t="s">
        <v>133</v>
      </c>
      <c r="B40" s="342" t="s">
        <v>347</v>
      </c>
      <c r="C40" s="342"/>
      <c r="D40" s="342"/>
      <c r="E40" s="342"/>
      <c r="F40" s="343" t="s">
        <v>348</v>
      </c>
      <c r="G40" s="343"/>
      <c r="H40" s="353"/>
      <c r="I40" s="354"/>
      <c r="J40" s="353"/>
      <c r="K40" s="353"/>
      <c r="L40" s="353"/>
      <c r="M40" s="353"/>
      <c r="N40" s="353"/>
      <c r="O40" s="353"/>
      <c r="P40" s="353"/>
      <c r="Q40" s="353"/>
      <c r="R40" s="353"/>
      <c r="S40" s="353"/>
      <c r="T40" s="353"/>
      <c r="U40" s="353"/>
      <c r="V40" s="353"/>
      <c r="W40" s="347"/>
      <c r="X40" s="348"/>
      <c r="Y40" s="348"/>
      <c r="Z40" s="348"/>
      <c r="AA40" s="348"/>
      <c r="AB40" s="348"/>
      <c r="AC40" s="348"/>
      <c r="AD40" s="348"/>
      <c r="AE40" s="348"/>
      <c r="AF40" s="348"/>
      <c r="AG40" s="348"/>
      <c r="AH40" s="348"/>
      <c r="AI40" s="348"/>
      <c r="AJ40" s="348"/>
      <c r="AK40" s="348"/>
      <c r="AL40" s="348"/>
      <c r="AM40" s="348"/>
      <c r="AN40" s="348"/>
      <c r="AO40" s="348"/>
      <c r="AP40" s="348"/>
      <c r="AQ40" s="348"/>
      <c r="AR40" s="348"/>
      <c r="AS40" s="348"/>
      <c r="AT40" s="347"/>
      <c r="AU40" s="348"/>
      <c r="AV40" s="348"/>
      <c r="AW40" s="348"/>
      <c r="AX40" s="348"/>
      <c r="AY40" s="348"/>
      <c r="AZ40" s="347"/>
      <c r="BA40" s="348"/>
      <c r="BB40" s="348"/>
      <c r="BC40" s="348"/>
      <c r="BD40" s="348"/>
      <c r="BE40" s="348"/>
      <c r="BF40" s="348"/>
      <c r="BG40" s="347"/>
      <c r="BH40" s="348"/>
      <c r="BI40" s="348"/>
      <c r="BJ40" s="349"/>
      <c r="BK40" s="348"/>
      <c r="BL40" s="348"/>
      <c r="BM40" s="348"/>
      <c r="BN40" s="348"/>
      <c r="BO40" s="348"/>
      <c r="BP40" s="348"/>
      <c r="BQ40" s="348"/>
      <c r="BR40" s="348"/>
      <c r="BS40" s="347"/>
      <c r="BT40" s="348"/>
      <c r="BU40" s="348"/>
      <c r="BV40" s="347"/>
      <c r="BW40" s="347"/>
      <c r="BX40" s="347"/>
    </row>
    <row r="41" spans="1:76" ht="11.25" customHeight="1" x14ac:dyDescent="0.25">
      <c r="A41" s="341" t="s">
        <v>133</v>
      </c>
      <c r="B41" s="342" t="s">
        <v>349</v>
      </c>
      <c r="C41" s="342"/>
      <c r="D41" s="342"/>
      <c r="E41" s="342"/>
      <c r="F41" s="343" t="s">
        <v>350</v>
      </c>
      <c r="G41" s="343"/>
      <c r="H41" s="353"/>
      <c r="I41" s="354"/>
      <c r="J41" s="353"/>
      <c r="K41" s="353"/>
      <c r="L41" s="353"/>
      <c r="M41" s="353"/>
      <c r="N41" s="353"/>
      <c r="O41" s="353"/>
      <c r="P41" s="353"/>
      <c r="Q41" s="353"/>
      <c r="R41" s="353"/>
      <c r="S41" s="353"/>
      <c r="T41" s="353"/>
      <c r="U41" s="353"/>
      <c r="V41" s="353"/>
      <c r="W41" s="347"/>
      <c r="X41" s="348"/>
      <c r="Y41" s="348"/>
      <c r="Z41" s="348"/>
      <c r="AA41" s="348"/>
      <c r="AB41" s="348"/>
      <c r="AC41" s="348"/>
      <c r="AD41" s="348"/>
      <c r="AE41" s="348"/>
      <c r="AF41" s="348"/>
      <c r="AG41" s="348"/>
      <c r="AH41" s="348"/>
      <c r="AI41" s="348"/>
      <c r="AJ41" s="348"/>
      <c r="AK41" s="348"/>
      <c r="AL41" s="348"/>
      <c r="AM41" s="348"/>
      <c r="AN41" s="348"/>
      <c r="AO41" s="348"/>
      <c r="AP41" s="348"/>
      <c r="AQ41" s="348"/>
      <c r="AR41" s="348"/>
      <c r="AS41" s="348"/>
      <c r="AT41" s="347"/>
      <c r="AU41" s="348"/>
      <c r="AV41" s="348"/>
      <c r="AW41" s="348"/>
      <c r="AX41" s="348"/>
      <c r="AY41" s="348"/>
      <c r="AZ41" s="347"/>
      <c r="BA41" s="348"/>
      <c r="BB41" s="348"/>
      <c r="BC41" s="348"/>
      <c r="BD41" s="348"/>
      <c r="BE41" s="348"/>
      <c r="BF41" s="348"/>
      <c r="BG41" s="347"/>
      <c r="BH41" s="348"/>
      <c r="BI41" s="348"/>
      <c r="BJ41" s="349"/>
      <c r="BK41" s="348"/>
      <c r="BL41" s="348"/>
      <c r="BM41" s="348"/>
      <c r="BN41" s="348"/>
      <c r="BO41" s="348"/>
      <c r="BP41" s="348"/>
      <c r="BQ41" s="348"/>
      <c r="BR41" s="348"/>
      <c r="BS41" s="347"/>
      <c r="BT41" s="348"/>
      <c r="BU41" s="348"/>
      <c r="BV41" s="347"/>
      <c r="BW41" s="347"/>
      <c r="BX41" s="347"/>
    </row>
    <row r="42" spans="1:76" ht="11.25" customHeight="1" x14ac:dyDescent="0.25">
      <c r="A42" s="341" t="s">
        <v>133</v>
      </c>
      <c r="B42" s="342" t="s">
        <v>351</v>
      </c>
      <c r="C42" s="342"/>
      <c r="D42" s="342"/>
      <c r="E42" s="342"/>
      <c r="F42" s="343" t="s">
        <v>352</v>
      </c>
      <c r="G42" s="343"/>
      <c r="H42" s="353"/>
      <c r="I42" s="354"/>
      <c r="J42" s="353"/>
      <c r="K42" s="353"/>
      <c r="L42" s="353"/>
      <c r="M42" s="353"/>
      <c r="N42" s="353"/>
      <c r="O42" s="353"/>
      <c r="P42" s="353"/>
      <c r="Q42" s="353"/>
      <c r="R42" s="353"/>
      <c r="S42" s="353"/>
      <c r="T42" s="353"/>
      <c r="U42" s="353"/>
      <c r="V42" s="353"/>
      <c r="W42" s="347"/>
      <c r="X42" s="348"/>
      <c r="Y42" s="348"/>
      <c r="Z42" s="348"/>
      <c r="AA42" s="348"/>
      <c r="AB42" s="348"/>
      <c r="AC42" s="348"/>
      <c r="AD42" s="348"/>
      <c r="AE42" s="348"/>
      <c r="AF42" s="348"/>
      <c r="AG42" s="348"/>
      <c r="AH42" s="348"/>
      <c r="AI42" s="348"/>
      <c r="AJ42" s="348"/>
      <c r="AK42" s="348"/>
      <c r="AL42" s="348"/>
      <c r="AM42" s="348"/>
      <c r="AN42" s="348"/>
      <c r="AO42" s="348"/>
      <c r="AP42" s="348"/>
      <c r="AQ42" s="348"/>
      <c r="AR42" s="348"/>
      <c r="AS42" s="348"/>
      <c r="AT42" s="347"/>
      <c r="AU42" s="348"/>
      <c r="AV42" s="348"/>
      <c r="AW42" s="348"/>
      <c r="AX42" s="348"/>
      <c r="AY42" s="348"/>
      <c r="AZ42" s="347"/>
      <c r="BA42" s="348"/>
      <c r="BB42" s="348"/>
      <c r="BC42" s="348"/>
      <c r="BD42" s="348"/>
      <c r="BE42" s="348"/>
      <c r="BF42" s="348"/>
      <c r="BG42" s="347"/>
      <c r="BH42" s="348"/>
      <c r="BI42" s="348"/>
      <c r="BJ42" s="349"/>
      <c r="BK42" s="348"/>
      <c r="BL42" s="348"/>
      <c r="BM42" s="348"/>
      <c r="BN42" s="348"/>
      <c r="BO42" s="348"/>
      <c r="BP42" s="348"/>
      <c r="BQ42" s="348"/>
      <c r="BR42" s="348"/>
      <c r="BS42" s="347"/>
      <c r="BT42" s="348"/>
      <c r="BU42" s="348"/>
      <c r="BV42" s="347"/>
      <c r="BW42" s="347"/>
      <c r="BX42" s="347"/>
    </row>
    <row r="43" spans="1:76" ht="11.25" customHeight="1" x14ac:dyDescent="0.25">
      <c r="A43" s="355" t="s">
        <v>133</v>
      </c>
      <c r="B43" s="356" t="s">
        <v>353</v>
      </c>
      <c r="C43" s="356"/>
      <c r="D43" s="356"/>
      <c r="E43" s="356"/>
      <c r="F43" s="357" t="s">
        <v>354</v>
      </c>
      <c r="G43" s="357"/>
      <c r="H43" s="358"/>
      <c r="I43" s="359"/>
      <c r="J43" s="358"/>
      <c r="K43" s="358"/>
      <c r="L43" s="358"/>
      <c r="M43" s="358"/>
      <c r="N43" s="358"/>
      <c r="O43" s="358"/>
      <c r="P43" s="358"/>
      <c r="Q43" s="358"/>
      <c r="R43" s="358"/>
      <c r="S43" s="358"/>
      <c r="T43" s="358"/>
      <c r="U43" s="358"/>
      <c r="V43" s="358"/>
      <c r="W43" s="360"/>
      <c r="X43" s="361"/>
      <c r="Y43" s="361"/>
      <c r="Z43" s="361"/>
      <c r="AA43" s="361"/>
      <c r="AB43" s="361"/>
      <c r="AC43" s="361"/>
      <c r="AD43" s="361"/>
      <c r="AE43" s="361"/>
      <c r="AF43" s="361"/>
      <c r="AG43" s="361"/>
      <c r="AH43" s="361"/>
      <c r="AI43" s="361"/>
      <c r="AJ43" s="361"/>
      <c r="AK43" s="361"/>
      <c r="AL43" s="361"/>
      <c r="AM43" s="361"/>
      <c r="AN43" s="361"/>
      <c r="AO43" s="361"/>
      <c r="AP43" s="361"/>
      <c r="AQ43" s="361"/>
      <c r="AR43" s="361"/>
      <c r="AS43" s="361"/>
      <c r="AT43" s="360"/>
      <c r="AU43" s="361"/>
      <c r="AV43" s="361"/>
      <c r="AW43" s="361"/>
      <c r="AX43" s="361"/>
      <c r="AY43" s="361"/>
      <c r="AZ43" s="360"/>
      <c r="BA43" s="361"/>
      <c r="BB43" s="361"/>
      <c r="BC43" s="361"/>
      <c r="BD43" s="361"/>
      <c r="BE43" s="361"/>
      <c r="BF43" s="361"/>
      <c r="BG43" s="360"/>
      <c r="BH43" s="361"/>
      <c r="BI43" s="361"/>
      <c r="BJ43" s="362"/>
      <c r="BK43" s="361"/>
      <c r="BL43" s="361"/>
      <c r="BM43" s="361"/>
      <c r="BN43" s="361"/>
      <c r="BO43" s="361"/>
      <c r="BP43" s="361"/>
      <c r="BQ43" s="361"/>
      <c r="BR43" s="361"/>
      <c r="BS43" s="360"/>
      <c r="BT43" s="361"/>
      <c r="BU43" s="361"/>
      <c r="BV43" s="360"/>
      <c r="BW43" s="360"/>
      <c r="BX43" s="360"/>
    </row>
    <row r="44" spans="1:76" ht="11.25" customHeight="1" x14ac:dyDescent="0.25">
      <c r="A44" s="379" t="s">
        <v>355</v>
      </c>
      <c r="B44" s="379"/>
      <c r="C44" s="379"/>
      <c r="D44" s="379"/>
      <c r="E44" s="379"/>
      <c r="F44" s="380" t="s">
        <v>356</v>
      </c>
      <c r="G44" s="380"/>
      <c r="H44" s="381"/>
      <c r="I44" s="382"/>
      <c r="J44" s="381"/>
      <c r="K44" s="381"/>
      <c r="L44" s="381"/>
      <c r="M44" s="381"/>
      <c r="N44" s="381"/>
      <c r="O44" s="381"/>
      <c r="P44" s="381"/>
      <c r="Q44" s="381"/>
      <c r="R44" s="381"/>
      <c r="S44" s="381"/>
      <c r="T44" s="381"/>
      <c r="U44" s="381"/>
      <c r="V44" s="381"/>
      <c r="W44" s="382"/>
      <c r="X44" s="381"/>
      <c r="Y44" s="381"/>
      <c r="Z44" s="381"/>
      <c r="AA44" s="381"/>
      <c r="AB44" s="381"/>
      <c r="AC44" s="381"/>
      <c r="AD44" s="381"/>
      <c r="AE44" s="381"/>
      <c r="AF44" s="381"/>
      <c r="AG44" s="381"/>
      <c r="AH44" s="381"/>
      <c r="AI44" s="381"/>
      <c r="AJ44" s="381"/>
      <c r="AK44" s="381"/>
      <c r="AL44" s="381"/>
      <c r="AM44" s="381"/>
      <c r="AN44" s="381"/>
      <c r="AO44" s="381"/>
      <c r="AP44" s="381"/>
      <c r="AQ44" s="381"/>
      <c r="AR44" s="381"/>
      <c r="AS44" s="381"/>
      <c r="AT44" s="382"/>
      <c r="AU44" s="381"/>
      <c r="AV44" s="381"/>
      <c r="AW44" s="381"/>
      <c r="AX44" s="381"/>
      <c r="AY44" s="381"/>
      <c r="AZ44" s="382"/>
      <c r="BA44" s="381"/>
      <c r="BB44" s="381"/>
      <c r="BC44" s="381"/>
      <c r="BD44" s="381"/>
      <c r="BE44" s="381"/>
      <c r="BF44" s="381"/>
      <c r="BG44" s="382"/>
      <c r="BH44" s="381"/>
      <c r="BI44" s="381"/>
      <c r="BJ44" s="383"/>
      <c r="BK44" s="381"/>
      <c r="BL44" s="381"/>
      <c r="BM44" s="381"/>
      <c r="BN44" s="381"/>
      <c r="BO44" s="381"/>
      <c r="BP44" s="381"/>
      <c r="BQ44" s="381"/>
      <c r="BR44" s="381"/>
      <c r="BS44" s="382"/>
      <c r="BT44" s="381"/>
      <c r="BU44" s="381"/>
      <c r="BV44" s="382"/>
      <c r="BW44" s="382"/>
      <c r="BX44" s="382"/>
    </row>
    <row r="45" spans="1:76" ht="11.25" customHeight="1" x14ac:dyDescent="0.25">
      <c r="A45" s="371" t="s">
        <v>133</v>
      </c>
      <c r="B45" s="372" t="s">
        <v>305</v>
      </c>
      <c r="C45" s="372"/>
      <c r="D45" s="372"/>
      <c r="E45" s="372"/>
      <c r="F45" s="373" t="s">
        <v>357</v>
      </c>
      <c r="G45" s="373"/>
      <c r="H45" s="374"/>
      <c r="I45" s="375"/>
      <c r="J45" s="374"/>
      <c r="K45" s="374"/>
      <c r="L45" s="374"/>
      <c r="M45" s="374"/>
      <c r="N45" s="374"/>
      <c r="O45" s="374"/>
      <c r="P45" s="374"/>
      <c r="Q45" s="374"/>
      <c r="R45" s="374"/>
      <c r="S45" s="374"/>
      <c r="T45" s="374"/>
      <c r="U45" s="374"/>
      <c r="V45" s="374"/>
      <c r="W45" s="375"/>
      <c r="X45" s="374"/>
      <c r="Y45" s="374"/>
      <c r="Z45" s="374"/>
      <c r="AA45" s="374"/>
      <c r="AB45" s="374"/>
      <c r="AC45" s="374"/>
      <c r="AD45" s="374"/>
      <c r="AE45" s="374"/>
      <c r="AF45" s="374"/>
      <c r="AG45" s="374"/>
      <c r="AH45" s="374"/>
      <c r="AI45" s="374"/>
      <c r="AJ45" s="374"/>
      <c r="AK45" s="374"/>
      <c r="AL45" s="374"/>
      <c r="AM45" s="374"/>
      <c r="AN45" s="374"/>
      <c r="AO45" s="374"/>
      <c r="AP45" s="374"/>
      <c r="AQ45" s="374"/>
      <c r="AR45" s="374"/>
      <c r="AS45" s="374"/>
      <c r="AT45" s="375"/>
      <c r="AU45" s="374"/>
      <c r="AV45" s="374"/>
      <c r="AW45" s="374"/>
      <c r="AX45" s="374"/>
      <c r="AY45" s="374"/>
      <c r="AZ45" s="375"/>
      <c r="BA45" s="374"/>
      <c r="BB45" s="374"/>
      <c r="BC45" s="374"/>
      <c r="BD45" s="374"/>
      <c r="BE45" s="374"/>
      <c r="BF45" s="374"/>
      <c r="BG45" s="375"/>
      <c r="BH45" s="374"/>
      <c r="BI45" s="374"/>
      <c r="BJ45" s="384"/>
      <c r="BK45" s="374"/>
      <c r="BL45" s="374"/>
      <c r="BM45" s="374"/>
      <c r="BN45" s="374"/>
      <c r="BO45" s="374"/>
      <c r="BP45" s="374"/>
      <c r="BQ45" s="374"/>
      <c r="BR45" s="374"/>
      <c r="BS45" s="375"/>
      <c r="BT45" s="374"/>
      <c r="BU45" s="374"/>
      <c r="BV45" s="375"/>
      <c r="BW45" s="375"/>
      <c r="BX45" s="375"/>
    </row>
    <row r="46" spans="1:76" ht="11.25" customHeight="1" x14ac:dyDescent="0.25">
      <c r="A46" s="350"/>
      <c r="B46" s="341" t="s">
        <v>133</v>
      </c>
      <c r="C46" s="342" t="s">
        <v>307</v>
      </c>
      <c r="D46" s="342"/>
      <c r="E46" s="342"/>
      <c r="F46" s="343" t="s">
        <v>358</v>
      </c>
      <c r="G46" s="343"/>
      <c r="H46" s="353"/>
      <c r="I46" s="354"/>
      <c r="J46" s="353"/>
      <c r="K46" s="353"/>
      <c r="L46" s="353"/>
      <c r="M46" s="353"/>
      <c r="N46" s="353"/>
      <c r="O46" s="353"/>
      <c r="P46" s="353"/>
      <c r="Q46" s="353"/>
      <c r="R46" s="353"/>
      <c r="S46" s="353"/>
      <c r="T46" s="353"/>
      <c r="U46" s="353"/>
      <c r="V46" s="353"/>
      <c r="W46" s="354"/>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354"/>
      <c r="AU46" s="353"/>
      <c r="AV46" s="353"/>
      <c r="AW46" s="353"/>
      <c r="AX46" s="353"/>
      <c r="AY46" s="353"/>
      <c r="AZ46" s="354"/>
      <c r="BA46" s="353"/>
      <c r="BB46" s="353"/>
      <c r="BC46" s="353"/>
      <c r="BD46" s="353"/>
      <c r="BE46" s="353"/>
      <c r="BF46" s="353"/>
      <c r="BG46" s="354"/>
      <c r="BH46" s="353"/>
      <c r="BI46" s="353"/>
      <c r="BJ46" s="385"/>
      <c r="BK46" s="353"/>
      <c r="BL46" s="353"/>
      <c r="BM46" s="353"/>
      <c r="BN46" s="353"/>
      <c r="BO46" s="353"/>
      <c r="BP46" s="353"/>
      <c r="BQ46" s="353"/>
      <c r="BR46" s="353"/>
      <c r="BS46" s="354"/>
      <c r="BT46" s="353"/>
      <c r="BU46" s="353"/>
      <c r="BV46" s="354"/>
      <c r="BW46" s="354"/>
      <c r="BX46" s="354"/>
    </row>
    <row r="47" spans="1:76" ht="11.25" customHeight="1" x14ac:dyDescent="0.25">
      <c r="A47" s="350"/>
      <c r="B47" s="342"/>
      <c r="C47" s="341" t="s">
        <v>133</v>
      </c>
      <c r="D47" s="342" t="s">
        <v>359</v>
      </c>
      <c r="E47" s="342"/>
      <c r="F47" s="343" t="s">
        <v>360</v>
      </c>
      <c r="G47" s="343"/>
      <c r="H47" s="353"/>
      <c r="I47" s="354"/>
      <c r="J47" s="353"/>
      <c r="K47" s="353"/>
      <c r="L47" s="353"/>
      <c r="M47" s="353"/>
      <c r="N47" s="353"/>
      <c r="O47" s="353"/>
      <c r="P47" s="353"/>
      <c r="Q47" s="353"/>
      <c r="R47" s="353"/>
      <c r="S47" s="353"/>
      <c r="T47" s="353"/>
      <c r="U47" s="353"/>
      <c r="V47" s="353"/>
      <c r="W47" s="354"/>
      <c r="X47" s="353"/>
      <c r="Y47" s="353"/>
      <c r="Z47" s="353"/>
      <c r="AA47" s="353"/>
      <c r="AB47" s="353"/>
      <c r="AC47" s="353"/>
      <c r="AD47" s="353"/>
      <c r="AE47" s="353"/>
      <c r="AF47" s="353"/>
      <c r="AG47" s="353"/>
      <c r="AH47" s="353"/>
      <c r="AI47" s="353"/>
      <c r="AJ47" s="353"/>
      <c r="AK47" s="353"/>
      <c r="AL47" s="353"/>
      <c r="AM47" s="353"/>
      <c r="AN47" s="353"/>
      <c r="AO47" s="353"/>
      <c r="AP47" s="353"/>
      <c r="AQ47" s="353"/>
      <c r="AR47" s="353"/>
      <c r="AS47" s="353"/>
      <c r="AT47" s="354"/>
      <c r="AU47" s="353"/>
      <c r="AV47" s="353"/>
      <c r="AW47" s="353"/>
      <c r="AX47" s="353"/>
      <c r="AY47" s="353"/>
      <c r="AZ47" s="354"/>
      <c r="BA47" s="353"/>
      <c r="BB47" s="353"/>
      <c r="BC47" s="353"/>
      <c r="BD47" s="353"/>
      <c r="BE47" s="353"/>
      <c r="BF47" s="353"/>
      <c r="BG47" s="354"/>
      <c r="BH47" s="353"/>
      <c r="BI47" s="353"/>
      <c r="BJ47" s="385"/>
      <c r="BK47" s="353"/>
      <c r="BL47" s="353"/>
      <c r="BM47" s="353"/>
      <c r="BN47" s="353"/>
      <c r="BO47" s="353"/>
      <c r="BP47" s="353"/>
      <c r="BQ47" s="353"/>
      <c r="BR47" s="353"/>
      <c r="BS47" s="354"/>
      <c r="BT47" s="353"/>
      <c r="BU47" s="353"/>
      <c r="BV47" s="354"/>
      <c r="BW47" s="354"/>
      <c r="BX47" s="354"/>
    </row>
    <row r="48" spans="1:76" ht="11.25" customHeight="1" x14ac:dyDescent="0.25">
      <c r="A48" s="350"/>
      <c r="B48" s="342"/>
      <c r="C48" s="341" t="s">
        <v>133</v>
      </c>
      <c r="D48" s="342" t="s">
        <v>361</v>
      </c>
      <c r="E48" s="342"/>
      <c r="F48" s="343" t="s">
        <v>362</v>
      </c>
      <c r="G48" s="343"/>
      <c r="H48" s="353"/>
      <c r="I48" s="354"/>
      <c r="J48" s="353"/>
      <c r="K48" s="353"/>
      <c r="L48" s="353"/>
      <c r="M48" s="353"/>
      <c r="N48" s="353"/>
      <c r="O48" s="353"/>
      <c r="P48" s="353"/>
      <c r="Q48" s="353"/>
      <c r="R48" s="353"/>
      <c r="S48" s="353"/>
      <c r="T48" s="353"/>
      <c r="U48" s="353"/>
      <c r="V48" s="353"/>
      <c r="W48" s="354"/>
      <c r="X48" s="353"/>
      <c r="Y48" s="353"/>
      <c r="Z48" s="353"/>
      <c r="AA48" s="353"/>
      <c r="AB48" s="353"/>
      <c r="AC48" s="353"/>
      <c r="AD48" s="353"/>
      <c r="AE48" s="353"/>
      <c r="AF48" s="353"/>
      <c r="AG48" s="353"/>
      <c r="AH48" s="353"/>
      <c r="AI48" s="353"/>
      <c r="AJ48" s="353"/>
      <c r="AK48" s="353"/>
      <c r="AL48" s="353"/>
      <c r="AM48" s="353"/>
      <c r="AN48" s="353"/>
      <c r="AO48" s="353"/>
      <c r="AP48" s="353"/>
      <c r="AQ48" s="353"/>
      <c r="AR48" s="353"/>
      <c r="AS48" s="353"/>
      <c r="AT48" s="354"/>
      <c r="AU48" s="353"/>
      <c r="AV48" s="353"/>
      <c r="AW48" s="353"/>
      <c r="AX48" s="353"/>
      <c r="AY48" s="353"/>
      <c r="AZ48" s="354"/>
      <c r="BA48" s="353"/>
      <c r="BB48" s="353"/>
      <c r="BC48" s="353"/>
      <c r="BD48" s="353"/>
      <c r="BE48" s="353"/>
      <c r="BF48" s="353"/>
      <c r="BG48" s="354"/>
      <c r="BH48" s="353"/>
      <c r="BI48" s="353"/>
      <c r="BJ48" s="385"/>
      <c r="BK48" s="353"/>
      <c r="BL48" s="353"/>
      <c r="BM48" s="353"/>
      <c r="BN48" s="353"/>
      <c r="BO48" s="353"/>
      <c r="BP48" s="353"/>
      <c r="BQ48" s="353"/>
      <c r="BR48" s="353"/>
      <c r="BS48" s="354"/>
      <c r="BT48" s="353"/>
      <c r="BU48" s="353"/>
      <c r="BV48" s="354"/>
      <c r="BW48" s="354"/>
      <c r="BX48" s="354"/>
    </row>
    <row r="49" spans="1:76" ht="11.25" customHeight="1" x14ac:dyDescent="0.25">
      <c r="A49" s="350"/>
      <c r="B49" s="342"/>
      <c r="C49" s="341" t="s">
        <v>133</v>
      </c>
      <c r="D49" s="342" t="s">
        <v>363</v>
      </c>
      <c r="E49" s="342"/>
      <c r="F49" s="343" t="s">
        <v>364</v>
      </c>
      <c r="G49" s="343"/>
      <c r="H49" s="353"/>
      <c r="I49" s="354"/>
      <c r="J49" s="353"/>
      <c r="K49" s="353"/>
      <c r="L49" s="353"/>
      <c r="M49" s="353"/>
      <c r="N49" s="353"/>
      <c r="O49" s="353"/>
      <c r="P49" s="353"/>
      <c r="Q49" s="353"/>
      <c r="R49" s="353"/>
      <c r="S49" s="353"/>
      <c r="T49" s="353"/>
      <c r="U49" s="353"/>
      <c r="V49" s="353"/>
      <c r="W49" s="354"/>
      <c r="X49" s="353"/>
      <c r="Y49" s="353"/>
      <c r="Z49" s="353"/>
      <c r="AA49" s="353"/>
      <c r="AB49" s="353"/>
      <c r="AC49" s="353"/>
      <c r="AD49" s="353"/>
      <c r="AE49" s="353"/>
      <c r="AF49" s="353"/>
      <c r="AG49" s="353"/>
      <c r="AH49" s="353"/>
      <c r="AI49" s="353"/>
      <c r="AJ49" s="353"/>
      <c r="AK49" s="353"/>
      <c r="AL49" s="353"/>
      <c r="AM49" s="353"/>
      <c r="AN49" s="353"/>
      <c r="AO49" s="353"/>
      <c r="AP49" s="353"/>
      <c r="AQ49" s="353"/>
      <c r="AR49" s="353"/>
      <c r="AS49" s="353"/>
      <c r="AT49" s="354"/>
      <c r="AU49" s="353"/>
      <c r="AV49" s="353"/>
      <c r="AW49" s="353"/>
      <c r="AX49" s="353"/>
      <c r="AY49" s="353"/>
      <c r="AZ49" s="354"/>
      <c r="BA49" s="353"/>
      <c r="BB49" s="353"/>
      <c r="BC49" s="353"/>
      <c r="BD49" s="353"/>
      <c r="BE49" s="353"/>
      <c r="BF49" s="353"/>
      <c r="BG49" s="354"/>
      <c r="BH49" s="353"/>
      <c r="BI49" s="353"/>
      <c r="BJ49" s="385"/>
      <c r="BK49" s="353"/>
      <c r="BL49" s="353"/>
      <c r="BM49" s="353"/>
      <c r="BN49" s="353"/>
      <c r="BO49" s="353"/>
      <c r="BP49" s="353"/>
      <c r="BQ49" s="353"/>
      <c r="BR49" s="353"/>
      <c r="BS49" s="354"/>
      <c r="BT49" s="353"/>
      <c r="BU49" s="353"/>
      <c r="BV49" s="354"/>
      <c r="BW49" s="354"/>
      <c r="BX49" s="354"/>
    </row>
    <row r="50" spans="1:76" ht="11.25" customHeight="1" x14ac:dyDescent="0.25">
      <c r="A50" s="350"/>
      <c r="B50" s="342"/>
      <c r="C50" s="341" t="s">
        <v>133</v>
      </c>
      <c r="D50" s="342" t="s">
        <v>365</v>
      </c>
      <c r="E50" s="342"/>
      <c r="F50" s="343" t="s">
        <v>366</v>
      </c>
      <c r="G50" s="343"/>
      <c r="H50" s="353"/>
      <c r="I50" s="354"/>
      <c r="J50" s="353"/>
      <c r="K50" s="353"/>
      <c r="L50" s="353"/>
      <c r="M50" s="353"/>
      <c r="N50" s="353"/>
      <c r="O50" s="353"/>
      <c r="P50" s="353"/>
      <c r="Q50" s="353"/>
      <c r="R50" s="353"/>
      <c r="S50" s="353"/>
      <c r="T50" s="353"/>
      <c r="U50" s="353"/>
      <c r="V50" s="353"/>
      <c r="W50" s="354"/>
      <c r="X50" s="353"/>
      <c r="Y50" s="353"/>
      <c r="Z50" s="353"/>
      <c r="AA50" s="353"/>
      <c r="AB50" s="353"/>
      <c r="AC50" s="353"/>
      <c r="AD50" s="353"/>
      <c r="AE50" s="353"/>
      <c r="AF50" s="353"/>
      <c r="AG50" s="353"/>
      <c r="AH50" s="353"/>
      <c r="AI50" s="353"/>
      <c r="AJ50" s="353"/>
      <c r="AK50" s="353"/>
      <c r="AL50" s="353"/>
      <c r="AM50" s="353"/>
      <c r="AN50" s="353"/>
      <c r="AO50" s="353"/>
      <c r="AP50" s="353"/>
      <c r="AQ50" s="353"/>
      <c r="AR50" s="353"/>
      <c r="AS50" s="353"/>
      <c r="AT50" s="354"/>
      <c r="AU50" s="353"/>
      <c r="AV50" s="353"/>
      <c r="AW50" s="353"/>
      <c r="AX50" s="353"/>
      <c r="AY50" s="353"/>
      <c r="AZ50" s="354"/>
      <c r="BA50" s="353"/>
      <c r="BB50" s="353"/>
      <c r="BC50" s="353"/>
      <c r="BD50" s="353"/>
      <c r="BE50" s="353"/>
      <c r="BF50" s="353"/>
      <c r="BG50" s="354"/>
      <c r="BH50" s="353"/>
      <c r="BI50" s="353"/>
      <c r="BJ50" s="385"/>
      <c r="BK50" s="353"/>
      <c r="BL50" s="353"/>
      <c r="BM50" s="353"/>
      <c r="BN50" s="353"/>
      <c r="BO50" s="353"/>
      <c r="BP50" s="353"/>
      <c r="BQ50" s="353"/>
      <c r="BR50" s="353"/>
      <c r="BS50" s="354"/>
      <c r="BT50" s="353"/>
      <c r="BU50" s="353"/>
      <c r="BV50" s="354"/>
      <c r="BW50" s="354"/>
      <c r="BX50" s="354"/>
    </row>
    <row r="51" spans="1:76" ht="11.25" customHeight="1" x14ac:dyDescent="0.25">
      <c r="A51" s="350"/>
      <c r="B51" s="342"/>
      <c r="C51" s="341" t="s">
        <v>133</v>
      </c>
      <c r="D51" s="342" t="s">
        <v>367</v>
      </c>
      <c r="E51" s="342"/>
      <c r="F51" s="343" t="s">
        <v>368</v>
      </c>
      <c r="G51" s="343"/>
      <c r="H51" s="353"/>
      <c r="I51" s="354"/>
      <c r="J51" s="353"/>
      <c r="K51" s="353"/>
      <c r="L51" s="353"/>
      <c r="M51" s="353"/>
      <c r="N51" s="353"/>
      <c r="O51" s="353"/>
      <c r="P51" s="353"/>
      <c r="Q51" s="353"/>
      <c r="R51" s="353"/>
      <c r="S51" s="353"/>
      <c r="T51" s="353"/>
      <c r="U51" s="353"/>
      <c r="V51" s="353"/>
      <c r="W51" s="354"/>
      <c r="X51" s="353"/>
      <c r="Y51" s="353"/>
      <c r="Z51" s="353"/>
      <c r="AA51" s="353"/>
      <c r="AB51" s="353"/>
      <c r="AC51" s="353"/>
      <c r="AD51" s="353"/>
      <c r="AE51" s="353"/>
      <c r="AF51" s="353"/>
      <c r="AG51" s="353"/>
      <c r="AH51" s="353"/>
      <c r="AI51" s="353"/>
      <c r="AJ51" s="353"/>
      <c r="AK51" s="353"/>
      <c r="AL51" s="353"/>
      <c r="AM51" s="353"/>
      <c r="AN51" s="353"/>
      <c r="AO51" s="353"/>
      <c r="AP51" s="353"/>
      <c r="AQ51" s="353"/>
      <c r="AR51" s="353"/>
      <c r="AS51" s="353"/>
      <c r="AT51" s="354"/>
      <c r="AU51" s="353"/>
      <c r="AV51" s="353"/>
      <c r="AW51" s="353"/>
      <c r="AX51" s="353"/>
      <c r="AY51" s="353"/>
      <c r="AZ51" s="354"/>
      <c r="BA51" s="353"/>
      <c r="BB51" s="353"/>
      <c r="BC51" s="353"/>
      <c r="BD51" s="353"/>
      <c r="BE51" s="353"/>
      <c r="BF51" s="353"/>
      <c r="BG51" s="354"/>
      <c r="BH51" s="353"/>
      <c r="BI51" s="353"/>
      <c r="BJ51" s="385"/>
      <c r="BK51" s="353"/>
      <c r="BL51" s="353"/>
      <c r="BM51" s="353"/>
      <c r="BN51" s="353"/>
      <c r="BO51" s="353"/>
      <c r="BP51" s="353"/>
      <c r="BQ51" s="353"/>
      <c r="BR51" s="353"/>
      <c r="BS51" s="354"/>
      <c r="BT51" s="353"/>
      <c r="BU51" s="353"/>
      <c r="BV51" s="354"/>
      <c r="BW51" s="354"/>
      <c r="BX51" s="354"/>
    </row>
    <row r="52" spans="1:76" ht="11.25" customHeight="1" x14ac:dyDescent="0.25">
      <c r="A52" s="350"/>
      <c r="B52" s="342"/>
      <c r="C52" s="341" t="s">
        <v>133</v>
      </c>
      <c r="D52" s="342" t="s">
        <v>369</v>
      </c>
      <c r="E52" s="342"/>
      <c r="F52" s="343" t="s">
        <v>370</v>
      </c>
      <c r="G52" s="343"/>
      <c r="H52" s="353"/>
      <c r="I52" s="354"/>
      <c r="J52" s="353"/>
      <c r="K52" s="353"/>
      <c r="L52" s="353"/>
      <c r="M52" s="353"/>
      <c r="N52" s="353"/>
      <c r="O52" s="353"/>
      <c r="P52" s="353"/>
      <c r="Q52" s="353"/>
      <c r="R52" s="353"/>
      <c r="S52" s="353"/>
      <c r="T52" s="353"/>
      <c r="U52" s="353"/>
      <c r="V52" s="353"/>
      <c r="W52" s="354"/>
      <c r="X52" s="353"/>
      <c r="Y52" s="353"/>
      <c r="Z52" s="353"/>
      <c r="AA52" s="353"/>
      <c r="AB52" s="353"/>
      <c r="AC52" s="353"/>
      <c r="AD52" s="353"/>
      <c r="AE52" s="353"/>
      <c r="AF52" s="353"/>
      <c r="AG52" s="353"/>
      <c r="AH52" s="353"/>
      <c r="AI52" s="353"/>
      <c r="AJ52" s="353"/>
      <c r="AK52" s="353"/>
      <c r="AL52" s="353"/>
      <c r="AM52" s="353"/>
      <c r="AN52" s="353"/>
      <c r="AO52" s="353"/>
      <c r="AP52" s="353"/>
      <c r="AQ52" s="353"/>
      <c r="AR52" s="353"/>
      <c r="AS52" s="353"/>
      <c r="AT52" s="354"/>
      <c r="AU52" s="353"/>
      <c r="AV52" s="353"/>
      <c r="AW52" s="353"/>
      <c r="AX52" s="353"/>
      <c r="AY52" s="353"/>
      <c r="AZ52" s="354"/>
      <c r="BA52" s="353"/>
      <c r="BB52" s="353"/>
      <c r="BC52" s="353"/>
      <c r="BD52" s="353"/>
      <c r="BE52" s="353"/>
      <c r="BF52" s="353"/>
      <c r="BG52" s="354"/>
      <c r="BH52" s="353"/>
      <c r="BI52" s="353"/>
      <c r="BJ52" s="385"/>
      <c r="BK52" s="353"/>
      <c r="BL52" s="353"/>
      <c r="BM52" s="353"/>
      <c r="BN52" s="353"/>
      <c r="BO52" s="353"/>
      <c r="BP52" s="353"/>
      <c r="BQ52" s="353"/>
      <c r="BR52" s="353"/>
      <c r="BS52" s="354"/>
      <c r="BT52" s="353"/>
      <c r="BU52" s="353"/>
      <c r="BV52" s="354"/>
      <c r="BW52" s="354"/>
      <c r="BX52" s="354"/>
    </row>
    <row r="53" spans="1:76" ht="11.25" customHeight="1" x14ac:dyDescent="0.25">
      <c r="A53" s="350"/>
      <c r="B53" s="342"/>
      <c r="C53" s="341" t="s">
        <v>133</v>
      </c>
      <c r="D53" s="342" t="s">
        <v>371</v>
      </c>
      <c r="E53" s="342"/>
      <c r="F53" s="343" t="s">
        <v>372</v>
      </c>
      <c r="G53" s="343"/>
      <c r="H53" s="353"/>
      <c r="I53" s="354"/>
      <c r="J53" s="353"/>
      <c r="K53" s="353"/>
      <c r="L53" s="353"/>
      <c r="M53" s="353"/>
      <c r="N53" s="353"/>
      <c r="O53" s="353"/>
      <c r="P53" s="353"/>
      <c r="Q53" s="353"/>
      <c r="R53" s="353"/>
      <c r="S53" s="353"/>
      <c r="T53" s="353"/>
      <c r="U53" s="353"/>
      <c r="V53" s="353"/>
      <c r="W53" s="354"/>
      <c r="X53" s="353"/>
      <c r="Y53" s="353"/>
      <c r="Z53" s="353"/>
      <c r="AA53" s="353"/>
      <c r="AB53" s="353"/>
      <c r="AC53" s="353"/>
      <c r="AD53" s="353"/>
      <c r="AE53" s="353"/>
      <c r="AF53" s="353"/>
      <c r="AG53" s="353"/>
      <c r="AH53" s="353"/>
      <c r="AI53" s="353"/>
      <c r="AJ53" s="353"/>
      <c r="AK53" s="353"/>
      <c r="AL53" s="353"/>
      <c r="AM53" s="353"/>
      <c r="AN53" s="353"/>
      <c r="AO53" s="353"/>
      <c r="AP53" s="353"/>
      <c r="AQ53" s="353"/>
      <c r="AR53" s="353"/>
      <c r="AS53" s="353"/>
      <c r="AT53" s="354"/>
      <c r="AU53" s="353"/>
      <c r="AV53" s="353"/>
      <c r="AW53" s="353"/>
      <c r="AX53" s="353"/>
      <c r="AY53" s="353"/>
      <c r="AZ53" s="354"/>
      <c r="BA53" s="353"/>
      <c r="BB53" s="353"/>
      <c r="BC53" s="353"/>
      <c r="BD53" s="353"/>
      <c r="BE53" s="353"/>
      <c r="BF53" s="353"/>
      <c r="BG53" s="354"/>
      <c r="BH53" s="353"/>
      <c r="BI53" s="353"/>
      <c r="BJ53" s="385"/>
      <c r="BK53" s="353"/>
      <c r="BL53" s="353"/>
      <c r="BM53" s="353"/>
      <c r="BN53" s="353"/>
      <c r="BO53" s="353"/>
      <c r="BP53" s="353"/>
      <c r="BQ53" s="353"/>
      <c r="BR53" s="353"/>
      <c r="BS53" s="354"/>
      <c r="BT53" s="353"/>
      <c r="BU53" s="353"/>
      <c r="BV53" s="354"/>
      <c r="BW53" s="354"/>
      <c r="BX53" s="354"/>
    </row>
    <row r="54" spans="1:76" ht="11.25" customHeight="1" x14ac:dyDescent="0.25">
      <c r="A54" s="350"/>
      <c r="B54" s="342"/>
      <c r="C54" s="341" t="s">
        <v>133</v>
      </c>
      <c r="D54" s="342" t="s">
        <v>373</v>
      </c>
      <c r="E54" s="342"/>
      <c r="F54" s="343" t="s">
        <v>374</v>
      </c>
      <c r="G54" s="343"/>
      <c r="H54" s="353"/>
      <c r="I54" s="354"/>
      <c r="J54" s="353"/>
      <c r="K54" s="353"/>
      <c r="L54" s="353"/>
      <c r="M54" s="353"/>
      <c r="N54" s="353"/>
      <c r="O54" s="353"/>
      <c r="P54" s="353"/>
      <c r="Q54" s="353"/>
      <c r="R54" s="353"/>
      <c r="S54" s="353"/>
      <c r="T54" s="353"/>
      <c r="U54" s="353"/>
      <c r="V54" s="353"/>
      <c r="W54" s="354"/>
      <c r="X54" s="353"/>
      <c r="Y54" s="353"/>
      <c r="Z54" s="353"/>
      <c r="AA54" s="353"/>
      <c r="AB54" s="353"/>
      <c r="AC54" s="353"/>
      <c r="AD54" s="353"/>
      <c r="AE54" s="353"/>
      <c r="AF54" s="353"/>
      <c r="AG54" s="353"/>
      <c r="AH54" s="353"/>
      <c r="AI54" s="353"/>
      <c r="AJ54" s="353"/>
      <c r="AK54" s="353"/>
      <c r="AL54" s="353"/>
      <c r="AM54" s="353"/>
      <c r="AN54" s="353"/>
      <c r="AO54" s="353"/>
      <c r="AP54" s="353"/>
      <c r="AQ54" s="353"/>
      <c r="AR54" s="353"/>
      <c r="AS54" s="353"/>
      <c r="AT54" s="354"/>
      <c r="AU54" s="353"/>
      <c r="AV54" s="353"/>
      <c r="AW54" s="353"/>
      <c r="AX54" s="353"/>
      <c r="AY54" s="353"/>
      <c r="AZ54" s="354"/>
      <c r="BA54" s="353"/>
      <c r="BB54" s="353"/>
      <c r="BC54" s="353"/>
      <c r="BD54" s="353"/>
      <c r="BE54" s="353"/>
      <c r="BF54" s="353"/>
      <c r="BG54" s="354"/>
      <c r="BH54" s="353"/>
      <c r="BI54" s="353"/>
      <c r="BJ54" s="385"/>
      <c r="BK54" s="353"/>
      <c r="BL54" s="353"/>
      <c r="BM54" s="353"/>
      <c r="BN54" s="353"/>
      <c r="BO54" s="353"/>
      <c r="BP54" s="353"/>
      <c r="BQ54" s="353"/>
      <c r="BR54" s="353"/>
      <c r="BS54" s="354"/>
      <c r="BT54" s="353"/>
      <c r="BU54" s="353"/>
      <c r="BV54" s="354"/>
      <c r="BW54" s="354"/>
      <c r="BX54" s="354"/>
    </row>
    <row r="55" spans="1:76" ht="11.25" customHeight="1" x14ac:dyDescent="0.25">
      <c r="A55" s="350"/>
      <c r="B55" s="342"/>
      <c r="C55" s="341" t="s">
        <v>133</v>
      </c>
      <c r="D55" s="342" t="s">
        <v>375</v>
      </c>
      <c r="E55" s="342"/>
      <c r="F55" s="343" t="s">
        <v>376</v>
      </c>
      <c r="G55" s="343"/>
      <c r="H55" s="353"/>
      <c r="I55" s="354"/>
      <c r="J55" s="353"/>
      <c r="K55" s="353"/>
      <c r="L55" s="353"/>
      <c r="M55" s="353"/>
      <c r="N55" s="353"/>
      <c r="O55" s="353"/>
      <c r="P55" s="353"/>
      <c r="Q55" s="353"/>
      <c r="R55" s="353"/>
      <c r="S55" s="353"/>
      <c r="T55" s="353"/>
      <c r="U55" s="353"/>
      <c r="V55" s="353"/>
      <c r="W55" s="354"/>
      <c r="X55" s="353"/>
      <c r="Y55" s="353"/>
      <c r="Z55" s="353"/>
      <c r="AA55" s="353"/>
      <c r="AB55" s="353"/>
      <c r="AC55" s="353"/>
      <c r="AD55" s="353"/>
      <c r="AE55" s="353"/>
      <c r="AF55" s="353"/>
      <c r="AG55" s="353"/>
      <c r="AH55" s="353"/>
      <c r="AI55" s="353"/>
      <c r="AJ55" s="353"/>
      <c r="AK55" s="353"/>
      <c r="AL55" s="353"/>
      <c r="AM55" s="353"/>
      <c r="AN55" s="353"/>
      <c r="AO55" s="353"/>
      <c r="AP55" s="353"/>
      <c r="AQ55" s="353"/>
      <c r="AR55" s="353"/>
      <c r="AS55" s="353"/>
      <c r="AT55" s="354"/>
      <c r="AU55" s="353"/>
      <c r="AV55" s="353"/>
      <c r="AW55" s="353"/>
      <c r="AX55" s="353"/>
      <c r="AY55" s="353"/>
      <c r="AZ55" s="354"/>
      <c r="BA55" s="353"/>
      <c r="BB55" s="353"/>
      <c r="BC55" s="353"/>
      <c r="BD55" s="353"/>
      <c r="BE55" s="353"/>
      <c r="BF55" s="353"/>
      <c r="BG55" s="354"/>
      <c r="BH55" s="353"/>
      <c r="BI55" s="353"/>
      <c r="BJ55" s="385"/>
      <c r="BK55" s="353"/>
      <c r="BL55" s="353"/>
      <c r="BM55" s="353"/>
      <c r="BN55" s="353"/>
      <c r="BO55" s="353"/>
      <c r="BP55" s="353"/>
      <c r="BQ55" s="353"/>
      <c r="BR55" s="353"/>
      <c r="BS55" s="354"/>
      <c r="BT55" s="353"/>
      <c r="BU55" s="353"/>
      <c r="BV55" s="354"/>
      <c r="BW55" s="354"/>
      <c r="BX55" s="354"/>
    </row>
    <row r="56" spans="1:76" ht="11.25" customHeight="1" x14ac:dyDescent="0.25">
      <c r="A56" s="350"/>
      <c r="B56" s="342"/>
      <c r="C56" s="341" t="s">
        <v>133</v>
      </c>
      <c r="D56" s="342" t="s">
        <v>377</v>
      </c>
      <c r="E56" s="342"/>
      <c r="F56" s="343" t="s">
        <v>378</v>
      </c>
      <c r="G56" s="343"/>
      <c r="H56" s="353"/>
      <c r="I56" s="354"/>
      <c r="J56" s="353"/>
      <c r="K56" s="353"/>
      <c r="L56" s="353"/>
      <c r="M56" s="353"/>
      <c r="N56" s="353"/>
      <c r="O56" s="353"/>
      <c r="P56" s="353"/>
      <c r="Q56" s="353"/>
      <c r="R56" s="353"/>
      <c r="S56" s="353"/>
      <c r="T56" s="353"/>
      <c r="U56" s="353"/>
      <c r="V56" s="353"/>
      <c r="W56" s="354"/>
      <c r="X56" s="353"/>
      <c r="Y56" s="353"/>
      <c r="Z56" s="353"/>
      <c r="AA56" s="353"/>
      <c r="AB56" s="353"/>
      <c r="AC56" s="353"/>
      <c r="AD56" s="353"/>
      <c r="AE56" s="353"/>
      <c r="AF56" s="353"/>
      <c r="AG56" s="353"/>
      <c r="AH56" s="353"/>
      <c r="AI56" s="353"/>
      <c r="AJ56" s="353"/>
      <c r="AK56" s="353"/>
      <c r="AL56" s="353"/>
      <c r="AM56" s="353"/>
      <c r="AN56" s="353"/>
      <c r="AO56" s="353"/>
      <c r="AP56" s="353"/>
      <c r="AQ56" s="353"/>
      <c r="AR56" s="353"/>
      <c r="AS56" s="353"/>
      <c r="AT56" s="354"/>
      <c r="AU56" s="353"/>
      <c r="AV56" s="353"/>
      <c r="AW56" s="353"/>
      <c r="AX56" s="353"/>
      <c r="AY56" s="353"/>
      <c r="AZ56" s="354"/>
      <c r="BA56" s="353"/>
      <c r="BB56" s="353"/>
      <c r="BC56" s="353"/>
      <c r="BD56" s="353"/>
      <c r="BE56" s="353"/>
      <c r="BF56" s="353"/>
      <c r="BG56" s="354"/>
      <c r="BH56" s="353"/>
      <c r="BI56" s="353"/>
      <c r="BJ56" s="385"/>
      <c r="BK56" s="353"/>
      <c r="BL56" s="353"/>
      <c r="BM56" s="353"/>
      <c r="BN56" s="353"/>
      <c r="BO56" s="353"/>
      <c r="BP56" s="353"/>
      <c r="BQ56" s="353"/>
      <c r="BR56" s="353"/>
      <c r="BS56" s="354"/>
      <c r="BT56" s="353"/>
      <c r="BU56" s="353"/>
      <c r="BV56" s="354"/>
      <c r="BW56" s="354"/>
      <c r="BX56" s="354"/>
    </row>
    <row r="57" spans="1:76" ht="11.25" customHeight="1" x14ac:dyDescent="0.25">
      <c r="A57" s="350"/>
      <c r="B57" s="342"/>
      <c r="C57" s="341" t="s">
        <v>133</v>
      </c>
      <c r="D57" s="342" t="s">
        <v>379</v>
      </c>
      <c r="E57" s="342"/>
      <c r="F57" s="343" t="s">
        <v>380</v>
      </c>
      <c r="G57" s="343"/>
      <c r="H57" s="353"/>
      <c r="I57" s="354"/>
      <c r="J57" s="353"/>
      <c r="K57" s="353"/>
      <c r="L57" s="353"/>
      <c r="M57" s="353"/>
      <c r="N57" s="353"/>
      <c r="O57" s="353"/>
      <c r="P57" s="353"/>
      <c r="Q57" s="353"/>
      <c r="R57" s="353"/>
      <c r="S57" s="353"/>
      <c r="T57" s="353"/>
      <c r="U57" s="353"/>
      <c r="V57" s="353"/>
      <c r="W57" s="354"/>
      <c r="X57" s="353"/>
      <c r="Y57" s="353"/>
      <c r="Z57" s="353"/>
      <c r="AA57" s="353"/>
      <c r="AB57" s="353"/>
      <c r="AC57" s="353"/>
      <c r="AD57" s="353"/>
      <c r="AE57" s="353"/>
      <c r="AF57" s="353"/>
      <c r="AG57" s="353"/>
      <c r="AH57" s="353"/>
      <c r="AI57" s="353"/>
      <c r="AJ57" s="353"/>
      <c r="AK57" s="353"/>
      <c r="AL57" s="353"/>
      <c r="AM57" s="353"/>
      <c r="AN57" s="353"/>
      <c r="AO57" s="353"/>
      <c r="AP57" s="353"/>
      <c r="AQ57" s="353"/>
      <c r="AR57" s="353"/>
      <c r="AS57" s="353"/>
      <c r="AT57" s="354"/>
      <c r="AU57" s="353"/>
      <c r="AV57" s="353"/>
      <c r="AW57" s="353"/>
      <c r="AX57" s="353"/>
      <c r="AY57" s="353"/>
      <c r="AZ57" s="354"/>
      <c r="BA57" s="353"/>
      <c r="BB57" s="353"/>
      <c r="BC57" s="353"/>
      <c r="BD57" s="353"/>
      <c r="BE57" s="353"/>
      <c r="BF57" s="353"/>
      <c r="BG57" s="354"/>
      <c r="BH57" s="353"/>
      <c r="BI57" s="353"/>
      <c r="BJ57" s="385"/>
      <c r="BK57" s="353"/>
      <c r="BL57" s="353"/>
      <c r="BM57" s="353"/>
      <c r="BN57" s="353"/>
      <c r="BO57" s="353"/>
      <c r="BP57" s="353"/>
      <c r="BQ57" s="353"/>
      <c r="BR57" s="353"/>
      <c r="BS57" s="354"/>
      <c r="BT57" s="353"/>
      <c r="BU57" s="353"/>
      <c r="BV57" s="354"/>
      <c r="BW57" s="354"/>
      <c r="BX57" s="354"/>
    </row>
    <row r="58" spans="1:76" ht="11.25" customHeight="1" x14ac:dyDescent="0.25">
      <c r="A58" s="350"/>
      <c r="B58" s="342"/>
      <c r="C58" s="341" t="s">
        <v>133</v>
      </c>
      <c r="D58" s="342" t="s">
        <v>381</v>
      </c>
      <c r="E58" s="342"/>
      <c r="F58" s="343" t="s">
        <v>382</v>
      </c>
      <c r="G58" s="343"/>
      <c r="H58" s="353"/>
      <c r="I58" s="354"/>
      <c r="J58" s="353"/>
      <c r="K58" s="353"/>
      <c r="L58" s="353"/>
      <c r="M58" s="353"/>
      <c r="N58" s="353"/>
      <c r="O58" s="353"/>
      <c r="P58" s="353"/>
      <c r="Q58" s="353"/>
      <c r="R58" s="353"/>
      <c r="S58" s="353"/>
      <c r="T58" s="353"/>
      <c r="U58" s="353"/>
      <c r="V58" s="353"/>
      <c r="W58" s="354"/>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4"/>
      <c r="AU58" s="353"/>
      <c r="AV58" s="353"/>
      <c r="AW58" s="353"/>
      <c r="AX58" s="353"/>
      <c r="AY58" s="353"/>
      <c r="AZ58" s="354"/>
      <c r="BA58" s="353"/>
      <c r="BB58" s="353"/>
      <c r="BC58" s="353"/>
      <c r="BD58" s="353"/>
      <c r="BE58" s="353"/>
      <c r="BF58" s="353"/>
      <c r="BG58" s="354"/>
      <c r="BH58" s="353"/>
      <c r="BI58" s="353"/>
      <c r="BJ58" s="385"/>
      <c r="BK58" s="353"/>
      <c r="BL58" s="353"/>
      <c r="BM58" s="353"/>
      <c r="BN58" s="353"/>
      <c r="BO58" s="353"/>
      <c r="BP58" s="353"/>
      <c r="BQ58" s="353"/>
      <c r="BR58" s="353"/>
      <c r="BS58" s="354"/>
      <c r="BT58" s="353"/>
      <c r="BU58" s="353"/>
      <c r="BV58" s="354"/>
      <c r="BW58" s="354"/>
      <c r="BX58" s="354"/>
    </row>
    <row r="59" spans="1:76" ht="11.25" customHeight="1" x14ac:dyDescent="0.25">
      <c r="A59" s="350"/>
      <c r="B59" s="342"/>
      <c r="C59" s="341" t="s">
        <v>133</v>
      </c>
      <c r="D59" s="342" t="s">
        <v>383</v>
      </c>
      <c r="E59" s="342"/>
      <c r="F59" s="343" t="s">
        <v>384</v>
      </c>
      <c r="G59" s="343"/>
      <c r="H59" s="353"/>
      <c r="I59" s="354"/>
      <c r="J59" s="353"/>
      <c r="K59" s="353"/>
      <c r="L59" s="353"/>
      <c r="M59" s="353"/>
      <c r="N59" s="353"/>
      <c r="O59" s="353"/>
      <c r="P59" s="353"/>
      <c r="Q59" s="353"/>
      <c r="R59" s="353"/>
      <c r="S59" s="353"/>
      <c r="T59" s="353"/>
      <c r="U59" s="353"/>
      <c r="V59" s="353"/>
      <c r="W59" s="354"/>
      <c r="X59" s="353"/>
      <c r="Y59" s="353"/>
      <c r="Z59" s="353"/>
      <c r="AA59" s="353"/>
      <c r="AB59" s="353"/>
      <c r="AC59" s="353"/>
      <c r="AD59" s="353"/>
      <c r="AE59" s="353"/>
      <c r="AF59" s="353"/>
      <c r="AG59" s="353"/>
      <c r="AH59" s="353"/>
      <c r="AI59" s="353"/>
      <c r="AJ59" s="353"/>
      <c r="AK59" s="353"/>
      <c r="AL59" s="353"/>
      <c r="AM59" s="353"/>
      <c r="AN59" s="353"/>
      <c r="AO59" s="353"/>
      <c r="AP59" s="353"/>
      <c r="AQ59" s="353"/>
      <c r="AR59" s="353"/>
      <c r="AS59" s="353"/>
      <c r="AT59" s="354"/>
      <c r="AU59" s="353"/>
      <c r="AV59" s="353"/>
      <c r="AW59" s="353"/>
      <c r="AX59" s="353"/>
      <c r="AY59" s="353"/>
      <c r="AZ59" s="354"/>
      <c r="BA59" s="353"/>
      <c r="BB59" s="353"/>
      <c r="BC59" s="353"/>
      <c r="BD59" s="353"/>
      <c r="BE59" s="353"/>
      <c r="BF59" s="353"/>
      <c r="BG59" s="354"/>
      <c r="BH59" s="353"/>
      <c r="BI59" s="353"/>
      <c r="BJ59" s="385"/>
      <c r="BK59" s="353"/>
      <c r="BL59" s="353"/>
      <c r="BM59" s="353"/>
      <c r="BN59" s="353"/>
      <c r="BO59" s="353"/>
      <c r="BP59" s="353"/>
      <c r="BQ59" s="353"/>
      <c r="BR59" s="353"/>
      <c r="BS59" s="354"/>
      <c r="BT59" s="353"/>
      <c r="BU59" s="353"/>
      <c r="BV59" s="354"/>
      <c r="BW59" s="354"/>
      <c r="BX59" s="354"/>
    </row>
    <row r="60" spans="1:76" ht="11.25" customHeight="1" x14ac:dyDescent="0.25">
      <c r="A60" s="350"/>
      <c r="B60" s="342"/>
      <c r="C60" s="341" t="s">
        <v>133</v>
      </c>
      <c r="D60" s="342" t="s">
        <v>385</v>
      </c>
      <c r="E60" s="342"/>
      <c r="F60" s="343" t="s">
        <v>386</v>
      </c>
      <c r="G60" s="343"/>
      <c r="H60" s="353"/>
      <c r="I60" s="354"/>
      <c r="J60" s="353"/>
      <c r="K60" s="353"/>
      <c r="L60" s="353"/>
      <c r="M60" s="353"/>
      <c r="N60" s="353"/>
      <c r="O60" s="353"/>
      <c r="P60" s="353"/>
      <c r="Q60" s="353"/>
      <c r="R60" s="353"/>
      <c r="S60" s="353"/>
      <c r="T60" s="353"/>
      <c r="U60" s="353"/>
      <c r="V60" s="353"/>
      <c r="W60" s="354"/>
      <c r="X60" s="353"/>
      <c r="Y60" s="353"/>
      <c r="Z60" s="353"/>
      <c r="AA60" s="353"/>
      <c r="AB60" s="353"/>
      <c r="AC60" s="353"/>
      <c r="AD60" s="353"/>
      <c r="AE60" s="353"/>
      <c r="AF60" s="353"/>
      <c r="AG60" s="353"/>
      <c r="AH60" s="353"/>
      <c r="AI60" s="353"/>
      <c r="AJ60" s="353"/>
      <c r="AK60" s="353"/>
      <c r="AL60" s="353"/>
      <c r="AM60" s="353"/>
      <c r="AN60" s="353"/>
      <c r="AO60" s="353"/>
      <c r="AP60" s="353"/>
      <c r="AQ60" s="353"/>
      <c r="AR60" s="353"/>
      <c r="AS60" s="353"/>
      <c r="AT60" s="354"/>
      <c r="AU60" s="353"/>
      <c r="AV60" s="353"/>
      <c r="AW60" s="353"/>
      <c r="AX60" s="353"/>
      <c r="AY60" s="353"/>
      <c r="AZ60" s="354"/>
      <c r="BA60" s="353"/>
      <c r="BB60" s="353"/>
      <c r="BC60" s="353"/>
      <c r="BD60" s="353"/>
      <c r="BE60" s="353"/>
      <c r="BF60" s="353"/>
      <c r="BG60" s="354"/>
      <c r="BH60" s="353"/>
      <c r="BI60" s="353"/>
      <c r="BJ60" s="385"/>
      <c r="BK60" s="353"/>
      <c r="BL60" s="353"/>
      <c r="BM60" s="353"/>
      <c r="BN60" s="353"/>
      <c r="BO60" s="353"/>
      <c r="BP60" s="353"/>
      <c r="BQ60" s="353"/>
      <c r="BR60" s="353"/>
      <c r="BS60" s="354"/>
      <c r="BT60" s="353"/>
      <c r="BU60" s="353"/>
      <c r="BV60" s="354"/>
      <c r="BW60" s="354"/>
      <c r="BX60" s="354"/>
    </row>
    <row r="61" spans="1:76" ht="11.25" customHeight="1" x14ac:dyDescent="0.25">
      <c r="A61" s="350"/>
      <c r="B61" s="341" t="s">
        <v>133</v>
      </c>
      <c r="C61" s="342" t="s">
        <v>313</v>
      </c>
      <c r="D61" s="342"/>
      <c r="E61" s="342"/>
      <c r="F61" s="343" t="s">
        <v>387</v>
      </c>
      <c r="G61" s="343"/>
      <c r="H61" s="353"/>
      <c r="I61" s="354"/>
      <c r="J61" s="353"/>
      <c r="K61" s="353"/>
      <c r="L61" s="353"/>
      <c r="M61" s="353"/>
      <c r="N61" s="353"/>
      <c r="O61" s="353"/>
      <c r="P61" s="353"/>
      <c r="Q61" s="353"/>
      <c r="R61" s="353"/>
      <c r="S61" s="353"/>
      <c r="T61" s="353"/>
      <c r="U61" s="353"/>
      <c r="V61" s="353"/>
      <c r="W61" s="354"/>
      <c r="X61" s="353"/>
      <c r="Y61" s="353"/>
      <c r="Z61" s="353"/>
      <c r="AA61" s="353"/>
      <c r="AB61" s="353"/>
      <c r="AC61" s="353"/>
      <c r="AD61" s="353"/>
      <c r="AE61" s="353"/>
      <c r="AF61" s="353"/>
      <c r="AG61" s="353"/>
      <c r="AH61" s="353"/>
      <c r="AI61" s="353"/>
      <c r="AJ61" s="353"/>
      <c r="AK61" s="353"/>
      <c r="AL61" s="353"/>
      <c r="AM61" s="353"/>
      <c r="AN61" s="353"/>
      <c r="AO61" s="353"/>
      <c r="AP61" s="353"/>
      <c r="AQ61" s="353"/>
      <c r="AR61" s="353"/>
      <c r="AS61" s="353"/>
      <c r="AT61" s="354"/>
      <c r="AU61" s="353"/>
      <c r="AV61" s="353"/>
      <c r="AW61" s="353"/>
      <c r="AX61" s="353"/>
      <c r="AY61" s="353"/>
      <c r="AZ61" s="354"/>
      <c r="BA61" s="353"/>
      <c r="BB61" s="353"/>
      <c r="BC61" s="353"/>
      <c r="BD61" s="353"/>
      <c r="BE61" s="353"/>
      <c r="BF61" s="353"/>
      <c r="BG61" s="354"/>
      <c r="BH61" s="353"/>
      <c r="BI61" s="353"/>
      <c r="BJ61" s="385"/>
      <c r="BK61" s="353"/>
      <c r="BL61" s="353"/>
      <c r="BM61" s="353"/>
      <c r="BN61" s="353"/>
      <c r="BO61" s="353"/>
      <c r="BP61" s="353"/>
      <c r="BQ61" s="353"/>
      <c r="BR61" s="353"/>
      <c r="BS61" s="354"/>
      <c r="BT61" s="353"/>
      <c r="BU61" s="353"/>
      <c r="BV61" s="354"/>
      <c r="BW61" s="354"/>
      <c r="BX61" s="354"/>
    </row>
    <row r="62" spans="1:76" ht="11.25" customHeight="1" x14ac:dyDescent="0.25">
      <c r="A62" s="350"/>
      <c r="B62" s="342"/>
      <c r="C62" s="341" t="s">
        <v>133</v>
      </c>
      <c r="D62" s="342" t="s">
        <v>388</v>
      </c>
      <c r="E62" s="342"/>
      <c r="F62" s="343" t="s">
        <v>389</v>
      </c>
      <c r="G62" s="343"/>
      <c r="H62" s="353"/>
      <c r="I62" s="354"/>
      <c r="J62" s="353"/>
      <c r="K62" s="353"/>
      <c r="L62" s="353"/>
      <c r="M62" s="353"/>
      <c r="N62" s="353"/>
      <c r="O62" s="353"/>
      <c r="P62" s="353"/>
      <c r="Q62" s="353"/>
      <c r="R62" s="353"/>
      <c r="S62" s="353"/>
      <c r="T62" s="353"/>
      <c r="U62" s="353"/>
      <c r="V62" s="353"/>
      <c r="W62" s="354"/>
      <c r="X62" s="353"/>
      <c r="Y62" s="353"/>
      <c r="Z62" s="353"/>
      <c r="AA62" s="353"/>
      <c r="AB62" s="353"/>
      <c r="AC62" s="353"/>
      <c r="AD62" s="353"/>
      <c r="AE62" s="353"/>
      <c r="AF62" s="353"/>
      <c r="AG62" s="353"/>
      <c r="AH62" s="353"/>
      <c r="AI62" s="353"/>
      <c r="AJ62" s="353"/>
      <c r="AK62" s="353"/>
      <c r="AL62" s="353"/>
      <c r="AM62" s="353"/>
      <c r="AN62" s="353"/>
      <c r="AO62" s="353"/>
      <c r="AP62" s="353"/>
      <c r="AQ62" s="353"/>
      <c r="AR62" s="353"/>
      <c r="AS62" s="353"/>
      <c r="AT62" s="354"/>
      <c r="AU62" s="353"/>
      <c r="AV62" s="353"/>
      <c r="AW62" s="353"/>
      <c r="AX62" s="353"/>
      <c r="AY62" s="353"/>
      <c r="AZ62" s="354"/>
      <c r="BA62" s="353"/>
      <c r="BB62" s="353"/>
      <c r="BC62" s="353"/>
      <c r="BD62" s="353"/>
      <c r="BE62" s="353"/>
      <c r="BF62" s="353"/>
      <c r="BG62" s="354"/>
      <c r="BH62" s="353"/>
      <c r="BI62" s="353"/>
      <c r="BJ62" s="385"/>
      <c r="BK62" s="353"/>
      <c r="BL62" s="353"/>
      <c r="BM62" s="353"/>
      <c r="BN62" s="353"/>
      <c r="BO62" s="353"/>
      <c r="BP62" s="353"/>
      <c r="BQ62" s="353"/>
      <c r="BR62" s="353"/>
      <c r="BS62" s="354"/>
      <c r="BT62" s="353"/>
      <c r="BU62" s="353"/>
      <c r="BV62" s="354"/>
      <c r="BW62" s="354"/>
      <c r="BX62" s="354"/>
    </row>
    <row r="63" spans="1:76" ht="11.25" customHeight="1" x14ac:dyDescent="0.25">
      <c r="A63" s="350"/>
      <c r="B63" s="342"/>
      <c r="C63" s="341" t="s">
        <v>133</v>
      </c>
      <c r="D63" s="342" t="s">
        <v>390</v>
      </c>
      <c r="E63" s="342"/>
      <c r="F63" s="343" t="s">
        <v>391</v>
      </c>
      <c r="G63" s="343"/>
      <c r="H63" s="353"/>
      <c r="I63" s="354"/>
      <c r="J63" s="353"/>
      <c r="K63" s="353"/>
      <c r="L63" s="353"/>
      <c r="M63" s="353"/>
      <c r="N63" s="353"/>
      <c r="O63" s="353"/>
      <c r="P63" s="353"/>
      <c r="Q63" s="353"/>
      <c r="R63" s="353"/>
      <c r="S63" s="353"/>
      <c r="T63" s="353"/>
      <c r="U63" s="353"/>
      <c r="V63" s="353"/>
      <c r="W63" s="354"/>
      <c r="X63" s="353"/>
      <c r="Y63" s="353"/>
      <c r="Z63" s="353"/>
      <c r="AA63" s="353"/>
      <c r="AB63" s="353"/>
      <c r="AC63" s="353"/>
      <c r="AD63" s="353"/>
      <c r="AE63" s="353"/>
      <c r="AF63" s="353"/>
      <c r="AG63" s="353"/>
      <c r="AH63" s="353"/>
      <c r="AI63" s="353"/>
      <c r="AJ63" s="353"/>
      <c r="AK63" s="353"/>
      <c r="AL63" s="353"/>
      <c r="AM63" s="353"/>
      <c r="AN63" s="353"/>
      <c r="AO63" s="353"/>
      <c r="AP63" s="353"/>
      <c r="AQ63" s="353"/>
      <c r="AR63" s="353"/>
      <c r="AS63" s="353"/>
      <c r="AT63" s="354"/>
      <c r="AU63" s="353"/>
      <c r="AV63" s="353"/>
      <c r="AW63" s="353"/>
      <c r="AX63" s="353"/>
      <c r="AY63" s="353"/>
      <c r="AZ63" s="354"/>
      <c r="BA63" s="353"/>
      <c r="BB63" s="353"/>
      <c r="BC63" s="353"/>
      <c r="BD63" s="353"/>
      <c r="BE63" s="353"/>
      <c r="BF63" s="353"/>
      <c r="BG63" s="354"/>
      <c r="BH63" s="353"/>
      <c r="BI63" s="353"/>
      <c r="BJ63" s="385"/>
      <c r="BK63" s="353"/>
      <c r="BL63" s="353"/>
      <c r="BM63" s="353"/>
      <c r="BN63" s="353"/>
      <c r="BO63" s="353"/>
      <c r="BP63" s="353"/>
      <c r="BQ63" s="353"/>
      <c r="BR63" s="353"/>
      <c r="BS63" s="354"/>
      <c r="BT63" s="353"/>
      <c r="BU63" s="353"/>
      <c r="BV63" s="354"/>
      <c r="BW63" s="354"/>
      <c r="BX63" s="354"/>
    </row>
    <row r="64" spans="1:76" ht="11.25" customHeight="1" x14ac:dyDescent="0.25">
      <c r="A64" s="350"/>
      <c r="B64" s="342"/>
      <c r="C64" s="341" t="s">
        <v>133</v>
      </c>
      <c r="D64" s="342" t="s">
        <v>392</v>
      </c>
      <c r="E64" s="342"/>
      <c r="F64" s="343" t="s">
        <v>393</v>
      </c>
      <c r="G64" s="343"/>
      <c r="H64" s="353"/>
      <c r="I64" s="354"/>
      <c r="J64" s="353"/>
      <c r="K64" s="353"/>
      <c r="L64" s="353"/>
      <c r="M64" s="353"/>
      <c r="N64" s="353"/>
      <c r="O64" s="353"/>
      <c r="P64" s="353"/>
      <c r="Q64" s="353"/>
      <c r="R64" s="353"/>
      <c r="S64" s="353"/>
      <c r="T64" s="353"/>
      <c r="U64" s="353"/>
      <c r="V64" s="353"/>
      <c r="W64" s="354"/>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4"/>
      <c r="AU64" s="353"/>
      <c r="AV64" s="353"/>
      <c r="AW64" s="353"/>
      <c r="AX64" s="353"/>
      <c r="AY64" s="353"/>
      <c r="AZ64" s="354"/>
      <c r="BA64" s="353"/>
      <c r="BB64" s="353"/>
      <c r="BC64" s="353"/>
      <c r="BD64" s="353"/>
      <c r="BE64" s="353"/>
      <c r="BF64" s="353"/>
      <c r="BG64" s="354"/>
      <c r="BH64" s="353"/>
      <c r="BI64" s="353"/>
      <c r="BJ64" s="385"/>
      <c r="BK64" s="353"/>
      <c r="BL64" s="353"/>
      <c r="BM64" s="353"/>
      <c r="BN64" s="353"/>
      <c r="BO64" s="353"/>
      <c r="BP64" s="353"/>
      <c r="BQ64" s="353"/>
      <c r="BR64" s="353"/>
      <c r="BS64" s="354"/>
      <c r="BT64" s="353"/>
      <c r="BU64" s="353"/>
      <c r="BV64" s="354"/>
      <c r="BW64" s="354"/>
      <c r="BX64" s="354"/>
    </row>
    <row r="65" spans="1:76" ht="11.25" customHeight="1" x14ac:dyDescent="0.25">
      <c r="A65" s="350"/>
      <c r="B65" s="342"/>
      <c r="C65" s="341" t="s">
        <v>133</v>
      </c>
      <c r="D65" s="342" t="s">
        <v>394</v>
      </c>
      <c r="E65" s="342"/>
      <c r="F65" s="343" t="s">
        <v>395</v>
      </c>
      <c r="G65" s="343"/>
      <c r="H65" s="353"/>
      <c r="I65" s="354"/>
      <c r="J65" s="353"/>
      <c r="K65" s="353"/>
      <c r="L65" s="353"/>
      <c r="M65" s="353"/>
      <c r="N65" s="353"/>
      <c r="O65" s="353"/>
      <c r="P65" s="353"/>
      <c r="Q65" s="353"/>
      <c r="R65" s="353"/>
      <c r="S65" s="353"/>
      <c r="T65" s="353"/>
      <c r="U65" s="353"/>
      <c r="V65" s="353"/>
      <c r="W65" s="354"/>
      <c r="X65" s="353"/>
      <c r="Y65" s="353"/>
      <c r="Z65" s="353"/>
      <c r="AA65" s="353"/>
      <c r="AB65" s="353"/>
      <c r="AC65" s="353"/>
      <c r="AD65" s="353"/>
      <c r="AE65" s="353"/>
      <c r="AF65" s="353"/>
      <c r="AG65" s="353"/>
      <c r="AH65" s="353"/>
      <c r="AI65" s="353"/>
      <c r="AJ65" s="353"/>
      <c r="AK65" s="353"/>
      <c r="AL65" s="353"/>
      <c r="AM65" s="353"/>
      <c r="AN65" s="353"/>
      <c r="AO65" s="353"/>
      <c r="AP65" s="353"/>
      <c r="AQ65" s="353"/>
      <c r="AR65" s="353"/>
      <c r="AS65" s="353"/>
      <c r="AT65" s="354"/>
      <c r="AU65" s="353"/>
      <c r="AV65" s="353"/>
      <c r="AW65" s="353"/>
      <c r="AX65" s="353"/>
      <c r="AY65" s="353"/>
      <c r="AZ65" s="354"/>
      <c r="BA65" s="353"/>
      <c r="BB65" s="353"/>
      <c r="BC65" s="353"/>
      <c r="BD65" s="353"/>
      <c r="BE65" s="353"/>
      <c r="BF65" s="353"/>
      <c r="BG65" s="354"/>
      <c r="BH65" s="353"/>
      <c r="BI65" s="353"/>
      <c r="BJ65" s="385"/>
      <c r="BK65" s="353"/>
      <c r="BL65" s="353"/>
      <c r="BM65" s="353"/>
      <c r="BN65" s="353"/>
      <c r="BO65" s="353"/>
      <c r="BP65" s="353"/>
      <c r="BQ65" s="353"/>
      <c r="BR65" s="353"/>
      <c r="BS65" s="354"/>
      <c r="BT65" s="353"/>
      <c r="BU65" s="353"/>
      <c r="BV65" s="354"/>
      <c r="BW65" s="354"/>
      <c r="BX65" s="354"/>
    </row>
    <row r="66" spans="1:76" ht="11.25" customHeight="1" x14ac:dyDescent="0.25">
      <c r="A66" s="350"/>
      <c r="B66" s="342"/>
      <c r="C66" s="341" t="s">
        <v>133</v>
      </c>
      <c r="D66" s="342" t="s">
        <v>396</v>
      </c>
      <c r="E66" s="342"/>
      <c r="F66" s="343" t="s">
        <v>397</v>
      </c>
      <c r="G66" s="343"/>
      <c r="H66" s="353"/>
      <c r="I66" s="354"/>
      <c r="J66" s="353"/>
      <c r="K66" s="353"/>
      <c r="L66" s="353"/>
      <c r="M66" s="353"/>
      <c r="N66" s="353"/>
      <c r="O66" s="353"/>
      <c r="P66" s="353"/>
      <c r="Q66" s="353"/>
      <c r="R66" s="353"/>
      <c r="S66" s="353"/>
      <c r="T66" s="353"/>
      <c r="U66" s="353"/>
      <c r="V66" s="353"/>
      <c r="W66" s="354"/>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53"/>
      <c r="AT66" s="354"/>
      <c r="AU66" s="353"/>
      <c r="AV66" s="353"/>
      <c r="AW66" s="353"/>
      <c r="AX66" s="353"/>
      <c r="AY66" s="353"/>
      <c r="AZ66" s="354"/>
      <c r="BA66" s="353"/>
      <c r="BB66" s="353"/>
      <c r="BC66" s="353"/>
      <c r="BD66" s="353"/>
      <c r="BE66" s="353"/>
      <c r="BF66" s="353"/>
      <c r="BG66" s="354"/>
      <c r="BH66" s="353"/>
      <c r="BI66" s="353"/>
      <c r="BJ66" s="385"/>
      <c r="BK66" s="353"/>
      <c r="BL66" s="353"/>
      <c r="BM66" s="353"/>
      <c r="BN66" s="353"/>
      <c r="BO66" s="353"/>
      <c r="BP66" s="353"/>
      <c r="BQ66" s="353"/>
      <c r="BR66" s="353"/>
      <c r="BS66" s="354"/>
      <c r="BT66" s="353"/>
      <c r="BU66" s="353"/>
      <c r="BV66" s="354"/>
      <c r="BW66" s="354"/>
      <c r="BX66" s="354"/>
    </row>
    <row r="67" spans="1:76" ht="11.25" customHeight="1" x14ac:dyDescent="0.25">
      <c r="A67" s="350"/>
      <c r="B67" s="342"/>
      <c r="C67" s="341" t="s">
        <v>133</v>
      </c>
      <c r="D67" s="342" t="s">
        <v>398</v>
      </c>
      <c r="E67" s="342"/>
      <c r="F67" s="343" t="s">
        <v>399</v>
      </c>
      <c r="G67" s="343"/>
      <c r="H67" s="353"/>
      <c r="I67" s="354"/>
      <c r="J67" s="353"/>
      <c r="K67" s="353"/>
      <c r="L67" s="353"/>
      <c r="M67" s="353"/>
      <c r="N67" s="353"/>
      <c r="O67" s="353"/>
      <c r="P67" s="353"/>
      <c r="Q67" s="353"/>
      <c r="R67" s="353"/>
      <c r="S67" s="353"/>
      <c r="T67" s="353"/>
      <c r="U67" s="353"/>
      <c r="V67" s="353"/>
      <c r="W67" s="354"/>
      <c r="X67" s="353"/>
      <c r="Y67" s="353"/>
      <c r="Z67" s="353"/>
      <c r="AA67" s="353"/>
      <c r="AB67" s="353"/>
      <c r="AC67" s="353"/>
      <c r="AD67" s="353"/>
      <c r="AE67" s="353"/>
      <c r="AF67" s="353"/>
      <c r="AG67" s="353"/>
      <c r="AH67" s="353"/>
      <c r="AI67" s="353"/>
      <c r="AJ67" s="353"/>
      <c r="AK67" s="353"/>
      <c r="AL67" s="353"/>
      <c r="AM67" s="353"/>
      <c r="AN67" s="353"/>
      <c r="AO67" s="353"/>
      <c r="AP67" s="353"/>
      <c r="AQ67" s="353"/>
      <c r="AR67" s="353"/>
      <c r="AS67" s="353"/>
      <c r="AT67" s="354"/>
      <c r="AU67" s="353"/>
      <c r="AV67" s="353"/>
      <c r="AW67" s="353"/>
      <c r="AX67" s="353"/>
      <c r="AY67" s="353"/>
      <c r="AZ67" s="354"/>
      <c r="BA67" s="353"/>
      <c r="BB67" s="353"/>
      <c r="BC67" s="353"/>
      <c r="BD67" s="353"/>
      <c r="BE67" s="353"/>
      <c r="BF67" s="353"/>
      <c r="BG67" s="354"/>
      <c r="BH67" s="353"/>
      <c r="BI67" s="353"/>
      <c r="BJ67" s="385"/>
      <c r="BK67" s="353"/>
      <c r="BL67" s="353"/>
      <c r="BM67" s="353"/>
      <c r="BN67" s="353"/>
      <c r="BO67" s="353"/>
      <c r="BP67" s="353"/>
      <c r="BQ67" s="353"/>
      <c r="BR67" s="353"/>
      <c r="BS67" s="354"/>
      <c r="BT67" s="353"/>
      <c r="BU67" s="353"/>
      <c r="BV67" s="354"/>
      <c r="BW67" s="354"/>
      <c r="BX67" s="354"/>
    </row>
    <row r="68" spans="1:76" ht="11.25" customHeight="1" x14ac:dyDescent="0.25">
      <c r="A68" s="350"/>
      <c r="B68" s="342"/>
      <c r="C68" s="341" t="s">
        <v>133</v>
      </c>
      <c r="D68" s="342" t="s">
        <v>400</v>
      </c>
      <c r="E68" s="342"/>
      <c r="F68" s="343" t="s">
        <v>401</v>
      </c>
      <c r="G68" s="343"/>
      <c r="H68" s="353"/>
      <c r="I68" s="354"/>
      <c r="J68" s="353"/>
      <c r="K68" s="353"/>
      <c r="L68" s="353"/>
      <c r="M68" s="353"/>
      <c r="N68" s="353"/>
      <c r="O68" s="353"/>
      <c r="P68" s="353"/>
      <c r="Q68" s="353"/>
      <c r="R68" s="353"/>
      <c r="S68" s="353"/>
      <c r="T68" s="353"/>
      <c r="U68" s="353"/>
      <c r="V68" s="353"/>
      <c r="W68" s="354"/>
      <c r="X68" s="353"/>
      <c r="Y68" s="353"/>
      <c r="Z68" s="353"/>
      <c r="AA68" s="353"/>
      <c r="AB68" s="353"/>
      <c r="AC68" s="353"/>
      <c r="AD68" s="353"/>
      <c r="AE68" s="353"/>
      <c r="AF68" s="353"/>
      <c r="AG68" s="353"/>
      <c r="AH68" s="353"/>
      <c r="AI68" s="353"/>
      <c r="AJ68" s="353"/>
      <c r="AK68" s="353"/>
      <c r="AL68" s="353"/>
      <c r="AM68" s="353"/>
      <c r="AN68" s="353"/>
      <c r="AO68" s="353"/>
      <c r="AP68" s="353"/>
      <c r="AQ68" s="353"/>
      <c r="AR68" s="353"/>
      <c r="AS68" s="353"/>
      <c r="AT68" s="354"/>
      <c r="AU68" s="353"/>
      <c r="AV68" s="353"/>
      <c r="AW68" s="353"/>
      <c r="AX68" s="353"/>
      <c r="AY68" s="353"/>
      <c r="AZ68" s="354"/>
      <c r="BA68" s="353"/>
      <c r="BB68" s="353"/>
      <c r="BC68" s="353"/>
      <c r="BD68" s="353"/>
      <c r="BE68" s="353"/>
      <c r="BF68" s="353"/>
      <c r="BG68" s="354"/>
      <c r="BH68" s="353"/>
      <c r="BI68" s="353"/>
      <c r="BJ68" s="385"/>
      <c r="BK68" s="353"/>
      <c r="BL68" s="353"/>
      <c r="BM68" s="353"/>
      <c r="BN68" s="353"/>
      <c r="BO68" s="353"/>
      <c r="BP68" s="353"/>
      <c r="BQ68" s="353"/>
      <c r="BR68" s="353"/>
      <c r="BS68" s="354"/>
      <c r="BT68" s="353"/>
      <c r="BU68" s="353"/>
      <c r="BV68" s="354"/>
      <c r="BW68" s="354"/>
      <c r="BX68" s="354"/>
    </row>
    <row r="69" spans="1:76" ht="11.25" customHeight="1" x14ac:dyDescent="0.25">
      <c r="A69" s="350"/>
      <c r="B69" s="342"/>
      <c r="C69" s="341" t="s">
        <v>133</v>
      </c>
      <c r="D69" s="342" t="s">
        <v>402</v>
      </c>
      <c r="E69" s="342"/>
      <c r="F69" s="343" t="s">
        <v>403</v>
      </c>
      <c r="G69" s="343"/>
      <c r="H69" s="353"/>
      <c r="I69" s="354"/>
      <c r="J69" s="353"/>
      <c r="K69" s="353"/>
      <c r="L69" s="353"/>
      <c r="M69" s="353"/>
      <c r="N69" s="353"/>
      <c r="O69" s="353"/>
      <c r="P69" s="353"/>
      <c r="Q69" s="353"/>
      <c r="R69" s="353"/>
      <c r="S69" s="353"/>
      <c r="T69" s="353"/>
      <c r="U69" s="353"/>
      <c r="V69" s="353"/>
      <c r="W69" s="354"/>
      <c r="X69" s="353"/>
      <c r="Y69" s="353"/>
      <c r="Z69" s="353"/>
      <c r="AA69" s="353"/>
      <c r="AB69" s="353"/>
      <c r="AC69" s="353"/>
      <c r="AD69" s="353"/>
      <c r="AE69" s="353"/>
      <c r="AF69" s="353"/>
      <c r="AG69" s="353"/>
      <c r="AH69" s="353"/>
      <c r="AI69" s="353"/>
      <c r="AJ69" s="353"/>
      <c r="AK69" s="353"/>
      <c r="AL69" s="353"/>
      <c r="AM69" s="353"/>
      <c r="AN69" s="353"/>
      <c r="AO69" s="353"/>
      <c r="AP69" s="353"/>
      <c r="AQ69" s="353"/>
      <c r="AR69" s="353"/>
      <c r="AS69" s="353"/>
      <c r="AT69" s="354"/>
      <c r="AU69" s="353"/>
      <c r="AV69" s="353"/>
      <c r="AW69" s="353"/>
      <c r="AX69" s="353"/>
      <c r="AY69" s="353"/>
      <c r="AZ69" s="354"/>
      <c r="BA69" s="353"/>
      <c r="BB69" s="353"/>
      <c r="BC69" s="353"/>
      <c r="BD69" s="353"/>
      <c r="BE69" s="353"/>
      <c r="BF69" s="353"/>
      <c r="BG69" s="354"/>
      <c r="BH69" s="353"/>
      <c r="BI69" s="353"/>
      <c r="BJ69" s="385"/>
      <c r="BK69" s="353"/>
      <c r="BL69" s="353"/>
      <c r="BM69" s="353"/>
      <c r="BN69" s="353"/>
      <c r="BO69" s="353"/>
      <c r="BP69" s="353"/>
      <c r="BQ69" s="353"/>
      <c r="BR69" s="353"/>
      <c r="BS69" s="354"/>
      <c r="BT69" s="353"/>
      <c r="BU69" s="353"/>
      <c r="BV69" s="354"/>
      <c r="BW69" s="354"/>
      <c r="BX69" s="354"/>
    </row>
    <row r="70" spans="1:76" ht="11.25" customHeight="1" x14ac:dyDescent="0.25">
      <c r="A70" s="350"/>
      <c r="B70" s="342"/>
      <c r="C70" s="341" t="s">
        <v>133</v>
      </c>
      <c r="D70" s="342" t="s">
        <v>404</v>
      </c>
      <c r="E70" s="342"/>
      <c r="F70" s="343" t="s">
        <v>405</v>
      </c>
      <c r="G70" s="343"/>
      <c r="H70" s="353"/>
      <c r="I70" s="354"/>
      <c r="J70" s="353"/>
      <c r="K70" s="353"/>
      <c r="L70" s="353"/>
      <c r="M70" s="353"/>
      <c r="N70" s="353"/>
      <c r="O70" s="353"/>
      <c r="P70" s="353"/>
      <c r="Q70" s="353"/>
      <c r="R70" s="353"/>
      <c r="S70" s="353"/>
      <c r="T70" s="353"/>
      <c r="U70" s="353"/>
      <c r="V70" s="353"/>
      <c r="W70" s="354"/>
      <c r="X70" s="353"/>
      <c r="Y70" s="353"/>
      <c r="Z70" s="353"/>
      <c r="AA70" s="353"/>
      <c r="AB70" s="353"/>
      <c r="AC70" s="353"/>
      <c r="AD70" s="353"/>
      <c r="AE70" s="353"/>
      <c r="AF70" s="353"/>
      <c r="AG70" s="353"/>
      <c r="AH70" s="353"/>
      <c r="AI70" s="353"/>
      <c r="AJ70" s="353"/>
      <c r="AK70" s="353"/>
      <c r="AL70" s="353"/>
      <c r="AM70" s="353"/>
      <c r="AN70" s="353"/>
      <c r="AO70" s="353"/>
      <c r="AP70" s="353"/>
      <c r="AQ70" s="353"/>
      <c r="AR70" s="353"/>
      <c r="AS70" s="353"/>
      <c r="AT70" s="354"/>
      <c r="AU70" s="353"/>
      <c r="AV70" s="353"/>
      <c r="AW70" s="353"/>
      <c r="AX70" s="353"/>
      <c r="AY70" s="353"/>
      <c r="AZ70" s="354"/>
      <c r="BA70" s="353"/>
      <c r="BB70" s="353"/>
      <c r="BC70" s="353"/>
      <c r="BD70" s="353"/>
      <c r="BE70" s="353"/>
      <c r="BF70" s="353"/>
      <c r="BG70" s="354"/>
      <c r="BH70" s="353"/>
      <c r="BI70" s="353"/>
      <c r="BJ70" s="385"/>
      <c r="BK70" s="353"/>
      <c r="BL70" s="353"/>
      <c r="BM70" s="353"/>
      <c r="BN70" s="353"/>
      <c r="BO70" s="353"/>
      <c r="BP70" s="353"/>
      <c r="BQ70" s="353"/>
      <c r="BR70" s="353"/>
      <c r="BS70" s="354"/>
      <c r="BT70" s="353"/>
      <c r="BU70" s="353"/>
      <c r="BV70" s="354"/>
      <c r="BW70" s="354"/>
      <c r="BX70" s="354"/>
    </row>
    <row r="71" spans="1:76" ht="11.25" customHeight="1" x14ac:dyDescent="0.25">
      <c r="A71" s="350"/>
      <c r="B71" s="342"/>
      <c r="C71" s="341" t="s">
        <v>133</v>
      </c>
      <c r="D71" s="342" t="s">
        <v>406</v>
      </c>
      <c r="E71" s="342"/>
      <c r="F71" s="343" t="s">
        <v>407</v>
      </c>
      <c r="G71" s="343"/>
      <c r="H71" s="353"/>
      <c r="I71" s="354"/>
      <c r="J71" s="353"/>
      <c r="K71" s="353"/>
      <c r="L71" s="353"/>
      <c r="M71" s="353"/>
      <c r="N71" s="353"/>
      <c r="O71" s="353"/>
      <c r="P71" s="353"/>
      <c r="Q71" s="353"/>
      <c r="R71" s="353"/>
      <c r="S71" s="353"/>
      <c r="T71" s="353"/>
      <c r="U71" s="353"/>
      <c r="V71" s="353"/>
      <c r="W71" s="354"/>
      <c r="X71" s="353"/>
      <c r="Y71" s="353"/>
      <c r="Z71" s="353"/>
      <c r="AA71" s="353"/>
      <c r="AB71" s="353"/>
      <c r="AC71" s="353"/>
      <c r="AD71" s="353"/>
      <c r="AE71" s="353"/>
      <c r="AF71" s="353"/>
      <c r="AG71" s="353"/>
      <c r="AH71" s="353"/>
      <c r="AI71" s="353"/>
      <c r="AJ71" s="353"/>
      <c r="AK71" s="353"/>
      <c r="AL71" s="353"/>
      <c r="AM71" s="353"/>
      <c r="AN71" s="353"/>
      <c r="AO71" s="353"/>
      <c r="AP71" s="353"/>
      <c r="AQ71" s="353"/>
      <c r="AR71" s="353"/>
      <c r="AS71" s="353"/>
      <c r="AT71" s="354"/>
      <c r="AU71" s="353"/>
      <c r="AV71" s="353"/>
      <c r="AW71" s="353"/>
      <c r="AX71" s="353"/>
      <c r="AY71" s="353"/>
      <c r="AZ71" s="354"/>
      <c r="BA71" s="353"/>
      <c r="BB71" s="353"/>
      <c r="BC71" s="353"/>
      <c r="BD71" s="353"/>
      <c r="BE71" s="353"/>
      <c r="BF71" s="353"/>
      <c r="BG71" s="354"/>
      <c r="BH71" s="353"/>
      <c r="BI71" s="353"/>
      <c r="BJ71" s="385"/>
      <c r="BK71" s="353"/>
      <c r="BL71" s="353"/>
      <c r="BM71" s="353"/>
      <c r="BN71" s="353"/>
      <c r="BO71" s="353"/>
      <c r="BP71" s="353"/>
      <c r="BQ71" s="353"/>
      <c r="BR71" s="353"/>
      <c r="BS71" s="354"/>
      <c r="BT71" s="353"/>
      <c r="BU71" s="353"/>
      <c r="BV71" s="354"/>
      <c r="BW71" s="354"/>
      <c r="BX71" s="354"/>
    </row>
    <row r="72" spans="1:76" ht="11.25" customHeight="1" x14ac:dyDescent="0.25">
      <c r="A72" s="350"/>
      <c r="B72" s="342"/>
      <c r="C72" s="341" t="s">
        <v>133</v>
      </c>
      <c r="D72" s="342" t="s">
        <v>408</v>
      </c>
      <c r="E72" s="342"/>
      <c r="F72" s="343" t="s">
        <v>409</v>
      </c>
      <c r="G72" s="343"/>
      <c r="H72" s="353"/>
      <c r="I72" s="354"/>
      <c r="J72" s="353"/>
      <c r="K72" s="353"/>
      <c r="L72" s="353"/>
      <c r="M72" s="353"/>
      <c r="N72" s="353"/>
      <c r="O72" s="353"/>
      <c r="P72" s="353"/>
      <c r="Q72" s="353"/>
      <c r="R72" s="353"/>
      <c r="S72" s="353"/>
      <c r="T72" s="353"/>
      <c r="U72" s="353"/>
      <c r="V72" s="353"/>
      <c r="W72" s="354"/>
      <c r="X72" s="353"/>
      <c r="Y72" s="353"/>
      <c r="Z72" s="353"/>
      <c r="AA72" s="353"/>
      <c r="AB72" s="353"/>
      <c r="AC72" s="353"/>
      <c r="AD72" s="353"/>
      <c r="AE72" s="353"/>
      <c r="AF72" s="353"/>
      <c r="AG72" s="353"/>
      <c r="AH72" s="353"/>
      <c r="AI72" s="353"/>
      <c r="AJ72" s="353"/>
      <c r="AK72" s="353"/>
      <c r="AL72" s="353"/>
      <c r="AM72" s="353"/>
      <c r="AN72" s="353"/>
      <c r="AO72" s="353"/>
      <c r="AP72" s="353"/>
      <c r="AQ72" s="353"/>
      <c r="AR72" s="353"/>
      <c r="AS72" s="353"/>
      <c r="AT72" s="354"/>
      <c r="AU72" s="353"/>
      <c r="AV72" s="353"/>
      <c r="AW72" s="353"/>
      <c r="AX72" s="353"/>
      <c r="AY72" s="353"/>
      <c r="AZ72" s="354"/>
      <c r="BA72" s="353"/>
      <c r="BB72" s="353"/>
      <c r="BC72" s="353"/>
      <c r="BD72" s="353"/>
      <c r="BE72" s="353"/>
      <c r="BF72" s="353"/>
      <c r="BG72" s="354"/>
      <c r="BH72" s="353"/>
      <c r="BI72" s="353"/>
      <c r="BJ72" s="385"/>
      <c r="BK72" s="353"/>
      <c r="BL72" s="353"/>
      <c r="BM72" s="353"/>
      <c r="BN72" s="353"/>
      <c r="BO72" s="353"/>
      <c r="BP72" s="353"/>
      <c r="BQ72" s="353"/>
      <c r="BR72" s="353"/>
      <c r="BS72" s="354"/>
      <c r="BT72" s="353"/>
      <c r="BU72" s="353"/>
      <c r="BV72" s="354"/>
      <c r="BW72" s="354"/>
      <c r="BX72" s="354"/>
    </row>
    <row r="73" spans="1:76" ht="11.25" customHeight="1" x14ac:dyDescent="0.25">
      <c r="A73" s="350"/>
      <c r="B73" s="342"/>
      <c r="C73" s="341" t="s">
        <v>133</v>
      </c>
      <c r="D73" s="342" t="s">
        <v>410</v>
      </c>
      <c r="E73" s="342"/>
      <c r="F73" s="343" t="s">
        <v>411</v>
      </c>
      <c r="G73" s="343"/>
      <c r="H73" s="353"/>
      <c r="I73" s="354"/>
      <c r="J73" s="353"/>
      <c r="K73" s="353"/>
      <c r="L73" s="353"/>
      <c r="M73" s="353"/>
      <c r="N73" s="353"/>
      <c r="O73" s="353"/>
      <c r="P73" s="353"/>
      <c r="Q73" s="353"/>
      <c r="R73" s="353"/>
      <c r="S73" s="353"/>
      <c r="T73" s="353"/>
      <c r="U73" s="353"/>
      <c r="V73" s="353"/>
      <c r="W73" s="354"/>
      <c r="X73" s="353"/>
      <c r="Y73" s="353"/>
      <c r="Z73" s="353"/>
      <c r="AA73" s="353"/>
      <c r="AB73" s="353"/>
      <c r="AC73" s="353"/>
      <c r="AD73" s="353"/>
      <c r="AE73" s="353"/>
      <c r="AF73" s="353"/>
      <c r="AG73" s="353"/>
      <c r="AH73" s="353"/>
      <c r="AI73" s="353"/>
      <c r="AJ73" s="353"/>
      <c r="AK73" s="353"/>
      <c r="AL73" s="353"/>
      <c r="AM73" s="353"/>
      <c r="AN73" s="353"/>
      <c r="AO73" s="353"/>
      <c r="AP73" s="353"/>
      <c r="AQ73" s="353"/>
      <c r="AR73" s="353"/>
      <c r="AS73" s="353"/>
      <c r="AT73" s="354"/>
      <c r="AU73" s="353"/>
      <c r="AV73" s="353"/>
      <c r="AW73" s="353"/>
      <c r="AX73" s="353"/>
      <c r="AY73" s="353"/>
      <c r="AZ73" s="354"/>
      <c r="BA73" s="353"/>
      <c r="BB73" s="353"/>
      <c r="BC73" s="353"/>
      <c r="BD73" s="353"/>
      <c r="BE73" s="353"/>
      <c r="BF73" s="353"/>
      <c r="BG73" s="354"/>
      <c r="BH73" s="353"/>
      <c r="BI73" s="353"/>
      <c r="BJ73" s="385"/>
      <c r="BK73" s="353"/>
      <c r="BL73" s="353"/>
      <c r="BM73" s="353"/>
      <c r="BN73" s="353"/>
      <c r="BO73" s="353"/>
      <c r="BP73" s="353"/>
      <c r="BQ73" s="353"/>
      <c r="BR73" s="353"/>
      <c r="BS73" s="354"/>
      <c r="BT73" s="353"/>
      <c r="BU73" s="353"/>
      <c r="BV73" s="354"/>
      <c r="BW73" s="354"/>
      <c r="BX73" s="354"/>
    </row>
    <row r="74" spans="1:76" ht="11.25" customHeight="1" x14ac:dyDescent="0.25">
      <c r="A74" s="350"/>
      <c r="B74" s="342"/>
      <c r="C74" s="341" t="s">
        <v>133</v>
      </c>
      <c r="D74" s="342" t="s">
        <v>412</v>
      </c>
      <c r="E74" s="342"/>
      <c r="F74" s="343" t="s">
        <v>413</v>
      </c>
      <c r="G74" s="343"/>
      <c r="H74" s="353"/>
      <c r="I74" s="354"/>
      <c r="J74" s="353"/>
      <c r="K74" s="353"/>
      <c r="L74" s="353"/>
      <c r="M74" s="353"/>
      <c r="N74" s="353"/>
      <c r="O74" s="353"/>
      <c r="P74" s="353"/>
      <c r="Q74" s="353"/>
      <c r="R74" s="353"/>
      <c r="S74" s="353"/>
      <c r="T74" s="353"/>
      <c r="U74" s="353"/>
      <c r="V74" s="353"/>
      <c r="W74" s="354"/>
      <c r="X74" s="353"/>
      <c r="Y74" s="353"/>
      <c r="Z74" s="353"/>
      <c r="AA74" s="353"/>
      <c r="AB74" s="353"/>
      <c r="AC74" s="353"/>
      <c r="AD74" s="353"/>
      <c r="AE74" s="353"/>
      <c r="AF74" s="353"/>
      <c r="AG74" s="353"/>
      <c r="AH74" s="353"/>
      <c r="AI74" s="353"/>
      <c r="AJ74" s="353"/>
      <c r="AK74" s="353"/>
      <c r="AL74" s="353"/>
      <c r="AM74" s="353"/>
      <c r="AN74" s="353"/>
      <c r="AO74" s="353"/>
      <c r="AP74" s="353"/>
      <c r="AQ74" s="353"/>
      <c r="AR74" s="353"/>
      <c r="AS74" s="353"/>
      <c r="AT74" s="354"/>
      <c r="AU74" s="353"/>
      <c r="AV74" s="353"/>
      <c r="AW74" s="353"/>
      <c r="AX74" s="353"/>
      <c r="AY74" s="353"/>
      <c r="AZ74" s="354"/>
      <c r="BA74" s="353"/>
      <c r="BB74" s="353"/>
      <c r="BC74" s="353"/>
      <c r="BD74" s="353"/>
      <c r="BE74" s="353"/>
      <c r="BF74" s="353"/>
      <c r="BG74" s="354"/>
      <c r="BH74" s="353"/>
      <c r="BI74" s="353"/>
      <c r="BJ74" s="385"/>
      <c r="BK74" s="353"/>
      <c r="BL74" s="353"/>
      <c r="BM74" s="353"/>
      <c r="BN74" s="353"/>
      <c r="BO74" s="353"/>
      <c r="BP74" s="353"/>
      <c r="BQ74" s="353"/>
      <c r="BR74" s="353"/>
      <c r="BS74" s="354"/>
      <c r="BT74" s="353"/>
      <c r="BU74" s="353"/>
      <c r="BV74" s="354"/>
      <c r="BW74" s="354"/>
      <c r="BX74" s="354"/>
    </row>
    <row r="75" spans="1:76" ht="11.25" customHeight="1" x14ac:dyDescent="0.25">
      <c r="A75" s="350"/>
      <c r="B75" s="342"/>
      <c r="C75" s="341" t="s">
        <v>133</v>
      </c>
      <c r="D75" s="342" t="s">
        <v>414</v>
      </c>
      <c r="E75" s="342"/>
      <c r="F75" s="343" t="s">
        <v>415</v>
      </c>
      <c r="G75" s="343"/>
      <c r="H75" s="353"/>
      <c r="I75" s="354"/>
      <c r="J75" s="353"/>
      <c r="K75" s="353"/>
      <c r="L75" s="353"/>
      <c r="M75" s="353"/>
      <c r="N75" s="353"/>
      <c r="O75" s="353"/>
      <c r="P75" s="353"/>
      <c r="Q75" s="353"/>
      <c r="R75" s="353"/>
      <c r="S75" s="353"/>
      <c r="T75" s="353"/>
      <c r="U75" s="353"/>
      <c r="V75" s="353"/>
      <c r="W75" s="354"/>
      <c r="X75" s="353"/>
      <c r="Y75" s="353"/>
      <c r="Z75" s="353"/>
      <c r="AA75" s="353"/>
      <c r="AB75" s="353"/>
      <c r="AC75" s="353"/>
      <c r="AD75" s="353"/>
      <c r="AE75" s="353"/>
      <c r="AF75" s="353"/>
      <c r="AG75" s="353"/>
      <c r="AH75" s="353"/>
      <c r="AI75" s="353"/>
      <c r="AJ75" s="353"/>
      <c r="AK75" s="353"/>
      <c r="AL75" s="353"/>
      <c r="AM75" s="353"/>
      <c r="AN75" s="353"/>
      <c r="AO75" s="353"/>
      <c r="AP75" s="353"/>
      <c r="AQ75" s="353"/>
      <c r="AR75" s="353"/>
      <c r="AS75" s="353"/>
      <c r="AT75" s="354"/>
      <c r="AU75" s="353"/>
      <c r="AV75" s="353"/>
      <c r="AW75" s="353"/>
      <c r="AX75" s="353"/>
      <c r="AY75" s="353"/>
      <c r="AZ75" s="354"/>
      <c r="BA75" s="353"/>
      <c r="BB75" s="353"/>
      <c r="BC75" s="353"/>
      <c r="BD75" s="353"/>
      <c r="BE75" s="353"/>
      <c r="BF75" s="353"/>
      <c r="BG75" s="354"/>
      <c r="BH75" s="353"/>
      <c r="BI75" s="353"/>
      <c r="BJ75" s="385"/>
      <c r="BK75" s="353"/>
      <c r="BL75" s="353"/>
      <c r="BM75" s="353"/>
      <c r="BN75" s="353"/>
      <c r="BO75" s="353"/>
      <c r="BP75" s="353"/>
      <c r="BQ75" s="353"/>
      <c r="BR75" s="353"/>
      <c r="BS75" s="354"/>
      <c r="BT75" s="353"/>
      <c r="BU75" s="353"/>
      <c r="BV75" s="354"/>
      <c r="BW75" s="354"/>
      <c r="BX75" s="354"/>
    </row>
    <row r="76" spans="1:76" ht="11.25" customHeight="1" x14ac:dyDescent="0.25">
      <c r="A76" s="350"/>
      <c r="B76" s="342"/>
      <c r="C76" s="341" t="s">
        <v>133</v>
      </c>
      <c r="D76" s="342" t="s">
        <v>416</v>
      </c>
      <c r="E76" s="342"/>
      <c r="F76" s="343" t="s">
        <v>417</v>
      </c>
      <c r="G76" s="343"/>
      <c r="H76" s="353"/>
      <c r="I76" s="354"/>
      <c r="J76" s="353"/>
      <c r="K76" s="353"/>
      <c r="L76" s="353"/>
      <c r="M76" s="353"/>
      <c r="N76" s="353"/>
      <c r="O76" s="353"/>
      <c r="P76" s="353"/>
      <c r="Q76" s="353"/>
      <c r="R76" s="353"/>
      <c r="S76" s="353"/>
      <c r="T76" s="353"/>
      <c r="U76" s="353"/>
      <c r="V76" s="353"/>
      <c r="W76" s="354"/>
      <c r="X76" s="353"/>
      <c r="Y76" s="353"/>
      <c r="Z76" s="353"/>
      <c r="AA76" s="353"/>
      <c r="AB76" s="353"/>
      <c r="AC76" s="353"/>
      <c r="AD76" s="353"/>
      <c r="AE76" s="353"/>
      <c r="AF76" s="353"/>
      <c r="AG76" s="353"/>
      <c r="AH76" s="353"/>
      <c r="AI76" s="353"/>
      <c r="AJ76" s="353"/>
      <c r="AK76" s="353"/>
      <c r="AL76" s="353"/>
      <c r="AM76" s="353"/>
      <c r="AN76" s="353"/>
      <c r="AO76" s="353"/>
      <c r="AP76" s="353"/>
      <c r="AQ76" s="353"/>
      <c r="AR76" s="353"/>
      <c r="AS76" s="353"/>
      <c r="AT76" s="354"/>
      <c r="AU76" s="353"/>
      <c r="AV76" s="353"/>
      <c r="AW76" s="353"/>
      <c r="AX76" s="353"/>
      <c r="AY76" s="353"/>
      <c r="AZ76" s="354"/>
      <c r="BA76" s="353"/>
      <c r="BB76" s="353"/>
      <c r="BC76" s="353"/>
      <c r="BD76" s="353"/>
      <c r="BE76" s="353"/>
      <c r="BF76" s="353"/>
      <c r="BG76" s="354"/>
      <c r="BH76" s="353"/>
      <c r="BI76" s="353"/>
      <c r="BJ76" s="385"/>
      <c r="BK76" s="353"/>
      <c r="BL76" s="353"/>
      <c r="BM76" s="353"/>
      <c r="BN76" s="353"/>
      <c r="BO76" s="353"/>
      <c r="BP76" s="353"/>
      <c r="BQ76" s="353"/>
      <c r="BR76" s="353"/>
      <c r="BS76" s="354"/>
      <c r="BT76" s="353"/>
      <c r="BU76" s="353"/>
      <c r="BV76" s="354"/>
      <c r="BW76" s="354"/>
      <c r="BX76" s="354"/>
    </row>
    <row r="77" spans="1:76" ht="11.25" customHeight="1" x14ac:dyDescent="0.25">
      <c r="A77" s="350"/>
      <c r="B77" s="342"/>
      <c r="C77" s="341" t="s">
        <v>133</v>
      </c>
      <c r="D77" s="342" t="s">
        <v>418</v>
      </c>
      <c r="E77" s="342"/>
      <c r="F77" s="343" t="s">
        <v>419</v>
      </c>
      <c r="G77" s="343"/>
      <c r="H77" s="353"/>
      <c r="I77" s="354"/>
      <c r="J77" s="353"/>
      <c r="K77" s="353"/>
      <c r="L77" s="353"/>
      <c r="M77" s="353"/>
      <c r="N77" s="353"/>
      <c r="O77" s="353"/>
      <c r="P77" s="353"/>
      <c r="Q77" s="353"/>
      <c r="R77" s="353"/>
      <c r="S77" s="353"/>
      <c r="T77" s="353"/>
      <c r="U77" s="353"/>
      <c r="V77" s="353"/>
      <c r="W77" s="354"/>
      <c r="X77" s="353"/>
      <c r="Y77" s="353"/>
      <c r="Z77" s="353"/>
      <c r="AA77" s="353"/>
      <c r="AB77" s="353"/>
      <c r="AC77" s="353"/>
      <c r="AD77" s="353"/>
      <c r="AE77" s="353"/>
      <c r="AF77" s="353"/>
      <c r="AG77" s="353"/>
      <c r="AH77" s="353"/>
      <c r="AI77" s="353"/>
      <c r="AJ77" s="353"/>
      <c r="AK77" s="353"/>
      <c r="AL77" s="353"/>
      <c r="AM77" s="353"/>
      <c r="AN77" s="353"/>
      <c r="AO77" s="353"/>
      <c r="AP77" s="353"/>
      <c r="AQ77" s="353"/>
      <c r="AR77" s="353"/>
      <c r="AS77" s="353"/>
      <c r="AT77" s="354"/>
      <c r="AU77" s="353"/>
      <c r="AV77" s="353"/>
      <c r="AW77" s="353"/>
      <c r="AX77" s="353"/>
      <c r="AY77" s="353"/>
      <c r="AZ77" s="354"/>
      <c r="BA77" s="353"/>
      <c r="BB77" s="353"/>
      <c r="BC77" s="353"/>
      <c r="BD77" s="353"/>
      <c r="BE77" s="353"/>
      <c r="BF77" s="353"/>
      <c r="BG77" s="354"/>
      <c r="BH77" s="353"/>
      <c r="BI77" s="353"/>
      <c r="BJ77" s="385"/>
      <c r="BK77" s="353"/>
      <c r="BL77" s="353"/>
      <c r="BM77" s="353"/>
      <c r="BN77" s="353"/>
      <c r="BO77" s="353"/>
      <c r="BP77" s="353"/>
      <c r="BQ77" s="353"/>
      <c r="BR77" s="353"/>
      <c r="BS77" s="354"/>
      <c r="BT77" s="353"/>
      <c r="BU77" s="353"/>
      <c r="BV77" s="354"/>
      <c r="BW77" s="354"/>
      <c r="BX77" s="354"/>
    </row>
    <row r="78" spans="1:76" ht="11.25" customHeight="1" x14ac:dyDescent="0.25">
      <c r="A78" s="350"/>
      <c r="B78" s="342"/>
      <c r="C78" s="341" t="s">
        <v>133</v>
      </c>
      <c r="D78" s="342" t="s">
        <v>420</v>
      </c>
      <c r="E78" s="342"/>
      <c r="F78" s="343" t="s">
        <v>421</v>
      </c>
      <c r="G78" s="343"/>
      <c r="H78" s="353"/>
      <c r="I78" s="354"/>
      <c r="J78" s="353"/>
      <c r="K78" s="353"/>
      <c r="L78" s="353"/>
      <c r="M78" s="353"/>
      <c r="N78" s="353"/>
      <c r="O78" s="353"/>
      <c r="P78" s="353"/>
      <c r="Q78" s="353"/>
      <c r="R78" s="353"/>
      <c r="S78" s="353"/>
      <c r="T78" s="353"/>
      <c r="U78" s="353"/>
      <c r="V78" s="353"/>
      <c r="W78" s="354"/>
      <c r="X78" s="353"/>
      <c r="Y78" s="353"/>
      <c r="Z78" s="353"/>
      <c r="AA78" s="353"/>
      <c r="AB78" s="353"/>
      <c r="AC78" s="353"/>
      <c r="AD78" s="353"/>
      <c r="AE78" s="353"/>
      <c r="AF78" s="353"/>
      <c r="AG78" s="353"/>
      <c r="AH78" s="353"/>
      <c r="AI78" s="353"/>
      <c r="AJ78" s="353"/>
      <c r="AK78" s="353"/>
      <c r="AL78" s="353"/>
      <c r="AM78" s="353"/>
      <c r="AN78" s="353"/>
      <c r="AO78" s="353"/>
      <c r="AP78" s="353"/>
      <c r="AQ78" s="353"/>
      <c r="AR78" s="353"/>
      <c r="AS78" s="353"/>
      <c r="AT78" s="354"/>
      <c r="AU78" s="353"/>
      <c r="AV78" s="353"/>
      <c r="AW78" s="353"/>
      <c r="AX78" s="353"/>
      <c r="AY78" s="353"/>
      <c r="AZ78" s="354"/>
      <c r="BA78" s="353"/>
      <c r="BB78" s="353"/>
      <c r="BC78" s="353"/>
      <c r="BD78" s="353"/>
      <c r="BE78" s="353"/>
      <c r="BF78" s="353"/>
      <c r="BG78" s="354"/>
      <c r="BH78" s="353"/>
      <c r="BI78" s="353"/>
      <c r="BJ78" s="385"/>
      <c r="BK78" s="353"/>
      <c r="BL78" s="353"/>
      <c r="BM78" s="353"/>
      <c r="BN78" s="353"/>
      <c r="BO78" s="353"/>
      <c r="BP78" s="353"/>
      <c r="BQ78" s="353"/>
      <c r="BR78" s="353"/>
      <c r="BS78" s="354"/>
      <c r="BT78" s="353"/>
      <c r="BU78" s="353"/>
      <c r="BV78" s="354"/>
      <c r="BW78" s="354"/>
      <c r="BX78" s="354"/>
    </row>
    <row r="79" spans="1:76" ht="11.25" customHeight="1" x14ac:dyDescent="0.25">
      <c r="A79" s="341" t="s">
        <v>133</v>
      </c>
      <c r="B79" s="342" t="s">
        <v>422</v>
      </c>
      <c r="C79" s="342"/>
      <c r="D79" s="342"/>
      <c r="E79" s="342"/>
      <c r="F79" s="343" t="s">
        <v>423</v>
      </c>
      <c r="G79" s="343"/>
      <c r="H79" s="353"/>
      <c r="I79" s="354"/>
      <c r="J79" s="353"/>
      <c r="K79" s="353"/>
      <c r="L79" s="353"/>
      <c r="M79" s="353"/>
      <c r="N79" s="353"/>
      <c r="O79" s="353"/>
      <c r="P79" s="353"/>
      <c r="Q79" s="353"/>
      <c r="R79" s="353"/>
      <c r="S79" s="353"/>
      <c r="T79" s="353"/>
      <c r="U79" s="353"/>
      <c r="V79" s="353"/>
      <c r="W79" s="354"/>
      <c r="X79" s="353"/>
      <c r="Y79" s="353"/>
      <c r="Z79" s="353"/>
      <c r="AA79" s="353"/>
      <c r="AB79" s="353"/>
      <c r="AC79" s="353"/>
      <c r="AD79" s="353"/>
      <c r="AE79" s="353"/>
      <c r="AF79" s="353"/>
      <c r="AG79" s="353"/>
      <c r="AH79" s="353"/>
      <c r="AI79" s="353"/>
      <c r="AJ79" s="353"/>
      <c r="AK79" s="353"/>
      <c r="AL79" s="353"/>
      <c r="AM79" s="353"/>
      <c r="AN79" s="353"/>
      <c r="AO79" s="353"/>
      <c r="AP79" s="353"/>
      <c r="AQ79" s="353"/>
      <c r="AR79" s="353"/>
      <c r="AS79" s="353"/>
      <c r="AT79" s="354"/>
      <c r="AU79" s="353"/>
      <c r="AV79" s="353"/>
      <c r="AW79" s="353"/>
      <c r="AX79" s="353"/>
      <c r="AY79" s="353"/>
      <c r="AZ79" s="354"/>
      <c r="BA79" s="353"/>
      <c r="BB79" s="353"/>
      <c r="BC79" s="353"/>
      <c r="BD79" s="353"/>
      <c r="BE79" s="353"/>
      <c r="BF79" s="353"/>
      <c r="BG79" s="354"/>
      <c r="BH79" s="353"/>
      <c r="BI79" s="353"/>
      <c r="BJ79" s="385"/>
      <c r="BK79" s="353"/>
      <c r="BL79" s="353"/>
      <c r="BM79" s="353"/>
      <c r="BN79" s="353"/>
      <c r="BO79" s="353"/>
      <c r="BP79" s="353"/>
      <c r="BQ79" s="353"/>
      <c r="BR79" s="353"/>
      <c r="BS79" s="354"/>
      <c r="BT79" s="353"/>
      <c r="BU79" s="353"/>
      <c r="BV79" s="354"/>
      <c r="BW79" s="354"/>
      <c r="BX79" s="354"/>
    </row>
    <row r="80" spans="1:76" ht="11.25" customHeight="1" x14ac:dyDescent="0.25">
      <c r="A80" s="341"/>
      <c r="B80" s="341" t="s">
        <v>133</v>
      </c>
      <c r="C80" s="342" t="s">
        <v>424</v>
      </c>
      <c r="D80" s="342"/>
      <c r="E80" s="342"/>
      <c r="F80" s="343" t="s">
        <v>425</v>
      </c>
      <c r="G80" s="343"/>
      <c r="H80" s="353"/>
      <c r="I80" s="354"/>
      <c r="J80" s="353"/>
      <c r="K80" s="353"/>
      <c r="L80" s="353"/>
      <c r="M80" s="353"/>
      <c r="N80" s="353"/>
      <c r="O80" s="353"/>
      <c r="P80" s="353"/>
      <c r="Q80" s="353"/>
      <c r="R80" s="353"/>
      <c r="S80" s="353"/>
      <c r="T80" s="353"/>
      <c r="U80" s="353"/>
      <c r="V80" s="353"/>
      <c r="W80" s="354"/>
      <c r="X80" s="353"/>
      <c r="Y80" s="353"/>
      <c r="Z80" s="353"/>
      <c r="AA80" s="353"/>
      <c r="AB80" s="353"/>
      <c r="AC80" s="353"/>
      <c r="AD80" s="353"/>
      <c r="AE80" s="353"/>
      <c r="AF80" s="353"/>
      <c r="AG80" s="353"/>
      <c r="AH80" s="353"/>
      <c r="AI80" s="353"/>
      <c r="AJ80" s="353"/>
      <c r="AK80" s="353"/>
      <c r="AL80" s="353"/>
      <c r="AM80" s="353"/>
      <c r="AN80" s="353"/>
      <c r="AO80" s="353"/>
      <c r="AP80" s="353"/>
      <c r="AQ80" s="353"/>
      <c r="AR80" s="353"/>
      <c r="AS80" s="353"/>
      <c r="AT80" s="354"/>
      <c r="AU80" s="353"/>
      <c r="AV80" s="353"/>
      <c r="AW80" s="353"/>
      <c r="AX80" s="353"/>
      <c r="AY80" s="353"/>
      <c r="AZ80" s="354"/>
      <c r="BA80" s="353"/>
      <c r="BB80" s="353"/>
      <c r="BC80" s="353"/>
      <c r="BD80" s="353"/>
      <c r="BE80" s="353"/>
      <c r="BF80" s="353"/>
      <c r="BG80" s="354"/>
      <c r="BH80" s="353"/>
      <c r="BI80" s="353"/>
      <c r="BJ80" s="385"/>
      <c r="BK80" s="353"/>
      <c r="BL80" s="353"/>
      <c r="BM80" s="353"/>
      <c r="BN80" s="353"/>
      <c r="BO80" s="353"/>
      <c r="BP80" s="353"/>
      <c r="BQ80" s="353"/>
      <c r="BR80" s="353"/>
      <c r="BS80" s="354"/>
      <c r="BT80" s="353"/>
      <c r="BU80" s="353"/>
      <c r="BV80" s="354"/>
      <c r="BW80" s="354"/>
      <c r="BX80" s="354"/>
    </row>
    <row r="81" spans="1:81" ht="11.25" customHeight="1" x14ac:dyDescent="0.25">
      <c r="A81" s="341"/>
      <c r="B81" s="341" t="s">
        <v>133</v>
      </c>
      <c r="C81" s="342" t="s">
        <v>426</v>
      </c>
      <c r="D81" s="342"/>
      <c r="E81" s="342"/>
      <c r="F81" s="343" t="s">
        <v>427</v>
      </c>
      <c r="G81" s="343"/>
      <c r="H81" s="353"/>
      <c r="I81" s="354"/>
      <c r="J81" s="353"/>
      <c r="K81" s="353"/>
      <c r="L81" s="353"/>
      <c r="M81" s="353"/>
      <c r="N81" s="353"/>
      <c r="O81" s="353"/>
      <c r="P81" s="353"/>
      <c r="Q81" s="353"/>
      <c r="R81" s="353"/>
      <c r="S81" s="353"/>
      <c r="T81" s="353"/>
      <c r="U81" s="353"/>
      <c r="V81" s="353"/>
      <c r="W81" s="354"/>
      <c r="X81" s="353"/>
      <c r="Y81" s="353"/>
      <c r="Z81" s="353"/>
      <c r="AA81" s="353"/>
      <c r="AB81" s="353"/>
      <c r="AC81" s="353"/>
      <c r="AD81" s="353"/>
      <c r="AE81" s="353"/>
      <c r="AF81" s="353"/>
      <c r="AG81" s="353"/>
      <c r="AH81" s="353"/>
      <c r="AI81" s="353"/>
      <c r="AJ81" s="353"/>
      <c r="AK81" s="353"/>
      <c r="AL81" s="353"/>
      <c r="AM81" s="353"/>
      <c r="AN81" s="353"/>
      <c r="AO81" s="353"/>
      <c r="AP81" s="353"/>
      <c r="AQ81" s="353"/>
      <c r="AR81" s="353"/>
      <c r="AS81" s="353"/>
      <c r="AT81" s="354"/>
      <c r="AU81" s="353"/>
      <c r="AV81" s="353"/>
      <c r="AW81" s="353"/>
      <c r="AX81" s="353"/>
      <c r="AY81" s="353"/>
      <c r="AZ81" s="354"/>
      <c r="BA81" s="353"/>
      <c r="BB81" s="353"/>
      <c r="BC81" s="353"/>
      <c r="BD81" s="353"/>
      <c r="BE81" s="353"/>
      <c r="BF81" s="353"/>
      <c r="BG81" s="354"/>
      <c r="BH81" s="353"/>
      <c r="BI81" s="353"/>
      <c r="BJ81" s="385"/>
      <c r="BK81" s="353"/>
      <c r="BL81" s="353"/>
      <c r="BM81" s="353"/>
      <c r="BN81" s="353"/>
      <c r="BO81" s="353"/>
      <c r="BP81" s="353"/>
      <c r="BQ81" s="353"/>
      <c r="BR81" s="353"/>
      <c r="BS81" s="354"/>
      <c r="BT81" s="353"/>
      <c r="BU81" s="353"/>
      <c r="BV81" s="354"/>
      <c r="BW81" s="354"/>
      <c r="BX81" s="354"/>
    </row>
    <row r="82" spans="1:81" ht="11.25" customHeight="1" x14ac:dyDescent="0.25">
      <c r="A82" s="341"/>
      <c r="B82" s="341" t="s">
        <v>133</v>
      </c>
      <c r="C82" s="342" t="s">
        <v>428</v>
      </c>
      <c r="D82" s="342"/>
      <c r="E82" s="342"/>
      <c r="F82" s="343" t="s">
        <v>429</v>
      </c>
      <c r="G82" s="343"/>
      <c r="H82" s="353"/>
      <c r="I82" s="354"/>
      <c r="J82" s="353"/>
      <c r="K82" s="353"/>
      <c r="L82" s="353"/>
      <c r="M82" s="353"/>
      <c r="N82" s="353"/>
      <c r="O82" s="353"/>
      <c r="P82" s="353"/>
      <c r="Q82" s="353"/>
      <c r="R82" s="353"/>
      <c r="S82" s="353"/>
      <c r="T82" s="353"/>
      <c r="U82" s="353"/>
      <c r="V82" s="353"/>
      <c r="W82" s="354"/>
      <c r="X82" s="353"/>
      <c r="Y82" s="353"/>
      <c r="Z82" s="353"/>
      <c r="AA82" s="353"/>
      <c r="AB82" s="353"/>
      <c r="AC82" s="353"/>
      <c r="AD82" s="353"/>
      <c r="AE82" s="353"/>
      <c r="AF82" s="353"/>
      <c r="AG82" s="353"/>
      <c r="AH82" s="353"/>
      <c r="AI82" s="353"/>
      <c r="AJ82" s="353"/>
      <c r="AK82" s="353"/>
      <c r="AL82" s="353"/>
      <c r="AM82" s="353"/>
      <c r="AN82" s="353"/>
      <c r="AO82" s="353"/>
      <c r="AP82" s="353"/>
      <c r="AQ82" s="353"/>
      <c r="AR82" s="353"/>
      <c r="AS82" s="353"/>
      <c r="AT82" s="354"/>
      <c r="AU82" s="353"/>
      <c r="AV82" s="353"/>
      <c r="AW82" s="353"/>
      <c r="AX82" s="353"/>
      <c r="AY82" s="353"/>
      <c r="AZ82" s="354"/>
      <c r="BA82" s="353"/>
      <c r="BB82" s="353"/>
      <c r="BC82" s="353"/>
      <c r="BD82" s="353"/>
      <c r="BE82" s="353"/>
      <c r="BF82" s="353"/>
      <c r="BG82" s="354"/>
      <c r="BH82" s="353"/>
      <c r="BI82" s="353"/>
      <c r="BJ82" s="385"/>
      <c r="BK82" s="353"/>
      <c r="BL82" s="353"/>
      <c r="BM82" s="353"/>
      <c r="BN82" s="353"/>
      <c r="BO82" s="353"/>
      <c r="BP82" s="353"/>
      <c r="BQ82" s="353"/>
      <c r="BR82" s="353"/>
      <c r="BS82" s="354"/>
      <c r="BT82" s="353"/>
      <c r="BU82" s="353"/>
      <c r="BV82" s="354"/>
      <c r="BW82" s="354"/>
      <c r="BX82" s="354"/>
    </row>
    <row r="83" spans="1:81" ht="11.25" customHeight="1" x14ac:dyDescent="0.25">
      <c r="A83" s="341"/>
      <c r="B83" s="341" t="s">
        <v>133</v>
      </c>
      <c r="C83" s="342" t="s">
        <v>430</v>
      </c>
      <c r="D83" s="342"/>
      <c r="E83" s="342"/>
      <c r="F83" s="343" t="s">
        <v>431</v>
      </c>
      <c r="G83" s="343"/>
      <c r="H83" s="353"/>
      <c r="I83" s="354"/>
      <c r="J83" s="353"/>
      <c r="K83" s="353"/>
      <c r="L83" s="353"/>
      <c r="M83" s="353"/>
      <c r="N83" s="353"/>
      <c r="O83" s="353"/>
      <c r="P83" s="353"/>
      <c r="Q83" s="353"/>
      <c r="R83" s="353"/>
      <c r="S83" s="353"/>
      <c r="T83" s="353"/>
      <c r="U83" s="353"/>
      <c r="V83" s="353"/>
      <c r="W83" s="354"/>
      <c r="X83" s="353"/>
      <c r="Y83" s="353"/>
      <c r="Z83" s="353"/>
      <c r="AA83" s="353"/>
      <c r="AB83" s="353"/>
      <c r="AC83" s="353"/>
      <c r="AD83" s="353"/>
      <c r="AE83" s="353"/>
      <c r="AF83" s="353"/>
      <c r="AG83" s="353"/>
      <c r="AH83" s="353"/>
      <c r="AI83" s="353"/>
      <c r="AJ83" s="353"/>
      <c r="AK83" s="353"/>
      <c r="AL83" s="353"/>
      <c r="AM83" s="353"/>
      <c r="AN83" s="353"/>
      <c r="AO83" s="353"/>
      <c r="AP83" s="353"/>
      <c r="AQ83" s="353"/>
      <c r="AR83" s="353"/>
      <c r="AS83" s="353"/>
      <c r="AT83" s="354"/>
      <c r="AU83" s="353"/>
      <c r="AV83" s="353"/>
      <c r="AW83" s="353"/>
      <c r="AX83" s="353"/>
      <c r="AY83" s="353"/>
      <c r="AZ83" s="354"/>
      <c r="BA83" s="353"/>
      <c r="BB83" s="353"/>
      <c r="BC83" s="353"/>
      <c r="BD83" s="353"/>
      <c r="BE83" s="353"/>
      <c r="BF83" s="353"/>
      <c r="BG83" s="354"/>
      <c r="BH83" s="353"/>
      <c r="BI83" s="353"/>
      <c r="BJ83" s="385"/>
      <c r="BK83" s="353"/>
      <c r="BL83" s="353"/>
      <c r="BM83" s="353"/>
      <c r="BN83" s="353"/>
      <c r="BO83" s="353"/>
      <c r="BP83" s="353"/>
      <c r="BQ83" s="353"/>
      <c r="BR83" s="353"/>
      <c r="BS83" s="354"/>
      <c r="BT83" s="353"/>
      <c r="BU83" s="353"/>
      <c r="BV83" s="354"/>
      <c r="BW83" s="354"/>
      <c r="BX83" s="354"/>
    </row>
    <row r="84" spans="1:81" ht="11.25" customHeight="1" x14ac:dyDescent="0.25">
      <c r="A84" s="341"/>
      <c r="B84" s="341" t="s">
        <v>133</v>
      </c>
      <c r="C84" s="342" t="s">
        <v>432</v>
      </c>
      <c r="D84" s="342"/>
      <c r="E84" s="342"/>
      <c r="F84" s="343" t="s">
        <v>433</v>
      </c>
      <c r="G84" s="343"/>
      <c r="H84" s="353"/>
      <c r="I84" s="354"/>
      <c r="J84" s="353"/>
      <c r="K84" s="353"/>
      <c r="L84" s="353"/>
      <c r="M84" s="353"/>
      <c r="N84" s="353"/>
      <c r="O84" s="353"/>
      <c r="P84" s="353"/>
      <c r="Q84" s="353"/>
      <c r="R84" s="353"/>
      <c r="S84" s="353"/>
      <c r="T84" s="353"/>
      <c r="U84" s="353"/>
      <c r="V84" s="353"/>
      <c r="W84" s="354"/>
      <c r="X84" s="353"/>
      <c r="Y84" s="353"/>
      <c r="Z84" s="353"/>
      <c r="AA84" s="353"/>
      <c r="AB84" s="353"/>
      <c r="AC84" s="353"/>
      <c r="AD84" s="353"/>
      <c r="AE84" s="353"/>
      <c r="AF84" s="353"/>
      <c r="AG84" s="353"/>
      <c r="AH84" s="353"/>
      <c r="AI84" s="353"/>
      <c r="AJ84" s="353"/>
      <c r="AK84" s="353"/>
      <c r="AL84" s="353"/>
      <c r="AM84" s="353"/>
      <c r="AN84" s="353"/>
      <c r="AO84" s="353"/>
      <c r="AP84" s="353"/>
      <c r="AQ84" s="353"/>
      <c r="AR84" s="353"/>
      <c r="AS84" s="353"/>
      <c r="AT84" s="354"/>
      <c r="AU84" s="353"/>
      <c r="AV84" s="353"/>
      <c r="AW84" s="353"/>
      <c r="AX84" s="353"/>
      <c r="AY84" s="353"/>
      <c r="AZ84" s="354"/>
      <c r="BA84" s="353"/>
      <c r="BB84" s="353"/>
      <c r="BC84" s="353"/>
      <c r="BD84" s="353"/>
      <c r="BE84" s="353"/>
      <c r="BF84" s="353"/>
      <c r="BG84" s="354"/>
      <c r="BH84" s="353"/>
      <c r="BI84" s="353"/>
      <c r="BJ84" s="385"/>
      <c r="BK84" s="353"/>
      <c r="BL84" s="353"/>
      <c r="BM84" s="353"/>
      <c r="BN84" s="353"/>
      <c r="BO84" s="353"/>
      <c r="BP84" s="353"/>
      <c r="BQ84" s="353"/>
      <c r="BR84" s="353"/>
      <c r="BS84" s="354"/>
      <c r="BT84" s="353"/>
      <c r="BU84" s="353"/>
      <c r="BV84" s="354"/>
      <c r="BW84" s="354"/>
      <c r="BX84" s="354"/>
    </row>
    <row r="85" spans="1:81" ht="11.25" customHeight="1" x14ac:dyDescent="0.25">
      <c r="A85" s="341"/>
      <c r="B85" s="341" t="s">
        <v>133</v>
      </c>
      <c r="C85" s="342" t="s">
        <v>434</v>
      </c>
      <c r="D85" s="342"/>
      <c r="E85" s="342"/>
      <c r="F85" s="343" t="s">
        <v>435</v>
      </c>
      <c r="G85" s="343"/>
      <c r="H85" s="353"/>
      <c r="I85" s="354"/>
      <c r="J85" s="353"/>
      <c r="K85" s="353"/>
      <c r="L85" s="353"/>
      <c r="M85" s="353"/>
      <c r="N85" s="353"/>
      <c r="O85" s="353"/>
      <c r="P85" s="353"/>
      <c r="Q85" s="353"/>
      <c r="R85" s="353"/>
      <c r="S85" s="353"/>
      <c r="T85" s="353"/>
      <c r="U85" s="353"/>
      <c r="V85" s="353"/>
      <c r="W85" s="354"/>
      <c r="X85" s="353"/>
      <c r="Y85" s="353"/>
      <c r="Z85" s="353"/>
      <c r="AA85" s="353"/>
      <c r="AB85" s="353"/>
      <c r="AC85" s="353"/>
      <c r="AD85" s="353"/>
      <c r="AE85" s="353"/>
      <c r="AF85" s="353"/>
      <c r="AG85" s="353"/>
      <c r="AH85" s="353"/>
      <c r="AI85" s="353"/>
      <c r="AJ85" s="353"/>
      <c r="AK85" s="353"/>
      <c r="AL85" s="353"/>
      <c r="AM85" s="353"/>
      <c r="AN85" s="353"/>
      <c r="AO85" s="353"/>
      <c r="AP85" s="353"/>
      <c r="AQ85" s="353"/>
      <c r="AR85" s="353"/>
      <c r="AS85" s="353"/>
      <c r="AT85" s="354"/>
      <c r="AU85" s="353"/>
      <c r="AV85" s="353"/>
      <c r="AW85" s="353"/>
      <c r="AX85" s="353"/>
      <c r="AY85" s="353"/>
      <c r="AZ85" s="354"/>
      <c r="BA85" s="353"/>
      <c r="BB85" s="353"/>
      <c r="BC85" s="353"/>
      <c r="BD85" s="353"/>
      <c r="BE85" s="353"/>
      <c r="BF85" s="353"/>
      <c r="BG85" s="354"/>
      <c r="BH85" s="353"/>
      <c r="BI85" s="353"/>
      <c r="BJ85" s="385"/>
      <c r="BK85" s="353"/>
      <c r="BL85" s="353"/>
      <c r="BM85" s="353"/>
      <c r="BN85" s="353"/>
      <c r="BO85" s="353"/>
      <c r="BP85" s="353"/>
      <c r="BQ85" s="353"/>
      <c r="BR85" s="353"/>
      <c r="BS85" s="354"/>
      <c r="BT85" s="353"/>
      <c r="BU85" s="353"/>
      <c r="BV85" s="354"/>
      <c r="BW85" s="354"/>
      <c r="BX85" s="354"/>
    </row>
    <row r="86" spans="1:81" ht="11.25" customHeight="1" x14ac:dyDescent="0.25">
      <c r="A86" s="341" t="s">
        <v>133</v>
      </c>
      <c r="B86" s="342" t="s">
        <v>323</v>
      </c>
      <c r="C86" s="342"/>
      <c r="D86" s="342"/>
      <c r="E86" s="342"/>
      <c r="F86" s="343" t="s">
        <v>436</v>
      </c>
      <c r="G86" s="343"/>
      <c r="H86" s="353"/>
      <c r="I86" s="354"/>
      <c r="J86" s="353"/>
      <c r="K86" s="348"/>
      <c r="L86" s="353"/>
      <c r="M86" s="353"/>
      <c r="N86" s="353"/>
      <c r="O86" s="353"/>
      <c r="P86" s="345"/>
      <c r="Q86" s="353"/>
      <c r="R86" s="353"/>
      <c r="S86" s="353"/>
      <c r="T86" s="353"/>
      <c r="U86" s="353"/>
      <c r="V86" s="353"/>
      <c r="W86" s="354"/>
      <c r="X86" s="353"/>
      <c r="Y86" s="353"/>
      <c r="Z86" s="353"/>
      <c r="AA86" s="353"/>
      <c r="AB86" s="353"/>
      <c r="AC86" s="353"/>
      <c r="AD86" s="353"/>
      <c r="AE86" s="353"/>
      <c r="AF86" s="353"/>
      <c r="AG86" s="353"/>
      <c r="AH86" s="353"/>
      <c r="AI86" s="353"/>
      <c r="AJ86" s="353"/>
      <c r="AK86" s="353"/>
      <c r="AL86" s="353"/>
      <c r="AM86" s="353"/>
      <c r="AN86" s="353"/>
      <c r="AO86" s="353"/>
      <c r="AP86" s="353"/>
      <c r="AQ86" s="353"/>
      <c r="AR86" s="353"/>
      <c r="AS86" s="353"/>
      <c r="AT86" s="354"/>
      <c r="AU86" s="353"/>
      <c r="AV86" s="353"/>
      <c r="AW86" s="353"/>
      <c r="AX86" s="353"/>
      <c r="AY86" s="353"/>
      <c r="AZ86" s="354"/>
      <c r="BA86" s="353"/>
      <c r="BB86" s="353"/>
      <c r="BC86" s="353"/>
      <c r="BD86" s="353"/>
      <c r="BE86" s="353"/>
      <c r="BF86" s="353"/>
      <c r="BG86" s="354"/>
      <c r="BH86" s="353"/>
      <c r="BI86" s="353"/>
      <c r="BJ86" s="385"/>
      <c r="BK86" s="353"/>
      <c r="BL86" s="353"/>
      <c r="BM86" s="353"/>
      <c r="BN86" s="353"/>
      <c r="BO86" s="353"/>
      <c r="BP86" s="353"/>
      <c r="BQ86" s="353"/>
      <c r="BR86" s="353"/>
      <c r="BS86" s="354"/>
      <c r="BT86" s="353"/>
      <c r="BU86" s="353"/>
      <c r="BV86" s="354"/>
      <c r="BW86" s="354"/>
      <c r="BX86" s="354"/>
    </row>
    <row r="87" spans="1:81" ht="11.25" customHeight="1" x14ac:dyDescent="0.25">
      <c r="A87" s="341" t="s">
        <v>133</v>
      </c>
      <c r="B87" s="342" t="s">
        <v>325</v>
      </c>
      <c r="C87" s="342"/>
      <c r="D87" s="342"/>
      <c r="E87" s="342"/>
      <c r="F87" s="343" t="s">
        <v>437</v>
      </c>
      <c r="G87" s="343"/>
      <c r="H87" s="353"/>
      <c r="I87" s="354"/>
      <c r="J87" s="353"/>
      <c r="K87" s="353"/>
      <c r="L87" s="353"/>
      <c r="M87" s="353"/>
      <c r="N87" s="353"/>
      <c r="O87" s="353"/>
      <c r="P87" s="353"/>
      <c r="Q87" s="353"/>
      <c r="R87" s="353"/>
      <c r="S87" s="353"/>
      <c r="T87" s="353"/>
      <c r="U87" s="353"/>
      <c r="V87" s="353"/>
      <c r="W87" s="354"/>
      <c r="X87" s="353"/>
      <c r="Y87" s="353"/>
      <c r="Z87" s="353"/>
      <c r="AA87" s="353"/>
      <c r="AB87" s="353"/>
      <c r="AC87" s="353"/>
      <c r="AD87" s="353"/>
      <c r="AE87" s="353"/>
      <c r="AF87" s="353"/>
      <c r="AG87" s="353"/>
      <c r="AH87" s="353"/>
      <c r="AI87" s="353"/>
      <c r="AJ87" s="353"/>
      <c r="AK87" s="353"/>
      <c r="AL87" s="353"/>
      <c r="AM87" s="353"/>
      <c r="AN87" s="353"/>
      <c r="AO87" s="353"/>
      <c r="AP87" s="353"/>
      <c r="AQ87" s="353"/>
      <c r="AR87" s="353"/>
      <c r="AS87" s="353"/>
      <c r="AT87" s="354"/>
      <c r="AU87" s="353"/>
      <c r="AV87" s="353"/>
      <c r="AW87" s="348"/>
      <c r="AX87" s="353"/>
      <c r="AY87" s="353"/>
      <c r="AZ87" s="354"/>
      <c r="BA87" s="353"/>
      <c r="BB87" s="353"/>
      <c r="BC87" s="353"/>
      <c r="BD87" s="353"/>
      <c r="BE87" s="353"/>
      <c r="BF87" s="353"/>
      <c r="BG87" s="354"/>
      <c r="BH87" s="353"/>
      <c r="BI87" s="353"/>
      <c r="BJ87" s="385"/>
      <c r="BK87" s="353"/>
      <c r="BL87" s="353"/>
      <c r="BM87" s="353"/>
      <c r="BN87" s="353"/>
      <c r="BO87" s="353"/>
      <c r="BP87" s="353"/>
      <c r="BQ87" s="353"/>
      <c r="BR87" s="353"/>
      <c r="BS87" s="354"/>
      <c r="BT87" s="353"/>
      <c r="BU87" s="353"/>
      <c r="BV87" s="354"/>
      <c r="BW87" s="354"/>
      <c r="BX87" s="354"/>
    </row>
    <row r="88" spans="1:81" ht="11.25" customHeight="1" x14ac:dyDescent="0.25">
      <c r="A88" s="341" t="s">
        <v>133</v>
      </c>
      <c r="B88" s="342" t="s">
        <v>327</v>
      </c>
      <c r="C88" s="342"/>
      <c r="D88" s="342"/>
      <c r="E88" s="342"/>
      <c r="F88" s="343" t="s">
        <v>438</v>
      </c>
      <c r="G88" s="343"/>
      <c r="H88" s="353"/>
      <c r="I88" s="354"/>
      <c r="J88" s="353"/>
      <c r="K88" s="353"/>
      <c r="L88" s="353"/>
      <c r="M88" s="353"/>
      <c r="N88" s="353"/>
      <c r="O88" s="353"/>
      <c r="P88" s="353"/>
      <c r="Q88" s="353"/>
      <c r="R88" s="353"/>
      <c r="S88" s="353"/>
      <c r="T88" s="353"/>
      <c r="U88" s="353"/>
      <c r="V88" s="353"/>
      <c r="W88" s="354"/>
      <c r="X88" s="353"/>
      <c r="Y88" s="353"/>
      <c r="Z88" s="353"/>
      <c r="AA88" s="353"/>
      <c r="AB88" s="353"/>
      <c r="AC88" s="353"/>
      <c r="AD88" s="353"/>
      <c r="AE88" s="353"/>
      <c r="AF88" s="353"/>
      <c r="AG88" s="353"/>
      <c r="AH88" s="353"/>
      <c r="AI88" s="353"/>
      <c r="AJ88" s="353"/>
      <c r="AK88" s="353"/>
      <c r="AL88" s="353"/>
      <c r="AM88" s="353"/>
      <c r="AN88" s="353"/>
      <c r="AO88" s="353"/>
      <c r="AP88" s="353"/>
      <c r="AQ88" s="353"/>
      <c r="AR88" s="353"/>
      <c r="AS88" s="353"/>
      <c r="AT88" s="354"/>
      <c r="AU88" s="353"/>
      <c r="AV88" s="353"/>
      <c r="AW88" s="353"/>
      <c r="AX88" s="353"/>
      <c r="AY88" s="353"/>
      <c r="AZ88" s="354"/>
      <c r="BA88" s="353"/>
      <c r="BB88" s="353"/>
      <c r="BC88" s="353"/>
      <c r="BD88" s="353"/>
      <c r="BE88" s="353"/>
      <c r="BF88" s="353"/>
      <c r="BG88" s="354"/>
      <c r="BH88" s="353"/>
      <c r="BI88" s="353"/>
      <c r="BJ88" s="385"/>
      <c r="BK88" s="353"/>
      <c r="BL88" s="353"/>
      <c r="BM88" s="353"/>
      <c r="BN88" s="353"/>
      <c r="BO88" s="353"/>
      <c r="BP88" s="353"/>
      <c r="BQ88" s="353"/>
      <c r="BR88" s="353"/>
      <c r="BS88" s="354"/>
      <c r="BT88" s="353"/>
      <c r="BU88" s="353"/>
      <c r="BV88" s="354"/>
      <c r="BW88" s="354"/>
      <c r="BX88" s="354"/>
    </row>
    <row r="89" spans="1:81" ht="11.25" customHeight="1" x14ac:dyDescent="0.25">
      <c r="A89" s="341" t="s">
        <v>133</v>
      </c>
      <c r="B89" s="342" t="s">
        <v>329</v>
      </c>
      <c r="C89" s="342"/>
      <c r="D89" s="342"/>
      <c r="E89" s="342"/>
      <c r="F89" s="343" t="s">
        <v>439</v>
      </c>
      <c r="G89" s="343"/>
      <c r="H89" s="348">
        <f>W89</f>
        <v>8007</v>
      </c>
      <c r="I89" s="347"/>
      <c r="J89" s="348"/>
      <c r="K89" s="348"/>
      <c r="L89" s="348"/>
      <c r="M89" s="348"/>
      <c r="N89" s="348"/>
      <c r="O89" s="348"/>
      <c r="P89" s="348"/>
      <c r="Q89" s="348"/>
      <c r="R89" s="348"/>
      <c r="S89" s="348"/>
      <c r="T89" s="348"/>
      <c r="U89" s="348"/>
      <c r="V89" s="348"/>
      <c r="W89" s="347">
        <f>SUM(X89:AS89)</f>
        <v>8007</v>
      </c>
      <c r="X89" s="348"/>
      <c r="Y89" s="348"/>
      <c r="Z89" s="348"/>
      <c r="AA89" s="348"/>
      <c r="AB89" s="348"/>
      <c r="AC89" s="348"/>
      <c r="AD89" s="348"/>
      <c r="AE89" s="348">
        <v>360</v>
      </c>
      <c r="AF89" s="348">
        <v>2610</v>
      </c>
      <c r="AG89" s="348"/>
      <c r="AH89" s="348"/>
      <c r="AI89" s="348">
        <v>427</v>
      </c>
      <c r="AJ89" s="348">
        <v>150</v>
      </c>
      <c r="AK89" s="348"/>
      <c r="AL89" s="348">
        <v>2770</v>
      </c>
      <c r="AM89" s="348">
        <v>1690</v>
      </c>
      <c r="AN89" s="348"/>
      <c r="AO89" s="348"/>
      <c r="AP89" s="348"/>
      <c r="AQ89" s="348"/>
      <c r="AR89" s="348"/>
      <c r="AS89" s="348"/>
      <c r="AT89" s="347"/>
      <c r="AU89" s="348"/>
      <c r="AV89" s="348"/>
      <c r="AW89" s="348"/>
      <c r="AX89" s="348"/>
      <c r="AY89" s="348"/>
      <c r="AZ89" s="347"/>
      <c r="BA89" s="348"/>
      <c r="BB89" s="348"/>
      <c r="BC89" s="348"/>
      <c r="BD89" s="348"/>
      <c r="BE89" s="348"/>
      <c r="BF89" s="348"/>
      <c r="BG89" s="347"/>
      <c r="BH89" s="348"/>
      <c r="BI89" s="348"/>
      <c r="BJ89" s="349"/>
      <c r="BK89" s="348"/>
      <c r="BL89" s="348"/>
      <c r="BM89" s="348"/>
      <c r="BN89" s="348"/>
      <c r="BO89" s="348"/>
      <c r="BP89" s="348"/>
      <c r="BQ89" s="348"/>
      <c r="BR89" s="348"/>
      <c r="BS89" s="347"/>
      <c r="BT89" s="348"/>
      <c r="BU89" s="348"/>
      <c r="BV89" s="347"/>
      <c r="BW89" s="347"/>
      <c r="BX89" s="347"/>
      <c r="BY89" s="386"/>
      <c r="BZ89" s="386"/>
      <c r="CA89" s="386"/>
      <c r="CB89" s="386"/>
      <c r="CC89" s="386"/>
    </row>
    <row r="90" spans="1:81" ht="11.25" customHeight="1" x14ac:dyDescent="0.25">
      <c r="A90" s="341" t="s">
        <v>133</v>
      </c>
      <c r="B90" s="342" t="s">
        <v>440</v>
      </c>
      <c r="C90" s="342"/>
      <c r="D90" s="342"/>
      <c r="E90" s="342"/>
      <c r="F90" s="343" t="s">
        <v>441</v>
      </c>
      <c r="G90" s="343"/>
      <c r="H90" s="353"/>
      <c r="I90" s="354"/>
      <c r="J90" s="353"/>
      <c r="K90" s="353"/>
      <c r="L90" s="353"/>
      <c r="M90" s="353"/>
      <c r="N90" s="353"/>
      <c r="O90" s="353"/>
      <c r="P90" s="353"/>
      <c r="Q90" s="353"/>
      <c r="R90" s="353"/>
      <c r="S90" s="353"/>
      <c r="T90" s="353"/>
      <c r="U90" s="353"/>
      <c r="V90" s="353"/>
      <c r="W90" s="354"/>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4"/>
      <c r="AU90" s="353"/>
      <c r="AV90" s="353"/>
      <c r="AW90" s="353"/>
      <c r="AX90" s="353"/>
      <c r="AY90" s="353"/>
      <c r="AZ90" s="354"/>
      <c r="BA90" s="353"/>
      <c r="BB90" s="353"/>
      <c r="BC90" s="353"/>
      <c r="BD90" s="353"/>
      <c r="BE90" s="353"/>
      <c r="BF90" s="353"/>
      <c r="BG90" s="354"/>
      <c r="BH90" s="353"/>
      <c r="BI90" s="353"/>
      <c r="BJ90" s="385"/>
      <c r="BK90" s="353"/>
      <c r="BL90" s="353"/>
      <c r="BM90" s="353"/>
      <c r="BN90" s="353"/>
      <c r="BO90" s="353"/>
      <c r="BP90" s="353"/>
      <c r="BQ90" s="353"/>
      <c r="BR90" s="353"/>
      <c r="BS90" s="354"/>
      <c r="BT90" s="353"/>
      <c r="BU90" s="353"/>
      <c r="BV90" s="354"/>
      <c r="BW90" s="354"/>
      <c r="BX90" s="354"/>
    </row>
    <row r="91" spans="1:81" ht="11.25" customHeight="1" x14ac:dyDescent="0.25">
      <c r="A91" s="341" t="s">
        <v>133</v>
      </c>
      <c r="B91" s="342" t="s">
        <v>343</v>
      </c>
      <c r="C91" s="342"/>
      <c r="D91" s="342"/>
      <c r="E91" s="342"/>
      <c r="F91" s="343" t="s">
        <v>442</v>
      </c>
      <c r="G91" s="343"/>
      <c r="H91" s="353"/>
      <c r="I91" s="354"/>
      <c r="J91" s="353"/>
      <c r="K91" s="353"/>
      <c r="L91" s="353"/>
      <c r="M91" s="353"/>
      <c r="N91" s="353"/>
      <c r="O91" s="353"/>
      <c r="P91" s="353"/>
      <c r="Q91" s="353"/>
      <c r="R91" s="353"/>
      <c r="S91" s="353"/>
      <c r="T91" s="353"/>
      <c r="U91" s="353"/>
      <c r="V91" s="353"/>
      <c r="W91" s="354"/>
      <c r="X91" s="353"/>
      <c r="Y91" s="353"/>
      <c r="Z91" s="353"/>
      <c r="AA91" s="353"/>
      <c r="AB91" s="353"/>
      <c r="AC91" s="353"/>
      <c r="AD91" s="353"/>
      <c r="AE91" s="353"/>
      <c r="AF91" s="353"/>
      <c r="AG91" s="353"/>
      <c r="AH91" s="353"/>
      <c r="AI91" s="353"/>
      <c r="AJ91" s="353"/>
      <c r="AK91" s="353"/>
      <c r="AL91" s="353"/>
      <c r="AM91" s="353"/>
      <c r="AN91" s="353"/>
      <c r="AO91" s="353"/>
      <c r="AP91" s="353"/>
      <c r="AQ91" s="353"/>
      <c r="AR91" s="353"/>
      <c r="AS91" s="353"/>
      <c r="AT91" s="354"/>
      <c r="AU91" s="353"/>
      <c r="AV91" s="353"/>
      <c r="AW91" s="353"/>
      <c r="AX91" s="353"/>
      <c r="AY91" s="353"/>
      <c r="AZ91" s="354"/>
      <c r="BA91" s="353"/>
      <c r="BB91" s="353"/>
      <c r="BC91" s="353"/>
      <c r="BD91" s="353"/>
      <c r="BE91" s="353"/>
      <c r="BF91" s="353"/>
      <c r="BG91" s="354"/>
      <c r="BH91" s="353"/>
      <c r="BI91" s="353"/>
      <c r="BJ91" s="385"/>
      <c r="BK91" s="353"/>
      <c r="BL91" s="353"/>
      <c r="BM91" s="353"/>
      <c r="BN91" s="353"/>
      <c r="BO91" s="353"/>
      <c r="BP91" s="353"/>
      <c r="BQ91" s="353"/>
      <c r="BR91" s="353"/>
      <c r="BS91" s="354"/>
      <c r="BT91" s="353"/>
      <c r="BU91" s="353"/>
      <c r="BV91" s="354"/>
      <c r="BW91" s="354"/>
      <c r="BX91" s="354"/>
    </row>
    <row r="92" spans="1:81" ht="11.25" customHeight="1" x14ac:dyDescent="0.25">
      <c r="A92" s="341" t="s">
        <v>133</v>
      </c>
      <c r="B92" s="342" t="s">
        <v>443</v>
      </c>
      <c r="C92" s="342"/>
      <c r="D92" s="342"/>
      <c r="E92" s="342"/>
      <c r="F92" s="343" t="s">
        <v>444</v>
      </c>
      <c r="G92" s="343"/>
      <c r="H92" s="353"/>
      <c r="I92" s="354"/>
      <c r="J92" s="353"/>
      <c r="K92" s="353"/>
      <c r="L92" s="353"/>
      <c r="M92" s="353"/>
      <c r="N92" s="353"/>
      <c r="O92" s="353"/>
      <c r="P92" s="353"/>
      <c r="Q92" s="353"/>
      <c r="R92" s="353"/>
      <c r="S92" s="353"/>
      <c r="T92" s="353"/>
      <c r="U92" s="353"/>
      <c r="V92" s="353"/>
      <c r="W92" s="354"/>
      <c r="X92" s="353"/>
      <c r="Y92" s="353"/>
      <c r="Z92" s="353"/>
      <c r="AA92" s="353"/>
      <c r="AB92" s="353"/>
      <c r="AC92" s="353"/>
      <c r="AD92" s="353"/>
      <c r="AE92" s="353"/>
      <c r="AF92" s="353"/>
      <c r="AG92" s="353"/>
      <c r="AH92" s="353"/>
      <c r="AI92" s="353"/>
      <c r="AJ92" s="353"/>
      <c r="AK92" s="353"/>
      <c r="AL92" s="353"/>
      <c r="AM92" s="353"/>
      <c r="AN92" s="353"/>
      <c r="AO92" s="353"/>
      <c r="AP92" s="353"/>
      <c r="AQ92" s="353"/>
      <c r="AR92" s="353"/>
      <c r="AS92" s="353"/>
      <c r="AT92" s="354"/>
      <c r="AU92" s="353"/>
      <c r="AV92" s="353"/>
      <c r="AW92" s="353"/>
      <c r="AX92" s="353"/>
      <c r="AY92" s="353"/>
      <c r="AZ92" s="354"/>
      <c r="BA92" s="353"/>
      <c r="BB92" s="353"/>
      <c r="BC92" s="353"/>
      <c r="BD92" s="353"/>
      <c r="BE92" s="353"/>
      <c r="BF92" s="353"/>
      <c r="BG92" s="354"/>
      <c r="BH92" s="353"/>
      <c r="BI92" s="353"/>
      <c r="BJ92" s="385"/>
      <c r="BK92" s="353"/>
      <c r="BL92" s="353"/>
      <c r="BM92" s="353"/>
      <c r="BN92" s="353"/>
      <c r="BO92" s="353"/>
      <c r="BP92" s="353"/>
      <c r="BQ92" s="353"/>
      <c r="BR92" s="353"/>
      <c r="BS92" s="354"/>
      <c r="BT92" s="353"/>
      <c r="BU92" s="353"/>
      <c r="BV92" s="354"/>
      <c r="BW92" s="354"/>
      <c r="BX92" s="354"/>
    </row>
    <row r="93" spans="1:81" ht="11.25" customHeight="1" x14ac:dyDescent="0.25">
      <c r="A93" s="341" t="s">
        <v>133</v>
      </c>
      <c r="B93" s="342" t="s">
        <v>445</v>
      </c>
      <c r="C93" s="342"/>
      <c r="D93" s="342"/>
      <c r="E93" s="342"/>
      <c r="F93" s="343" t="s">
        <v>446</v>
      </c>
      <c r="G93" s="343"/>
      <c r="H93" s="353"/>
      <c r="I93" s="354"/>
      <c r="J93" s="353"/>
      <c r="K93" s="353"/>
      <c r="L93" s="353"/>
      <c r="M93" s="353"/>
      <c r="N93" s="353"/>
      <c r="O93" s="353"/>
      <c r="P93" s="353"/>
      <c r="Q93" s="353"/>
      <c r="R93" s="353"/>
      <c r="S93" s="353"/>
      <c r="T93" s="353"/>
      <c r="U93" s="353"/>
      <c r="V93" s="353"/>
      <c r="W93" s="354"/>
      <c r="X93" s="353"/>
      <c r="Y93" s="353"/>
      <c r="Z93" s="353"/>
      <c r="AA93" s="353"/>
      <c r="AB93" s="353"/>
      <c r="AC93" s="353"/>
      <c r="AD93" s="353"/>
      <c r="AE93" s="353"/>
      <c r="AF93" s="353"/>
      <c r="AG93" s="353"/>
      <c r="AH93" s="353"/>
      <c r="AI93" s="353"/>
      <c r="AJ93" s="353"/>
      <c r="AK93" s="353"/>
      <c r="AL93" s="353"/>
      <c r="AM93" s="353"/>
      <c r="AN93" s="353"/>
      <c r="AO93" s="353"/>
      <c r="AP93" s="353"/>
      <c r="AQ93" s="353"/>
      <c r="AR93" s="353"/>
      <c r="AS93" s="353"/>
      <c r="AT93" s="354"/>
      <c r="AU93" s="353"/>
      <c r="AV93" s="353"/>
      <c r="AW93" s="353"/>
      <c r="AX93" s="353"/>
      <c r="AY93" s="353"/>
      <c r="AZ93" s="354"/>
      <c r="BA93" s="353"/>
      <c r="BB93" s="353"/>
      <c r="BC93" s="353"/>
      <c r="BD93" s="353"/>
      <c r="BE93" s="353"/>
      <c r="BF93" s="353"/>
      <c r="BG93" s="354"/>
      <c r="BH93" s="353"/>
      <c r="BI93" s="353"/>
      <c r="BJ93" s="385"/>
      <c r="BK93" s="353"/>
      <c r="BL93" s="353"/>
      <c r="BM93" s="353"/>
      <c r="BN93" s="353"/>
      <c r="BO93" s="353"/>
      <c r="BP93" s="353"/>
      <c r="BQ93" s="353"/>
      <c r="BR93" s="353"/>
      <c r="BS93" s="354"/>
      <c r="BT93" s="353"/>
      <c r="BU93" s="353"/>
      <c r="BV93" s="354"/>
      <c r="BW93" s="354"/>
      <c r="BX93" s="354"/>
    </row>
    <row r="94" spans="1:81" ht="11.25" customHeight="1" x14ac:dyDescent="0.25">
      <c r="A94" s="350"/>
      <c r="B94" s="341" t="s">
        <v>133</v>
      </c>
      <c r="C94" s="342" t="s">
        <v>447</v>
      </c>
      <c r="D94" s="342"/>
      <c r="E94" s="342"/>
      <c r="F94" s="343" t="s">
        <v>448</v>
      </c>
      <c r="G94" s="343"/>
      <c r="H94" s="353"/>
      <c r="I94" s="354"/>
      <c r="J94" s="353"/>
      <c r="K94" s="353"/>
      <c r="L94" s="353"/>
      <c r="M94" s="353"/>
      <c r="N94" s="353"/>
      <c r="O94" s="353"/>
      <c r="P94" s="353"/>
      <c r="Q94" s="353"/>
      <c r="R94" s="353"/>
      <c r="S94" s="353"/>
      <c r="T94" s="353"/>
      <c r="U94" s="353"/>
      <c r="V94" s="353"/>
      <c r="W94" s="354"/>
      <c r="X94" s="353"/>
      <c r="Y94" s="353"/>
      <c r="Z94" s="353"/>
      <c r="AA94" s="353"/>
      <c r="AB94" s="353"/>
      <c r="AC94" s="353"/>
      <c r="AD94" s="353"/>
      <c r="AE94" s="353"/>
      <c r="AF94" s="353"/>
      <c r="AG94" s="353"/>
      <c r="AH94" s="353"/>
      <c r="AI94" s="353"/>
      <c r="AJ94" s="353"/>
      <c r="AK94" s="353"/>
      <c r="AL94" s="353"/>
      <c r="AM94" s="353"/>
      <c r="AN94" s="353"/>
      <c r="AO94" s="353"/>
      <c r="AP94" s="353"/>
      <c r="AQ94" s="353"/>
      <c r="AR94" s="353"/>
      <c r="AS94" s="353"/>
      <c r="AT94" s="354"/>
      <c r="AU94" s="353"/>
      <c r="AV94" s="353"/>
      <c r="AW94" s="353"/>
      <c r="AX94" s="353"/>
      <c r="AY94" s="353"/>
      <c r="AZ94" s="354"/>
      <c r="BA94" s="353"/>
      <c r="BB94" s="353"/>
      <c r="BC94" s="353"/>
      <c r="BD94" s="353"/>
      <c r="BE94" s="353"/>
      <c r="BF94" s="353"/>
      <c r="BG94" s="354"/>
      <c r="BH94" s="353"/>
      <c r="BI94" s="353"/>
      <c r="BJ94" s="385"/>
      <c r="BK94" s="353"/>
      <c r="BL94" s="353"/>
      <c r="BM94" s="353"/>
      <c r="BN94" s="353"/>
      <c r="BO94" s="353"/>
      <c r="BP94" s="353"/>
      <c r="BQ94" s="353"/>
      <c r="BR94" s="353"/>
      <c r="BS94" s="354"/>
      <c r="BT94" s="353"/>
      <c r="BU94" s="353"/>
      <c r="BV94" s="354"/>
      <c r="BW94" s="354"/>
      <c r="BX94" s="354"/>
    </row>
    <row r="95" spans="1:81" ht="11.25" customHeight="1" x14ac:dyDescent="0.25">
      <c r="A95" s="350"/>
      <c r="B95" s="341" t="s">
        <v>133</v>
      </c>
      <c r="C95" s="342" t="s">
        <v>449</v>
      </c>
      <c r="D95" s="342"/>
      <c r="E95" s="342"/>
      <c r="F95" s="343" t="s">
        <v>450</v>
      </c>
      <c r="G95" s="343"/>
      <c r="H95" s="353"/>
      <c r="I95" s="354"/>
      <c r="J95" s="353"/>
      <c r="K95" s="353"/>
      <c r="L95" s="353"/>
      <c r="M95" s="353"/>
      <c r="N95" s="353"/>
      <c r="O95" s="353"/>
      <c r="P95" s="353"/>
      <c r="Q95" s="353"/>
      <c r="R95" s="353"/>
      <c r="S95" s="353"/>
      <c r="T95" s="353"/>
      <c r="U95" s="353"/>
      <c r="V95" s="353"/>
      <c r="W95" s="354"/>
      <c r="X95" s="353"/>
      <c r="Y95" s="353"/>
      <c r="Z95" s="353"/>
      <c r="AA95" s="353"/>
      <c r="AB95" s="353"/>
      <c r="AC95" s="353"/>
      <c r="AD95" s="353"/>
      <c r="AE95" s="353"/>
      <c r="AF95" s="353"/>
      <c r="AG95" s="353"/>
      <c r="AH95" s="353"/>
      <c r="AI95" s="353"/>
      <c r="AJ95" s="353"/>
      <c r="AK95" s="353"/>
      <c r="AL95" s="353"/>
      <c r="AM95" s="353"/>
      <c r="AN95" s="353"/>
      <c r="AO95" s="353"/>
      <c r="AP95" s="353"/>
      <c r="AQ95" s="353"/>
      <c r="AR95" s="353"/>
      <c r="AS95" s="353"/>
      <c r="AT95" s="354"/>
      <c r="AU95" s="353"/>
      <c r="AV95" s="353"/>
      <c r="AW95" s="353"/>
      <c r="AX95" s="353"/>
      <c r="AY95" s="353"/>
      <c r="AZ95" s="354"/>
      <c r="BA95" s="353"/>
      <c r="BB95" s="353"/>
      <c r="BC95" s="353"/>
      <c r="BD95" s="353"/>
      <c r="BE95" s="353"/>
      <c r="BF95" s="353"/>
      <c r="BG95" s="354"/>
      <c r="BH95" s="353"/>
      <c r="BI95" s="353"/>
      <c r="BJ95" s="385"/>
      <c r="BK95" s="353"/>
      <c r="BL95" s="353"/>
      <c r="BM95" s="353"/>
      <c r="BN95" s="353"/>
      <c r="BO95" s="353"/>
      <c r="BP95" s="353"/>
      <c r="BQ95" s="353"/>
      <c r="BR95" s="353"/>
      <c r="BS95" s="354"/>
      <c r="BT95" s="353"/>
      <c r="BU95" s="353"/>
      <c r="BV95" s="354"/>
      <c r="BW95" s="354"/>
      <c r="BX95" s="354"/>
    </row>
    <row r="96" spans="1:81" ht="11.25" customHeight="1" x14ac:dyDescent="0.25">
      <c r="A96" s="350"/>
      <c r="B96" s="341" t="s">
        <v>133</v>
      </c>
      <c r="C96" s="342" t="s">
        <v>451</v>
      </c>
      <c r="D96" s="342"/>
      <c r="E96" s="342"/>
      <c r="F96" s="343" t="s">
        <v>452</v>
      </c>
      <c r="G96" s="343"/>
      <c r="H96" s="353"/>
      <c r="I96" s="354"/>
      <c r="J96" s="353"/>
      <c r="K96" s="353"/>
      <c r="L96" s="353"/>
      <c r="M96" s="353"/>
      <c r="N96" s="353"/>
      <c r="O96" s="353"/>
      <c r="P96" s="353"/>
      <c r="Q96" s="353"/>
      <c r="R96" s="353"/>
      <c r="S96" s="353"/>
      <c r="T96" s="353"/>
      <c r="U96" s="353"/>
      <c r="V96" s="353"/>
      <c r="W96" s="354"/>
      <c r="X96" s="353"/>
      <c r="Y96" s="353"/>
      <c r="Z96" s="353"/>
      <c r="AA96" s="353"/>
      <c r="AB96" s="353"/>
      <c r="AC96" s="353"/>
      <c r="AD96" s="353"/>
      <c r="AE96" s="353"/>
      <c r="AF96" s="353"/>
      <c r="AG96" s="353"/>
      <c r="AH96" s="353"/>
      <c r="AI96" s="353"/>
      <c r="AJ96" s="353"/>
      <c r="AK96" s="353"/>
      <c r="AL96" s="353"/>
      <c r="AM96" s="353"/>
      <c r="AN96" s="353"/>
      <c r="AO96" s="353"/>
      <c r="AP96" s="353"/>
      <c r="AQ96" s="353"/>
      <c r="AR96" s="353"/>
      <c r="AS96" s="353"/>
      <c r="AT96" s="354"/>
      <c r="AU96" s="353"/>
      <c r="AV96" s="353"/>
      <c r="AW96" s="353"/>
      <c r="AX96" s="353"/>
      <c r="AY96" s="353"/>
      <c r="AZ96" s="354"/>
      <c r="BA96" s="353"/>
      <c r="BB96" s="353"/>
      <c r="BC96" s="353"/>
      <c r="BD96" s="353"/>
      <c r="BE96" s="353"/>
      <c r="BF96" s="353"/>
      <c r="BG96" s="354"/>
      <c r="BH96" s="353"/>
      <c r="BI96" s="353"/>
      <c r="BJ96" s="385"/>
      <c r="BK96" s="353"/>
      <c r="BL96" s="353"/>
      <c r="BM96" s="353"/>
      <c r="BN96" s="353"/>
      <c r="BO96" s="353"/>
      <c r="BP96" s="353"/>
      <c r="BQ96" s="353"/>
      <c r="BR96" s="353"/>
      <c r="BS96" s="354"/>
      <c r="BT96" s="353"/>
      <c r="BU96" s="353"/>
      <c r="BV96" s="354"/>
      <c r="BW96" s="354"/>
      <c r="BX96" s="354"/>
    </row>
    <row r="97" spans="1:76" ht="11.25" customHeight="1" x14ac:dyDescent="0.25">
      <c r="A97" s="350"/>
      <c r="B97" s="341" t="s">
        <v>133</v>
      </c>
      <c r="C97" s="342" t="s">
        <v>453</v>
      </c>
      <c r="D97" s="342"/>
      <c r="E97" s="342"/>
      <c r="F97" s="343" t="s">
        <v>454</v>
      </c>
      <c r="G97" s="343"/>
      <c r="H97" s="353"/>
      <c r="I97" s="354"/>
      <c r="J97" s="353"/>
      <c r="K97" s="353"/>
      <c r="L97" s="353"/>
      <c r="M97" s="353"/>
      <c r="N97" s="353"/>
      <c r="O97" s="353"/>
      <c r="P97" s="353"/>
      <c r="Q97" s="353"/>
      <c r="R97" s="353"/>
      <c r="S97" s="353"/>
      <c r="T97" s="353"/>
      <c r="U97" s="353"/>
      <c r="V97" s="353"/>
      <c r="W97" s="354"/>
      <c r="X97" s="353"/>
      <c r="Y97" s="353"/>
      <c r="Z97" s="353"/>
      <c r="AA97" s="353"/>
      <c r="AB97" s="353"/>
      <c r="AC97" s="353"/>
      <c r="AD97" s="353"/>
      <c r="AE97" s="353"/>
      <c r="AF97" s="353"/>
      <c r="AG97" s="353"/>
      <c r="AH97" s="353"/>
      <c r="AI97" s="353"/>
      <c r="AJ97" s="353"/>
      <c r="AK97" s="353"/>
      <c r="AL97" s="353"/>
      <c r="AM97" s="353"/>
      <c r="AN97" s="353"/>
      <c r="AO97" s="353"/>
      <c r="AP97" s="353"/>
      <c r="AQ97" s="353"/>
      <c r="AR97" s="353"/>
      <c r="AS97" s="353"/>
      <c r="AT97" s="354"/>
      <c r="AU97" s="353"/>
      <c r="AV97" s="353"/>
      <c r="AW97" s="353"/>
      <c r="AX97" s="353"/>
      <c r="AY97" s="353"/>
      <c r="AZ97" s="354"/>
      <c r="BA97" s="353"/>
      <c r="BB97" s="353"/>
      <c r="BC97" s="353"/>
      <c r="BD97" s="353"/>
      <c r="BE97" s="353"/>
      <c r="BF97" s="353"/>
      <c r="BG97" s="354"/>
      <c r="BH97" s="353"/>
      <c r="BI97" s="353"/>
      <c r="BJ97" s="385"/>
      <c r="BK97" s="353"/>
      <c r="BL97" s="353"/>
      <c r="BM97" s="353"/>
      <c r="BN97" s="353"/>
      <c r="BO97" s="353"/>
      <c r="BP97" s="353"/>
      <c r="BQ97" s="353"/>
      <c r="BR97" s="353"/>
      <c r="BS97" s="354"/>
      <c r="BT97" s="353"/>
      <c r="BU97" s="353"/>
      <c r="BV97" s="354"/>
      <c r="BW97" s="354"/>
      <c r="BX97" s="354"/>
    </row>
    <row r="98" spans="1:76" ht="11.25" customHeight="1" x14ac:dyDescent="0.25">
      <c r="A98" s="350"/>
      <c r="B98" s="341" t="s">
        <v>133</v>
      </c>
      <c r="C98" s="342" t="s">
        <v>455</v>
      </c>
      <c r="D98" s="342"/>
      <c r="E98" s="342"/>
      <c r="F98" s="343" t="s">
        <v>456</v>
      </c>
      <c r="G98" s="343"/>
      <c r="H98" s="353"/>
      <c r="I98" s="354"/>
      <c r="J98" s="353"/>
      <c r="K98" s="353"/>
      <c r="L98" s="353"/>
      <c r="M98" s="353"/>
      <c r="N98" s="353"/>
      <c r="O98" s="353"/>
      <c r="P98" s="353"/>
      <c r="Q98" s="353"/>
      <c r="R98" s="353"/>
      <c r="S98" s="353"/>
      <c r="T98" s="353"/>
      <c r="U98" s="353"/>
      <c r="V98" s="353"/>
      <c r="W98" s="354"/>
      <c r="X98" s="353"/>
      <c r="Y98" s="353"/>
      <c r="Z98" s="353"/>
      <c r="AA98" s="353"/>
      <c r="AB98" s="353"/>
      <c r="AC98" s="353"/>
      <c r="AD98" s="353"/>
      <c r="AE98" s="353"/>
      <c r="AF98" s="353"/>
      <c r="AG98" s="353"/>
      <c r="AH98" s="353"/>
      <c r="AI98" s="353"/>
      <c r="AJ98" s="353"/>
      <c r="AK98" s="353"/>
      <c r="AL98" s="353"/>
      <c r="AM98" s="353"/>
      <c r="AN98" s="353"/>
      <c r="AO98" s="353"/>
      <c r="AP98" s="353"/>
      <c r="AQ98" s="353"/>
      <c r="AR98" s="353"/>
      <c r="AS98" s="353"/>
      <c r="AT98" s="354"/>
      <c r="AU98" s="353"/>
      <c r="AV98" s="353"/>
      <c r="AW98" s="353"/>
      <c r="AX98" s="353"/>
      <c r="AY98" s="353"/>
      <c r="AZ98" s="354"/>
      <c r="BA98" s="353"/>
      <c r="BB98" s="353"/>
      <c r="BC98" s="353"/>
      <c r="BD98" s="353"/>
      <c r="BE98" s="353"/>
      <c r="BF98" s="353"/>
      <c r="BG98" s="354"/>
      <c r="BH98" s="353"/>
      <c r="BI98" s="353"/>
      <c r="BJ98" s="385"/>
      <c r="BK98" s="353"/>
      <c r="BL98" s="353"/>
      <c r="BM98" s="353"/>
      <c r="BN98" s="353"/>
      <c r="BO98" s="353"/>
      <c r="BP98" s="353"/>
      <c r="BQ98" s="353"/>
      <c r="BR98" s="353"/>
      <c r="BS98" s="354"/>
      <c r="BT98" s="353"/>
      <c r="BU98" s="353"/>
      <c r="BV98" s="354"/>
      <c r="BW98" s="354"/>
      <c r="BX98" s="354"/>
    </row>
    <row r="99" spans="1:76" ht="11.25" customHeight="1" x14ac:dyDescent="0.25">
      <c r="A99" s="350"/>
      <c r="B99" s="341" t="s">
        <v>133</v>
      </c>
      <c r="C99" s="342" t="s">
        <v>457</v>
      </c>
      <c r="D99" s="342"/>
      <c r="E99" s="342"/>
      <c r="F99" s="343" t="s">
        <v>458</v>
      </c>
      <c r="G99" s="343"/>
      <c r="H99" s="353"/>
      <c r="I99" s="354"/>
      <c r="J99" s="353"/>
      <c r="K99" s="353"/>
      <c r="L99" s="353"/>
      <c r="M99" s="353"/>
      <c r="N99" s="353"/>
      <c r="O99" s="353"/>
      <c r="P99" s="353"/>
      <c r="Q99" s="353"/>
      <c r="R99" s="353"/>
      <c r="S99" s="353"/>
      <c r="T99" s="353"/>
      <c r="U99" s="353"/>
      <c r="V99" s="353"/>
      <c r="W99" s="354"/>
      <c r="X99" s="353"/>
      <c r="Y99" s="353"/>
      <c r="Z99" s="353"/>
      <c r="AA99" s="353"/>
      <c r="AB99" s="353"/>
      <c r="AC99" s="353"/>
      <c r="AD99" s="353"/>
      <c r="AE99" s="353"/>
      <c r="AF99" s="353"/>
      <c r="AG99" s="353"/>
      <c r="AH99" s="353"/>
      <c r="AI99" s="353"/>
      <c r="AJ99" s="353"/>
      <c r="AK99" s="353"/>
      <c r="AL99" s="353"/>
      <c r="AM99" s="353"/>
      <c r="AN99" s="353"/>
      <c r="AO99" s="353"/>
      <c r="AP99" s="353"/>
      <c r="AQ99" s="353"/>
      <c r="AR99" s="353"/>
      <c r="AS99" s="353"/>
      <c r="AT99" s="354"/>
      <c r="AU99" s="353"/>
      <c r="AV99" s="353"/>
      <c r="AW99" s="353"/>
      <c r="AX99" s="353"/>
      <c r="AY99" s="353"/>
      <c r="AZ99" s="354"/>
      <c r="BA99" s="353"/>
      <c r="BB99" s="353"/>
      <c r="BC99" s="353"/>
      <c r="BD99" s="353"/>
      <c r="BE99" s="353"/>
      <c r="BF99" s="353"/>
      <c r="BG99" s="354"/>
      <c r="BH99" s="353"/>
      <c r="BI99" s="353"/>
      <c r="BJ99" s="385"/>
      <c r="BK99" s="353"/>
      <c r="BL99" s="353"/>
      <c r="BM99" s="353"/>
      <c r="BN99" s="353"/>
      <c r="BO99" s="353"/>
      <c r="BP99" s="353"/>
      <c r="BQ99" s="353"/>
      <c r="BR99" s="353"/>
      <c r="BS99" s="354"/>
      <c r="BT99" s="353"/>
      <c r="BU99" s="353"/>
      <c r="BV99" s="354"/>
      <c r="BW99" s="354"/>
      <c r="BX99" s="354"/>
    </row>
    <row r="100" spans="1:76" ht="11.25" customHeight="1" x14ac:dyDescent="0.25">
      <c r="A100" s="350"/>
      <c r="B100" s="341" t="s">
        <v>133</v>
      </c>
      <c r="C100" s="342" t="s">
        <v>459</v>
      </c>
      <c r="D100" s="342"/>
      <c r="E100" s="342"/>
      <c r="F100" s="343" t="s">
        <v>460</v>
      </c>
      <c r="G100" s="343"/>
      <c r="H100" s="353"/>
      <c r="I100" s="354"/>
      <c r="J100" s="353"/>
      <c r="K100" s="353"/>
      <c r="L100" s="353"/>
      <c r="M100" s="353"/>
      <c r="N100" s="353"/>
      <c r="O100" s="353"/>
      <c r="P100" s="353"/>
      <c r="Q100" s="353"/>
      <c r="R100" s="353"/>
      <c r="S100" s="353"/>
      <c r="T100" s="353"/>
      <c r="U100" s="353"/>
      <c r="V100" s="353"/>
      <c r="W100" s="354"/>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4"/>
      <c r="AU100" s="353"/>
      <c r="AV100" s="353"/>
      <c r="AW100" s="353"/>
      <c r="AX100" s="353"/>
      <c r="AY100" s="353"/>
      <c r="AZ100" s="354"/>
      <c r="BA100" s="353"/>
      <c r="BB100" s="353"/>
      <c r="BC100" s="353"/>
      <c r="BD100" s="353"/>
      <c r="BE100" s="353"/>
      <c r="BF100" s="353"/>
      <c r="BG100" s="354"/>
      <c r="BH100" s="353"/>
      <c r="BI100" s="353"/>
      <c r="BJ100" s="385"/>
      <c r="BK100" s="353"/>
      <c r="BL100" s="353"/>
      <c r="BM100" s="353"/>
      <c r="BN100" s="353"/>
      <c r="BO100" s="353"/>
      <c r="BP100" s="353"/>
      <c r="BQ100" s="353"/>
      <c r="BR100" s="353"/>
      <c r="BS100" s="354"/>
      <c r="BT100" s="353"/>
      <c r="BU100" s="353"/>
      <c r="BV100" s="354"/>
      <c r="BW100" s="354"/>
      <c r="BX100" s="354"/>
    </row>
    <row r="101" spans="1:76" ht="11.25" customHeight="1" x14ac:dyDescent="0.25">
      <c r="A101" s="350"/>
      <c r="B101" s="341" t="s">
        <v>133</v>
      </c>
      <c r="C101" s="342" t="s">
        <v>461</v>
      </c>
      <c r="D101" s="342"/>
      <c r="E101" s="342"/>
      <c r="F101" s="343" t="s">
        <v>462</v>
      </c>
      <c r="G101" s="343"/>
      <c r="H101" s="353"/>
      <c r="I101" s="354"/>
      <c r="J101" s="353"/>
      <c r="K101" s="353"/>
      <c r="L101" s="353"/>
      <c r="M101" s="353"/>
      <c r="N101" s="353"/>
      <c r="O101" s="353"/>
      <c r="P101" s="353"/>
      <c r="Q101" s="353"/>
      <c r="R101" s="353"/>
      <c r="S101" s="353"/>
      <c r="T101" s="353"/>
      <c r="U101" s="353"/>
      <c r="V101" s="353"/>
      <c r="W101" s="354"/>
      <c r="X101" s="353"/>
      <c r="Y101" s="353"/>
      <c r="Z101" s="353"/>
      <c r="AA101" s="353"/>
      <c r="AB101" s="353"/>
      <c r="AC101" s="353"/>
      <c r="AD101" s="353"/>
      <c r="AE101" s="353"/>
      <c r="AF101" s="353"/>
      <c r="AG101" s="353"/>
      <c r="AH101" s="353"/>
      <c r="AI101" s="353"/>
      <c r="AJ101" s="353"/>
      <c r="AK101" s="353"/>
      <c r="AL101" s="353"/>
      <c r="AM101" s="353"/>
      <c r="AN101" s="353"/>
      <c r="AO101" s="353"/>
      <c r="AP101" s="353"/>
      <c r="AQ101" s="353"/>
      <c r="AR101" s="353"/>
      <c r="AS101" s="353"/>
      <c r="AT101" s="354"/>
      <c r="AU101" s="353"/>
      <c r="AV101" s="353"/>
      <c r="AW101" s="353"/>
      <c r="AX101" s="353"/>
      <c r="AY101" s="353"/>
      <c r="AZ101" s="354"/>
      <c r="BA101" s="353"/>
      <c r="BB101" s="353"/>
      <c r="BC101" s="353"/>
      <c r="BD101" s="353"/>
      <c r="BE101" s="353"/>
      <c r="BF101" s="353"/>
      <c r="BG101" s="354"/>
      <c r="BH101" s="353"/>
      <c r="BI101" s="353"/>
      <c r="BJ101" s="385"/>
      <c r="BK101" s="353"/>
      <c r="BL101" s="353"/>
      <c r="BM101" s="353"/>
      <c r="BN101" s="353"/>
      <c r="BO101" s="353"/>
      <c r="BP101" s="353"/>
      <c r="BQ101" s="353"/>
      <c r="BR101" s="353"/>
      <c r="BS101" s="354"/>
      <c r="BT101" s="353"/>
      <c r="BU101" s="353"/>
      <c r="BV101" s="354"/>
      <c r="BW101" s="354"/>
      <c r="BX101" s="354"/>
    </row>
    <row r="102" spans="1:76" ht="11.25" customHeight="1" x14ac:dyDescent="0.25">
      <c r="A102" s="350"/>
      <c r="B102" s="341" t="s">
        <v>133</v>
      </c>
      <c r="C102" s="342" t="s">
        <v>463</v>
      </c>
      <c r="D102" s="342"/>
      <c r="E102" s="342"/>
      <c r="F102" s="343" t="s">
        <v>464</v>
      </c>
      <c r="G102" s="343"/>
      <c r="H102" s="353"/>
      <c r="I102" s="354"/>
      <c r="J102" s="353"/>
      <c r="K102" s="353"/>
      <c r="L102" s="353"/>
      <c r="M102" s="353"/>
      <c r="N102" s="353"/>
      <c r="O102" s="353"/>
      <c r="P102" s="353"/>
      <c r="Q102" s="353"/>
      <c r="R102" s="353"/>
      <c r="S102" s="353"/>
      <c r="T102" s="353"/>
      <c r="U102" s="353"/>
      <c r="V102" s="353"/>
      <c r="W102" s="354"/>
      <c r="X102" s="353"/>
      <c r="Y102" s="353"/>
      <c r="Z102" s="353"/>
      <c r="AA102" s="353"/>
      <c r="AB102" s="353"/>
      <c r="AC102" s="353"/>
      <c r="AD102" s="353"/>
      <c r="AE102" s="353"/>
      <c r="AF102" s="353"/>
      <c r="AG102" s="353"/>
      <c r="AH102" s="353"/>
      <c r="AI102" s="353"/>
      <c r="AJ102" s="353"/>
      <c r="AK102" s="353"/>
      <c r="AL102" s="353"/>
      <c r="AM102" s="353"/>
      <c r="AN102" s="353"/>
      <c r="AO102" s="353"/>
      <c r="AP102" s="353"/>
      <c r="AQ102" s="353"/>
      <c r="AR102" s="353"/>
      <c r="AS102" s="353"/>
      <c r="AT102" s="354"/>
      <c r="AU102" s="353"/>
      <c r="AV102" s="353"/>
      <c r="AW102" s="353"/>
      <c r="AX102" s="353"/>
      <c r="AY102" s="353"/>
      <c r="AZ102" s="354"/>
      <c r="BA102" s="353"/>
      <c r="BB102" s="353"/>
      <c r="BC102" s="353"/>
      <c r="BD102" s="353"/>
      <c r="BE102" s="353"/>
      <c r="BF102" s="353"/>
      <c r="BG102" s="354"/>
      <c r="BH102" s="353"/>
      <c r="BI102" s="353"/>
      <c r="BJ102" s="385"/>
      <c r="BK102" s="353"/>
      <c r="BL102" s="353"/>
      <c r="BM102" s="353"/>
      <c r="BN102" s="353"/>
      <c r="BO102" s="353"/>
      <c r="BP102" s="353"/>
      <c r="BQ102" s="353"/>
      <c r="BR102" s="353"/>
      <c r="BS102" s="354"/>
      <c r="BT102" s="353"/>
      <c r="BU102" s="353"/>
      <c r="BV102" s="354"/>
      <c r="BW102" s="354"/>
      <c r="BX102" s="354"/>
    </row>
    <row r="103" spans="1:76" ht="11.25" customHeight="1" x14ac:dyDescent="0.25">
      <c r="A103" s="350"/>
      <c r="B103" s="341" t="s">
        <v>133</v>
      </c>
      <c r="C103" s="342" t="s">
        <v>465</v>
      </c>
      <c r="D103" s="342"/>
      <c r="E103" s="342"/>
      <c r="F103" s="343" t="s">
        <v>466</v>
      </c>
      <c r="G103" s="343"/>
      <c r="H103" s="353"/>
      <c r="I103" s="354"/>
      <c r="J103" s="353"/>
      <c r="K103" s="353"/>
      <c r="L103" s="353"/>
      <c r="M103" s="353"/>
      <c r="N103" s="353"/>
      <c r="O103" s="353"/>
      <c r="P103" s="353"/>
      <c r="Q103" s="353"/>
      <c r="R103" s="353"/>
      <c r="S103" s="353"/>
      <c r="T103" s="353"/>
      <c r="U103" s="353"/>
      <c r="V103" s="353"/>
      <c r="W103" s="354"/>
      <c r="X103" s="353"/>
      <c r="Y103" s="353"/>
      <c r="Z103" s="353"/>
      <c r="AA103" s="353"/>
      <c r="AB103" s="353"/>
      <c r="AC103" s="353"/>
      <c r="AD103" s="353"/>
      <c r="AE103" s="353"/>
      <c r="AF103" s="353"/>
      <c r="AG103" s="353"/>
      <c r="AH103" s="353"/>
      <c r="AI103" s="353"/>
      <c r="AJ103" s="353"/>
      <c r="AK103" s="353"/>
      <c r="AL103" s="353"/>
      <c r="AM103" s="353"/>
      <c r="AN103" s="353"/>
      <c r="AO103" s="353"/>
      <c r="AP103" s="353"/>
      <c r="AQ103" s="353"/>
      <c r="AR103" s="353"/>
      <c r="AS103" s="353"/>
      <c r="AT103" s="354"/>
      <c r="AU103" s="353"/>
      <c r="AV103" s="353"/>
      <c r="AW103" s="353"/>
      <c r="AX103" s="353"/>
      <c r="AY103" s="353"/>
      <c r="AZ103" s="354"/>
      <c r="BA103" s="353"/>
      <c r="BB103" s="353"/>
      <c r="BC103" s="353"/>
      <c r="BD103" s="353"/>
      <c r="BE103" s="353"/>
      <c r="BF103" s="353"/>
      <c r="BG103" s="354"/>
      <c r="BH103" s="353"/>
      <c r="BI103" s="353"/>
      <c r="BJ103" s="385"/>
      <c r="BK103" s="353"/>
      <c r="BL103" s="353"/>
      <c r="BM103" s="353"/>
      <c r="BN103" s="353"/>
      <c r="BO103" s="353"/>
      <c r="BP103" s="353"/>
      <c r="BQ103" s="353"/>
      <c r="BR103" s="353"/>
      <c r="BS103" s="354"/>
      <c r="BT103" s="353"/>
      <c r="BU103" s="353"/>
      <c r="BV103" s="354"/>
      <c r="BW103" s="354"/>
      <c r="BX103" s="354"/>
    </row>
    <row r="104" spans="1:76" ht="11.25" customHeight="1" x14ac:dyDescent="0.25">
      <c r="A104" s="350"/>
      <c r="B104" s="341" t="s">
        <v>133</v>
      </c>
      <c r="C104" s="342" t="s">
        <v>467</v>
      </c>
      <c r="D104" s="342"/>
      <c r="E104" s="342"/>
      <c r="F104" s="343" t="s">
        <v>468</v>
      </c>
      <c r="G104" s="343"/>
      <c r="H104" s="353"/>
      <c r="I104" s="354"/>
      <c r="J104" s="353"/>
      <c r="K104" s="353"/>
      <c r="L104" s="353"/>
      <c r="M104" s="353"/>
      <c r="N104" s="353"/>
      <c r="O104" s="353"/>
      <c r="P104" s="353"/>
      <c r="Q104" s="353"/>
      <c r="R104" s="353"/>
      <c r="S104" s="353"/>
      <c r="T104" s="353"/>
      <c r="U104" s="353"/>
      <c r="V104" s="353"/>
      <c r="W104" s="354"/>
      <c r="X104" s="353"/>
      <c r="Y104" s="353"/>
      <c r="Z104" s="353"/>
      <c r="AA104" s="353"/>
      <c r="AB104" s="353"/>
      <c r="AC104" s="353"/>
      <c r="AD104" s="353"/>
      <c r="AE104" s="353"/>
      <c r="AF104" s="353"/>
      <c r="AG104" s="353"/>
      <c r="AH104" s="353"/>
      <c r="AI104" s="353"/>
      <c r="AJ104" s="353"/>
      <c r="AK104" s="353"/>
      <c r="AL104" s="353"/>
      <c r="AM104" s="353"/>
      <c r="AN104" s="353"/>
      <c r="AO104" s="353"/>
      <c r="AP104" s="353"/>
      <c r="AQ104" s="353"/>
      <c r="AR104" s="353"/>
      <c r="AS104" s="353"/>
      <c r="AT104" s="354"/>
      <c r="AU104" s="353"/>
      <c r="AV104" s="353"/>
      <c r="AW104" s="353"/>
      <c r="AX104" s="353"/>
      <c r="AY104" s="353"/>
      <c r="AZ104" s="354"/>
      <c r="BA104" s="353"/>
      <c r="BB104" s="353"/>
      <c r="BC104" s="353"/>
      <c r="BD104" s="353"/>
      <c r="BE104" s="353"/>
      <c r="BF104" s="353"/>
      <c r="BG104" s="354"/>
      <c r="BH104" s="353"/>
      <c r="BI104" s="353"/>
      <c r="BJ104" s="385"/>
      <c r="BK104" s="353"/>
      <c r="BL104" s="353"/>
      <c r="BM104" s="353"/>
      <c r="BN104" s="353"/>
      <c r="BO104" s="353"/>
      <c r="BP104" s="353"/>
      <c r="BQ104" s="353"/>
      <c r="BR104" s="353"/>
      <c r="BS104" s="354"/>
      <c r="BT104" s="353"/>
      <c r="BU104" s="353"/>
      <c r="BV104" s="354"/>
      <c r="BW104" s="354"/>
      <c r="BX104" s="354"/>
    </row>
    <row r="105" spans="1:76" ht="11.25" customHeight="1" x14ac:dyDescent="0.25">
      <c r="A105" s="350"/>
      <c r="B105" s="341" t="s">
        <v>133</v>
      </c>
      <c r="C105" s="342" t="s">
        <v>469</v>
      </c>
      <c r="D105" s="342"/>
      <c r="E105" s="342"/>
      <c r="F105" s="343" t="s">
        <v>470</v>
      </c>
      <c r="G105" s="343"/>
      <c r="H105" s="353"/>
      <c r="I105" s="354"/>
      <c r="J105" s="353"/>
      <c r="K105" s="353"/>
      <c r="L105" s="353"/>
      <c r="M105" s="353"/>
      <c r="N105" s="353"/>
      <c r="O105" s="353"/>
      <c r="P105" s="353"/>
      <c r="Q105" s="353"/>
      <c r="R105" s="353"/>
      <c r="S105" s="353"/>
      <c r="T105" s="353"/>
      <c r="U105" s="353"/>
      <c r="V105" s="353"/>
      <c r="W105" s="354"/>
      <c r="X105" s="353"/>
      <c r="Y105" s="353"/>
      <c r="Z105" s="353"/>
      <c r="AA105" s="353"/>
      <c r="AB105" s="353"/>
      <c r="AC105" s="353"/>
      <c r="AD105" s="353"/>
      <c r="AE105" s="353"/>
      <c r="AF105" s="353"/>
      <c r="AG105" s="353"/>
      <c r="AH105" s="353"/>
      <c r="AI105" s="353"/>
      <c r="AJ105" s="353"/>
      <c r="AK105" s="353"/>
      <c r="AL105" s="353"/>
      <c r="AM105" s="353"/>
      <c r="AN105" s="353"/>
      <c r="AO105" s="353"/>
      <c r="AP105" s="353"/>
      <c r="AQ105" s="353"/>
      <c r="AR105" s="353"/>
      <c r="AS105" s="353"/>
      <c r="AT105" s="354"/>
      <c r="AU105" s="353"/>
      <c r="AV105" s="353"/>
      <c r="AW105" s="353"/>
      <c r="AX105" s="353"/>
      <c r="AY105" s="353"/>
      <c r="AZ105" s="354"/>
      <c r="BA105" s="353"/>
      <c r="BB105" s="353"/>
      <c r="BC105" s="353"/>
      <c r="BD105" s="353"/>
      <c r="BE105" s="353"/>
      <c r="BF105" s="353"/>
      <c r="BG105" s="354"/>
      <c r="BH105" s="353"/>
      <c r="BI105" s="353"/>
      <c r="BJ105" s="385"/>
      <c r="BK105" s="353"/>
      <c r="BL105" s="353"/>
      <c r="BM105" s="353"/>
      <c r="BN105" s="353"/>
      <c r="BO105" s="353"/>
      <c r="BP105" s="353"/>
      <c r="BQ105" s="353"/>
      <c r="BR105" s="353"/>
      <c r="BS105" s="354"/>
      <c r="BT105" s="353"/>
      <c r="BU105" s="353"/>
      <c r="BV105" s="354"/>
      <c r="BW105" s="354"/>
      <c r="BX105" s="354"/>
    </row>
    <row r="106" spans="1:76" ht="11.25" customHeight="1" x14ac:dyDescent="0.25">
      <c r="A106" s="350"/>
      <c r="B106" s="341" t="s">
        <v>133</v>
      </c>
      <c r="C106" s="342" t="s">
        <v>471</v>
      </c>
      <c r="D106" s="342"/>
      <c r="E106" s="342"/>
      <c r="F106" s="343" t="s">
        <v>472</v>
      </c>
      <c r="G106" s="343"/>
      <c r="H106" s="353"/>
      <c r="I106" s="354"/>
      <c r="J106" s="353"/>
      <c r="K106" s="353"/>
      <c r="L106" s="353"/>
      <c r="M106" s="353"/>
      <c r="N106" s="353"/>
      <c r="O106" s="353"/>
      <c r="P106" s="353"/>
      <c r="Q106" s="353"/>
      <c r="R106" s="353"/>
      <c r="S106" s="353"/>
      <c r="T106" s="353"/>
      <c r="U106" s="353"/>
      <c r="V106" s="353"/>
      <c r="W106" s="354"/>
      <c r="X106" s="353"/>
      <c r="Y106" s="353"/>
      <c r="Z106" s="353"/>
      <c r="AA106" s="353"/>
      <c r="AB106" s="353"/>
      <c r="AC106" s="353"/>
      <c r="AD106" s="353"/>
      <c r="AE106" s="353"/>
      <c r="AF106" s="353"/>
      <c r="AG106" s="353"/>
      <c r="AH106" s="353"/>
      <c r="AI106" s="353"/>
      <c r="AJ106" s="353"/>
      <c r="AK106" s="353"/>
      <c r="AL106" s="353"/>
      <c r="AM106" s="353"/>
      <c r="AN106" s="353"/>
      <c r="AO106" s="353"/>
      <c r="AP106" s="353"/>
      <c r="AQ106" s="353"/>
      <c r="AR106" s="353"/>
      <c r="AS106" s="353"/>
      <c r="AT106" s="354"/>
      <c r="AU106" s="353"/>
      <c r="AV106" s="353"/>
      <c r="AW106" s="353"/>
      <c r="AX106" s="353"/>
      <c r="AY106" s="353"/>
      <c r="AZ106" s="354"/>
      <c r="BA106" s="353"/>
      <c r="BB106" s="353"/>
      <c r="BC106" s="353"/>
      <c r="BD106" s="353"/>
      <c r="BE106" s="353"/>
      <c r="BF106" s="353"/>
      <c r="BG106" s="354"/>
      <c r="BH106" s="353"/>
      <c r="BI106" s="353"/>
      <c r="BJ106" s="385"/>
      <c r="BK106" s="353"/>
      <c r="BL106" s="353"/>
      <c r="BM106" s="353"/>
      <c r="BN106" s="353"/>
      <c r="BO106" s="353"/>
      <c r="BP106" s="353"/>
      <c r="BQ106" s="353"/>
      <c r="BR106" s="353"/>
      <c r="BS106" s="354"/>
      <c r="BT106" s="353"/>
      <c r="BU106" s="353"/>
      <c r="BV106" s="354"/>
      <c r="BW106" s="354"/>
      <c r="BX106" s="354"/>
    </row>
    <row r="107" spans="1:76" ht="11.25" customHeight="1" x14ac:dyDescent="0.25">
      <c r="A107" s="350"/>
      <c r="B107" s="341" t="s">
        <v>133</v>
      </c>
      <c r="C107" s="342" t="s">
        <v>473</v>
      </c>
      <c r="D107" s="342"/>
      <c r="E107" s="342"/>
      <c r="F107" s="343" t="s">
        <v>474</v>
      </c>
      <c r="G107" s="343"/>
      <c r="H107" s="353"/>
      <c r="I107" s="354"/>
      <c r="J107" s="353"/>
      <c r="K107" s="353"/>
      <c r="L107" s="353"/>
      <c r="M107" s="353"/>
      <c r="N107" s="353"/>
      <c r="O107" s="353"/>
      <c r="P107" s="353"/>
      <c r="Q107" s="353"/>
      <c r="R107" s="353"/>
      <c r="S107" s="353"/>
      <c r="T107" s="353"/>
      <c r="U107" s="353"/>
      <c r="V107" s="353"/>
      <c r="W107" s="354"/>
      <c r="X107" s="353"/>
      <c r="Y107" s="353"/>
      <c r="Z107" s="353"/>
      <c r="AA107" s="353"/>
      <c r="AB107" s="353"/>
      <c r="AC107" s="353"/>
      <c r="AD107" s="353"/>
      <c r="AE107" s="353"/>
      <c r="AF107" s="353"/>
      <c r="AG107" s="353"/>
      <c r="AH107" s="353"/>
      <c r="AI107" s="353"/>
      <c r="AJ107" s="353"/>
      <c r="AK107" s="353"/>
      <c r="AL107" s="353"/>
      <c r="AM107" s="353"/>
      <c r="AN107" s="353"/>
      <c r="AO107" s="353"/>
      <c r="AP107" s="353"/>
      <c r="AQ107" s="353"/>
      <c r="AR107" s="353"/>
      <c r="AS107" s="353"/>
      <c r="AT107" s="354"/>
      <c r="AU107" s="353"/>
      <c r="AV107" s="353"/>
      <c r="AW107" s="353"/>
      <c r="AX107" s="353"/>
      <c r="AY107" s="353"/>
      <c r="AZ107" s="354"/>
      <c r="BA107" s="353"/>
      <c r="BB107" s="353"/>
      <c r="BC107" s="353"/>
      <c r="BD107" s="353"/>
      <c r="BE107" s="353"/>
      <c r="BF107" s="353"/>
      <c r="BG107" s="354"/>
      <c r="BH107" s="353"/>
      <c r="BI107" s="353"/>
      <c r="BJ107" s="385"/>
      <c r="BK107" s="353"/>
      <c r="BL107" s="353"/>
      <c r="BM107" s="353"/>
      <c r="BN107" s="353"/>
      <c r="BO107" s="353"/>
      <c r="BP107" s="353"/>
      <c r="BQ107" s="353"/>
      <c r="BR107" s="353"/>
      <c r="BS107" s="354"/>
      <c r="BT107" s="353"/>
      <c r="BU107" s="353"/>
      <c r="BV107" s="354"/>
      <c r="BW107" s="354"/>
      <c r="BX107" s="354"/>
    </row>
    <row r="108" spans="1:76" ht="11.25" customHeight="1" x14ac:dyDescent="0.25">
      <c r="A108" s="387"/>
      <c r="B108" s="355" t="s">
        <v>133</v>
      </c>
      <c r="C108" s="356" t="s">
        <v>475</v>
      </c>
      <c r="D108" s="356"/>
      <c r="E108" s="356"/>
      <c r="F108" s="357" t="s">
        <v>476</v>
      </c>
      <c r="G108" s="357"/>
      <c r="H108" s="358"/>
      <c r="I108" s="359"/>
      <c r="J108" s="358"/>
      <c r="K108" s="358"/>
      <c r="L108" s="358"/>
      <c r="M108" s="358"/>
      <c r="N108" s="358"/>
      <c r="O108" s="358"/>
      <c r="P108" s="358"/>
      <c r="Q108" s="358"/>
      <c r="R108" s="358"/>
      <c r="S108" s="358"/>
      <c r="T108" s="358"/>
      <c r="U108" s="358"/>
      <c r="V108" s="358"/>
      <c r="W108" s="359"/>
      <c r="X108" s="358"/>
      <c r="Y108" s="358"/>
      <c r="Z108" s="358"/>
      <c r="AA108" s="358"/>
      <c r="AB108" s="358"/>
      <c r="AC108" s="358"/>
      <c r="AD108" s="358"/>
      <c r="AE108" s="358"/>
      <c r="AF108" s="358"/>
      <c r="AG108" s="358"/>
      <c r="AH108" s="358"/>
      <c r="AI108" s="358"/>
      <c r="AJ108" s="358"/>
      <c r="AK108" s="358"/>
      <c r="AL108" s="358"/>
      <c r="AM108" s="358"/>
      <c r="AN108" s="358"/>
      <c r="AO108" s="358"/>
      <c r="AP108" s="358"/>
      <c r="AQ108" s="358"/>
      <c r="AR108" s="358"/>
      <c r="AS108" s="358"/>
      <c r="AT108" s="359"/>
      <c r="AU108" s="358"/>
      <c r="AV108" s="358"/>
      <c r="AW108" s="358"/>
      <c r="AX108" s="358"/>
      <c r="AY108" s="358"/>
      <c r="AZ108" s="359"/>
      <c r="BA108" s="358"/>
      <c r="BB108" s="358"/>
      <c r="BC108" s="358"/>
      <c r="BD108" s="358"/>
      <c r="BE108" s="358"/>
      <c r="BF108" s="358"/>
      <c r="BG108" s="359"/>
      <c r="BH108" s="358"/>
      <c r="BI108" s="358"/>
      <c r="BJ108" s="388"/>
      <c r="BK108" s="358"/>
      <c r="BL108" s="358"/>
      <c r="BM108" s="358"/>
      <c r="BN108" s="358"/>
      <c r="BO108" s="358"/>
      <c r="BP108" s="358"/>
      <c r="BQ108" s="358"/>
      <c r="BR108" s="358"/>
      <c r="BS108" s="359"/>
      <c r="BT108" s="358"/>
      <c r="BU108" s="358"/>
      <c r="BV108" s="359"/>
      <c r="BW108" s="359"/>
      <c r="BX108" s="359"/>
    </row>
    <row r="109" spans="1:76" ht="11.25" customHeight="1" x14ac:dyDescent="0.25">
      <c r="A109" s="363" t="s">
        <v>477</v>
      </c>
      <c r="B109" s="363"/>
      <c r="C109" s="363"/>
      <c r="D109" s="363"/>
      <c r="E109" s="363"/>
      <c r="F109" s="364" t="s">
        <v>478</v>
      </c>
      <c r="G109" s="364"/>
      <c r="H109" s="365"/>
      <c r="I109" s="366"/>
      <c r="J109" s="365"/>
      <c r="K109" s="365"/>
      <c r="L109" s="365"/>
      <c r="M109" s="365"/>
      <c r="N109" s="365"/>
      <c r="O109" s="365"/>
      <c r="P109" s="365"/>
      <c r="Q109" s="365"/>
      <c r="R109" s="365"/>
      <c r="S109" s="365"/>
      <c r="T109" s="365"/>
      <c r="U109" s="365"/>
      <c r="V109" s="365"/>
      <c r="W109" s="366"/>
      <c r="X109" s="365"/>
      <c r="Y109" s="365"/>
      <c r="Z109" s="365"/>
      <c r="AA109" s="365"/>
      <c r="AB109" s="365"/>
      <c r="AC109" s="365"/>
      <c r="AD109" s="365"/>
      <c r="AE109" s="365"/>
      <c r="AF109" s="365"/>
      <c r="AG109" s="365"/>
      <c r="AH109" s="365"/>
      <c r="AI109" s="365"/>
      <c r="AJ109" s="365"/>
      <c r="AK109" s="365"/>
      <c r="AL109" s="365"/>
      <c r="AM109" s="365"/>
      <c r="AN109" s="365"/>
      <c r="AO109" s="365"/>
      <c r="AP109" s="365"/>
      <c r="AQ109" s="365"/>
      <c r="AR109" s="365"/>
      <c r="AS109" s="365"/>
      <c r="AT109" s="366"/>
      <c r="AU109" s="365"/>
      <c r="AV109" s="365"/>
      <c r="AW109" s="365"/>
      <c r="AX109" s="365"/>
      <c r="AY109" s="365"/>
      <c r="AZ109" s="366"/>
      <c r="BA109" s="365"/>
      <c r="BB109" s="365"/>
      <c r="BC109" s="365"/>
      <c r="BD109" s="365"/>
      <c r="BE109" s="365"/>
      <c r="BF109" s="365"/>
      <c r="BG109" s="366"/>
      <c r="BH109" s="365"/>
      <c r="BI109" s="365"/>
      <c r="BJ109" s="389"/>
      <c r="BK109" s="365"/>
      <c r="BL109" s="365"/>
      <c r="BM109" s="365"/>
      <c r="BN109" s="365"/>
      <c r="BO109" s="365"/>
      <c r="BP109" s="365"/>
      <c r="BQ109" s="365"/>
      <c r="BR109" s="365"/>
      <c r="BS109" s="366"/>
      <c r="BT109" s="365"/>
      <c r="BU109" s="365"/>
      <c r="BV109" s="366"/>
      <c r="BW109" s="366"/>
      <c r="BX109" s="366"/>
    </row>
    <row r="110" spans="1:76" ht="11.25" customHeight="1" x14ac:dyDescent="0.25">
      <c r="A110" s="371" t="s">
        <v>133</v>
      </c>
      <c r="B110" s="372" t="s">
        <v>479</v>
      </c>
      <c r="C110" s="372"/>
      <c r="D110" s="372"/>
      <c r="E110" s="372"/>
      <c r="F110" s="373" t="s">
        <v>480</v>
      </c>
      <c r="G110" s="373"/>
      <c r="H110" s="374"/>
      <c r="I110" s="375"/>
      <c r="J110" s="374"/>
      <c r="K110" s="374"/>
      <c r="L110" s="374"/>
      <c r="M110" s="374"/>
      <c r="N110" s="374"/>
      <c r="O110" s="374"/>
      <c r="P110" s="374"/>
      <c r="Q110" s="374"/>
      <c r="R110" s="374"/>
      <c r="S110" s="374"/>
      <c r="T110" s="374"/>
      <c r="U110" s="374"/>
      <c r="V110" s="374"/>
      <c r="W110" s="375"/>
      <c r="X110" s="374"/>
      <c r="Y110" s="374"/>
      <c r="Z110" s="374"/>
      <c r="AA110" s="374"/>
      <c r="AB110" s="374"/>
      <c r="AC110" s="374"/>
      <c r="AD110" s="374"/>
      <c r="AE110" s="374"/>
      <c r="AF110" s="374"/>
      <c r="AG110" s="374"/>
      <c r="AH110" s="374"/>
      <c r="AI110" s="374"/>
      <c r="AJ110" s="374"/>
      <c r="AK110" s="374"/>
      <c r="AL110" s="374"/>
      <c r="AM110" s="374"/>
      <c r="AN110" s="374"/>
      <c r="AO110" s="374"/>
      <c r="AP110" s="374"/>
      <c r="AQ110" s="374"/>
      <c r="AR110" s="374"/>
      <c r="AS110" s="374"/>
      <c r="AT110" s="375"/>
      <c r="AU110" s="374"/>
      <c r="AV110" s="374"/>
      <c r="AW110" s="374"/>
      <c r="AX110" s="374"/>
      <c r="AY110" s="374"/>
      <c r="AZ110" s="375"/>
      <c r="BA110" s="374"/>
      <c r="BB110" s="374"/>
      <c r="BC110" s="374"/>
      <c r="BD110" s="374"/>
      <c r="BE110" s="374"/>
      <c r="BF110" s="374"/>
      <c r="BG110" s="375"/>
      <c r="BH110" s="374"/>
      <c r="BI110" s="374"/>
      <c r="BJ110" s="384"/>
      <c r="BK110" s="374"/>
      <c r="BL110" s="374"/>
      <c r="BM110" s="374"/>
      <c r="BN110" s="374"/>
      <c r="BO110" s="374"/>
      <c r="BP110" s="374"/>
      <c r="BQ110" s="374"/>
      <c r="BR110" s="374"/>
      <c r="BS110" s="375"/>
      <c r="BT110" s="374"/>
      <c r="BU110" s="374"/>
      <c r="BV110" s="375"/>
      <c r="BW110" s="375"/>
      <c r="BX110" s="375"/>
    </row>
    <row r="111" spans="1:76" ht="11.25" customHeight="1" x14ac:dyDescent="0.25">
      <c r="A111" s="341" t="s">
        <v>133</v>
      </c>
      <c r="B111" s="342" t="s">
        <v>481</v>
      </c>
      <c r="C111" s="342"/>
      <c r="D111" s="342"/>
      <c r="E111" s="342"/>
      <c r="F111" s="343" t="s">
        <v>482</v>
      </c>
      <c r="G111" s="343"/>
      <c r="H111" s="353"/>
      <c r="I111" s="354"/>
      <c r="J111" s="353"/>
      <c r="K111" s="353"/>
      <c r="L111" s="353"/>
      <c r="M111" s="353"/>
      <c r="N111" s="353"/>
      <c r="O111" s="353"/>
      <c r="P111" s="353"/>
      <c r="Q111" s="353"/>
      <c r="R111" s="353"/>
      <c r="S111" s="353"/>
      <c r="T111" s="353"/>
      <c r="U111" s="353"/>
      <c r="V111" s="353"/>
      <c r="W111" s="354"/>
      <c r="X111" s="353"/>
      <c r="Y111" s="353"/>
      <c r="Z111" s="353"/>
      <c r="AA111" s="353"/>
      <c r="AB111" s="353"/>
      <c r="AC111" s="353"/>
      <c r="AD111" s="353"/>
      <c r="AE111" s="353"/>
      <c r="AF111" s="353"/>
      <c r="AG111" s="353"/>
      <c r="AH111" s="353"/>
      <c r="AI111" s="353"/>
      <c r="AJ111" s="353"/>
      <c r="AK111" s="353"/>
      <c r="AL111" s="353"/>
      <c r="AM111" s="353"/>
      <c r="AN111" s="353"/>
      <c r="AO111" s="353"/>
      <c r="AP111" s="353"/>
      <c r="AQ111" s="353"/>
      <c r="AR111" s="353"/>
      <c r="AS111" s="353"/>
      <c r="AT111" s="346"/>
      <c r="AU111" s="353"/>
      <c r="AV111" s="353"/>
      <c r="AW111" s="353"/>
      <c r="AX111" s="353"/>
      <c r="AY111" s="353"/>
      <c r="AZ111" s="354"/>
      <c r="BA111" s="353"/>
      <c r="BB111" s="353"/>
      <c r="BC111" s="353"/>
      <c r="BD111" s="353"/>
      <c r="BE111" s="353"/>
      <c r="BF111" s="353"/>
      <c r="BG111" s="354"/>
      <c r="BH111" s="353"/>
      <c r="BI111" s="353"/>
      <c r="BJ111" s="385"/>
      <c r="BK111" s="353"/>
      <c r="BL111" s="353"/>
      <c r="BM111" s="353"/>
      <c r="BN111" s="353"/>
      <c r="BO111" s="353"/>
      <c r="BP111" s="353"/>
      <c r="BQ111" s="353"/>
      <c r="BR111" s="353"/>
      <c r="BS111" s="354"/>
      <c r="BT111" s="353"/>
      <c r="BU111" s="353"/>
      <c r="BV111" s="354"/>
      <c r="BW111" s="354"/>
      <c r="BX111" s="354"/>
    </row>
    <row r="112" spans="1:76" ht="11.25" customHeight="1" x14ac:dyDescent="0.25">
      <c r="A112" s="355" t="s">
        <v>133</v>
      </c>
      <c r="B112" s="356" t="s">
        <v>483</v>
      </c>
      <c r="C112" s="356"/>
      <c r="D112" s="356"/>
      <c r="E112" s="356"/>
      <c r="F112" s="357" t="s">
        <v>484</v>
      </c>
      <c r="G112" s="357"/>
      <c r="H112" s="358"/>
      <c r="I112" s="359"/>
      <c r="J112" s="358"/>
      <c r="K112" s="358"/>
      <c r="L112" s="358"/>
      <c r="M112" s="358"/>
      <c r="N112" s="358"/>
      <c r="O112" s="358"/>
      <c r="P112" s="358"/>
      <c r="Q112" s="358"/>
      <c r="R112" s="358"/>
      <c r="S112" s="358"/>
      <c r="T112" s="358"/>
      <c r="U112" s="358"/>
      <c r="V112" s="358"/>
      <c r="W112" s="359"/>
      <c r="X112" s="358"/>
      <c r="Y112" s="358"/>
      <c r="Z112" s="358"/>
      <c r="AA112" s="358"/>
      <c r="AB112" s="358"/>
      <c r="AC112" s="358"/>
      <c r="AD112" s="358"/>
      <c r="AE112" s="358"/>
      <c r="AF112" s="358"/>
      <c r="AG112" s="358"/>
      <c r="AH112" s="358"/>
      <c r="AI112" s="358"/>
      <c r="AJ112" s="358"/>
      <c r="AK112" s="358"/>
      <c r="AL112" s="358"/>
      <c r="AM112" s="358"/>
      <c r="AN112" s="358"/>
      <c r="AO112" s="358"/>
      <c r="AP112" s="358"/>
      <c r="AQ112" s="358"/>
      <c r="AR112" s="358"/>
      <c r="AS112" s="358"/>
      <c r="AT112" s="359"/>
      <c r="AU112" s="358"/>
      <c r="AV112" s="358"/>
      <c r="AW112" s="358"/>
      <c r="AX112" s="358"/>
      <c r="AY112" s="358"/>
      <c r="AZ112" s="359"/>
      <c r="BA112" s="358"/>
      <c r="BB112" s="358"/>
      <c r="BC112" s="358"/>
      <c r="BD112" s="358"/>
      <c r="BE112" s="358"/>
      <c r="BF112" s="358"/>
      <c r="BG112" s="359"/>
      <c r="BH112" s="358"/>
      <c r="BI112" s="358"/>
      <c r="BJ112" s="388"/>
      <c r="BK112" s="358"/>
      <c r="BL112" s="358"/>
      <c r="BM112" s="358"/>
      <c r="BN112" s="358"/>
      <c r="BO112" s="358"/>
      <c r="BP112" s="358"/>
      <c r="BQ112" s="358"/>
      <c r="BR112" s="358"/>
      <c r="BS112" s="359"/>
      <c r="BT112" s="358"/>
      <c r="BU112" s="358"/>
      <c r="BV112" s="359"/>
      <c r="BW112" s="359"/>
      <c r="BX112" s="359"/>
    </row>
    <row r="113" spans="1:76" ht="11.25" customHeight="1" x14ac:dyDescent="0.25">
      <c r="A113" s="363" t="s">
        <v>485</v>
      </c>
      <c r="B113" s="363"/>
      <c r="C113" s="363"/>
      <c r="D113" s="363"/>
      <c r="E113" s="363"/>
      <c r="F113" s="364" t="s">
        <v>486</v>
      </c>
      <c r="G113" s="364"/>
      <c r="H113" s="365"/>
      <c r="I113" s="366"/>
      <c r="J113" s="365"/>
      <c r="K113" s="365"/>
      <c r="L113" s="365"/>
      <c r="M113" s="365"/>
      <c r="N113" s="365"/>
      <c r="O113" s="365"/>
      <c r="P113" s="365"/>
      <c r="Q113" s="365"/>
      <c r="R113" s="365"/>
      <c r="S113" s="365"/>
      <c r="T113" s="365"/>
      <c r="U113" s="365"/>
      <c r="V113" s="365"/>
      <c r="W113" s="366"/>
      <c r="X113" s="365"/>
      <c r="Y113" s="365"/>
      <c r="Z113" s="365"/>
      <c r="AA113" s="365"/>
      <c r="AB113" s="365"/>
      <c r="AC113" s="365"/>
      <c r="AD113" s="365"/>
      <c r="AE113" s="365"/>
      <c r="AF113" s="365"/>
      <c r="AG113" s="365"/>
      <c r="AH113" s="365"/>
      <c r="AI113" s="365"/>
      <c r="AJ113" s="365"/>
      <c r="AK113" s="365"/>
      <c r="AL113" s="365"/>
      <c r="AM113" s="365"/>
      <c r="AN113" s="365"/>
      <c r="AO113" s="365"/>
      <c r="AP113" s="365"/>
      <c r="AQ113" s="365"/>
      <c r="AR113" s="365"/>
      <c r="AS113" s="365"/>
      <c r="AT113" s="367">
        <v>2100</v>
      </c>
      <c r="AU113" s="368">
        <v>2100</v>
      </c>
      <c r="AV113" s="365"/>
      <c r="AW113" s="365"/>
      <c r="AX113" s="365"/>
      <c r="AY113" s="365"/>
      <c r="AZ113" s="366"/>
      <c r="BA113" s="365"/>
      <c r="BB113" s="365"/>
      <c r="BC113" s="365"/>
      <c r="BD113" s="365"/>
      <c r="BE113" s="365"/>
      <c r="BF113" s="365"/>
      <c r="BG113" s="366"/>
      <c r="BH113" s="365"/>
      <c r="BI113" s="365"/>
      <c r="BJ113" s="389"/>
      <c r="BK113" s="365"/>
      <c r="BL113" s="365"/>
      <c r="BM113" s="365"/>
      <c r="BN113" s="365"/>
      <c r="BO113" s="365"/>
      <c r="BP113" s="365"/>
      <c r="BQ113" s="365"/>
      <c r="BR113" s="365"/>
      <c r="BS113" s="366"/>
      <c r="BT113" s="365"/>
      <c r="BU113" s="365"/>
      <c r="BV113" s="366"/>
      <c r="BW113" s="367"/>
      <c r="BX113" s="367"/>
    </row>
    <row r="114" spans="1:76" ht="11.25" customHeight="1" x14ac:dyDescent="0.25">
      <c r="A114" s="371" t="s">
        <v>133</v>
      </c>
      <c r="B114" s="372" t="s">
        <v>487</v>
      </c>
      <c r="C114" s="372"/>
      <c r="D114" s="372"/>
      <c r="E114" s="372"/>
      <c r="F114" s="373" t="s">
        <v>488</v>
      </c>
      <c r="G114" s="373"/>
      <c r="H114" s="374"/>
      <c r="I114" s="375"/>
      <c r="J114" s="374"/>
      <c r="K114" s="374"/>
      <c r="L114" s="374"/>
      <c r="M114" s="374"/>
      <c r="N114" s="374"/>
      <c r="O114" s="374"/>
      <c r="P114" s="374"/>
      <c r="Q114" s="374"/>
      <c r="R114" s="374"/>
      <c r="S114" s="374"/>
      <c r="T114" s="374"/>
      <c r="U114" s="374"/>
      <c r="V114" s="374"/>
      <c r="W114" s="375"/>
      <c r="X114" s="374"/>
      <c r="Y114" s="374"/>
      <c r="Z114" s="374"/>
      <c r="AA114" s="374"/>
      <c r="AB114" s="374"/>
      <c r="AC114" s="374"/>
      <c r="AD114" s="374"/>
      <c r="AE114" s="374"/>
      <c r="AF114" s="374"/>
      <c r="AG114" s="374"/>
      <c r="AH114" s="374"/>
      <c r="AI114" s="374"/>
      <c r="AJ114" s="374"/>
      <c r="AK114" s="374"/>
      <c r="AL114" s="374"/>
      <c r="AM114" s="374"/>
      <c r="AN114" s="374"/>
      <c r="AO114" s="374"/>
      <c r="AP114" s="374"/>
      <c r="AQ114" s="374"/>
      <c r="AR114" s="374"/>
      <c r="AS114" s="374"/>
      <c r="AT114" s="375"/>
      <c r="AU114" s="374"/>
      <c r="AV114" s="374"/>
      <c r="AW114" s="374"/>
      <c r="AX114" s="374"/>
      <c r="AY114" s="374"/>
      <c r="AZ114" s="375"/>
      <c r="BA114" s="374"/>
      <c r="BB114" s="374"/>
      <c r="BC114" s="374"/>
      <c r="BD114" s="374"/>
      <c r="BE114" s="374"/>
      <c r="BF114" s="374"/>
      <c r="BG114" s="375"/>
      <c r="BH114" s="374"/>
      <c r="BI114" s="374"/>
      <c r="BJ114" s="384"/>
      <c r="BK114" s="374"/>
      <c r="BL114" s="374"/>
      <c r="BM114" s="374"/>
      <c r="BN114" s="374"/>
      <c r="BO114" s="374"/>
      <c r="BP114" s="374"/>
      <c r="BQ114" s="374"/>
      <c r="BR114" s="374"/>
      <c r="BS114" s="375"/>
      <c r="BT114" s="374"/>
      <c r="BU114" s="374"/>
      <c r="BV114" s="375"/>
      <c r="BW114" s="375"/>
      <c r="BX114" s="376"/>
    </row>
    <row r="115" spans="1:76" ht="11.25" customHeight="1" x14ac:dyDescent="0.25">
      <c r="A115" s="341" t="s">
        <v>133</v>
      </c>
      <c r="B115" s="342" t="s">
        <v>489</v>
      </c>
      <c r="C115" s="342"/>
      <c r="D115" s="342"/>
      <c r="E115" s="342"/>
      <c r="F115" s="343" t="s">
        <v>490</v>
      </c>
      <c r="G115" s="343"/>
      <c r="H115" s="353"/>
      <c r="I115" s="354"/>
      <c r="J115" s="353"/>
      <c r="K115" s="353"/>
      <c r="L115" s="353"/>
      <c r="M115" s="353"/>
      <c r="N115" s="353"/>
      <c r="O115" s="353"/>
      <c r="P115" s="353"/>
      <c r="Q115" s="353"/>
      <c r="R115" s="353"/>
      <c r="S115" s="353"/>
      <c r="T115" s="353"/>
      <c r="U115" s="353"/>
      <c r="V115" s="353"/>
      <c r="W115" s="354"/>
      <c r="X115" s="353"/>
      <c r="Y115" s="353"/>
      <c r="Z115" s="353"/>
      <c r="AA115" s="353"/>
      <c r="AB115" s="353"/>
      <c r="AC115" s="353"/>
      <c r="AD115" s="353"/>
      <c r="AE115" s="353"/>
      <c r="AF115" s="353"/>
      <c r="AG115" s="353"/>
      <c r="AH115" s="353"/>
      <c r="AI115" s="353"/>
      <c r="AJ115" s="353"/>
      <c r="AK115" s="353"/>
      <c r="AL115" s="353"/>
      <c r="AM115" s="353"/>
      <c r="AN115" s="353"/>
      <c r="AO115" s="353"/>
      <c r="AP115" s="353"/>
      <c r="AQ115" s="353"/>
      <c r="AR115" s="353"/>
      <c r="AS115" s="353"/>
      <c r="AT115" s="354"/>
      <c r="AU115" s="353"/>
      <c r="AV115" s="353"/>
      <c r="AW115" s="353"/>
      <c r="AX115" s="353"/>
      <c r="AY115" s="353"/>
      <c r="AZ115" s="354"/>
      <c r="BA115" s="353"/>
      <c r="BB115" s="353"/>
      <c r="BC115" s="353"/>
      <c r="BD115" s="353"/>
      <c r="BE115" s="353"/>
      <c r="BF115" s="353"/>
      <c r="BG115" s="354"/>
      <c r="BH115" s="353"/>
      <c r="BI115" s="353"/>
      <c r="BJ115" s="385"/>
      <c r="BK115" s="353"/>
      <c r="BL115" s="353"/>
      <c r="BM115" s="353"/>
      <c r="BN115" s="353"/>
      <c r="BO115" s="353"/>
      <c r="BP115" s="353"/>
      <c r="BQ115" s="353"/>
      <c r="BR115" s="353"/>
      <c r="BS115" s="354"/>
      <c r="BT115" s="353"/>
      <c r="BU115" s="353"/>
      <c r="BV115" s="354"/>
      <c r="BW115" s="354"/>
      <c r="BX115" s="354"/>
    </row>
    <row r="116" spans="1:76" ht="11.25" customHeight="1" x14ac:dyDescent="0.25">
      <c r="A116" s="341"/>
      <c r="B116" s="341" t="s">
        <v>133</v>
      </c>
      <c r="C116" s="342" t="s">
        <v>491</v>
      </c>
      <c r="D116" s="342"/>
      <c r="E116" s="342"/>
      <c r="F116" s="343" t="s">
        <v>492</v>
      </c>
      <c r="G116" s="343"/>
      <c r="H116" s="353"/>
      <c r="I116" s="354"/>
      <c r="J116" s="353"/>
      <c r="K116" s="353"/>
      <c r="L116" s="353"/>
      <c r="M116" s="353"/>
      <c r="N116" s="353"/>
      <c r="O116" s="353"/>
      <c r="P116" s="353"/>
      <c r="Q116" s="353"/>
      <c r="R116" s="353"/>
      <c r="S116" s="353"/>
      <c r="T116" s="353"/>
      <c r="U116" s="353"/>
      <c r="V116" s="353"/>
      <c r="W116" s="354"/>
      <c r="X116" s="353"/>
      <c r="Y116" s="353"/>
      <c r="Z116" s="353"/>
      <c r="AA116" s="353"/>
      <c r="AB116" s="353"/>
      <c r="AC116" s="353"/>
      <c r="AD116" s="353"/>
      <c r="AE116" s="353"/>
      <c r="AF116" s="353"/>
      <c r="AG116" s="353"/>
      <c r="AH116" s="353"/>
      <c r="AI116" s="353"/>
      <c r="AJ116" s="353"/>
      <c r="AK116" s="353"/>
      <c r="AL116" s="353"/>
      <c r="AM116" s="353"/>
      <c r="AN116" s="353"/>
      <c r="AO116" s="353"/>
      <c r="AP116" s="353"/>
      <c r="AQ116" s="353"/>
      <c r="AR116" s="353"/>
      <c r="AS116" s="353"/>
      <c r="AT116" s="354"/>
      <c r="AU116" s="353"/>
      <c r="AV116" s="353"/>
      <c r="AW116" s="353"/>
      <c r="AX116" s="353"/>
      <c r="AY116" s="353"/>
      <c r="AZ116" s="354"/>
      <c r="BA116" s="353"/>
      <c r="BB116" s="353"/>
      <c r="BC116" s="353"/>
      <c r="BD116" s="353"/>
      <c r="BE116" s="353"/>
      <c r="BF116" s="353"/>
      <c r="BG116" s="354"/>
      <c r="BH116" s="353"/>
      <c r="BI116" s="353"/>
      <c r="BJ116" s="385"/>
      <c r="BK116" s="353"/>
      <c r="BL116" s="353"/>
      <c r="BM116" s="353"/>
      <c r="BN116" s="353"/>
      <c r="BO116" s="353"/>
      <c r="BP116" s="353"/>
      <c r="BQ116" s="353"/>
      <c r="BR116" s="353"/>
      <c r="BS116" s="354"/>
      <c r="BT116" s="353"/>
      <c r="BU116" s="353"/>
      <c r="BV116" s="354"/>
      <c r="BW116" s="354"/>
      <c r="BX116" s="354"/>
    </row>
    <row r="117" spans="1:76" ht="11.25" customHeight="1" x14ac:dyDescent="0.25">
      <c r="A117" s="341"/>
      <c r="B117" s="341" t="s">
        <v>154</v>
      </c>
      <c r="C117" s="342" t="s">
        <v>493</v>
      </c>
      <c r="D117" s="342"/>
      <c r="E117" s="342"/>
      <c r="F117" s="343" t="s">
        <v>494</v>
      </c>
      <c r="G117" s="343"/>
      <c r="H117" s="353"/>
      <c r="I117" s="354"/>
      <c r="J117" s="353"/>
      <c r="K117" s="353"/>
      <c r="L117" s="353"/>
      <c r="M117" s="353"/>
      <c r="N117" s="353"/>
      <c r="O117" s="353"/>
      <c r="P117" s="353"/>
      <c r="Q117" s="353"/>
      <c r="R117" s="353"/>
      <c r="S117" s="353"/>
      <c r="T117" s="353"/>
      <c r="U117" s="353"/>
      <c r="V117" s="353"/>
      <c r="W117" s="354"/>
      <c r="X117" s="353"/>
      <c r="Y117" s="353"/>
      <c r="Z117" s="353"/>
      <c r="AA117" s="353"/>
      <c r="AB117" s="353"/>
      <c r="AC117" s="353"/>
      <c r="AD117" s="353"/>
      <c r="AE117" s="353"/>
      <c r="AF117" s="353"/>
      <c r="AG117" s="353"/>
      <c r="AH117" s="353"/>
      <c r="AI117" s="353"/>
      <c r="AJ117" s="353"/>
      <c r="AK117" s="353"/>
      <c r="AL117" s="353"/>
      <c r="AM117" s="353"/>
      <c r="AN117" s="353"/>
      <c r="AO117" s="353"/>
      <c r="AP117" s="353"/>
      <c r="AQ117" s="353"/>
      <c r="AR117" s="353"/>
      <c r="AS117" s="353"/>
      <c r="AT117" s="354"/>
      <c r="AU117" s="353"/>
      <c r="AV117" s="353"/>
      <c r="AW117" s="353"/>
      <c r="AX117" s="353"/>
      <c r="AY117" s="353"/>
      <c r="AZ117" s="354"/>
      <c r="BA117" s="353"/>
      <c r="BB117" s="353"/>
      <c r="BC117" s="353"/>
      <c r="BD117" s="353"/>
      <c r="BE117" s="353"/>
      <c r="BF117" s="353"/>
      <c r="BG117" s="354"/>
      <c r="BH117" s="353"/>
      <c r="BI117" s="353"/>
      <c r="BJ117" s="385"/>
      <c r="BK117" s="353"/>
      <c r="BL117" s="353"/>
      <c r="BM117" s="353"/>
      <c r="BN117" s="353"/>
      <c r="BO117" s="353"/>
      <c r="BP117" s="353"/>
      <c r="BQ117" s="353"/>
      <c r="BR117" s="353"/>
      <c r="BS117" s="354"/>
      <c r="BT117" s="353"/>
      <c r="BU117" s="353"/>
      <c r="BV117" s="354"/>
      <c r="BW117" s="354"/>
      <c r="BX117" s="354"/>
    </row>
    <row r="118" spans="1:76" ht="11.25" customHeight="1" x14ac:dyDescent="0.25">
      <c r="A118" s="341"/>
      <c r="B118" s="341"/>
      <c r="C118" s="341" t="s">
        <v>133</v>
      </c>
      <c r="D118" s="342" t="s">
        <v>495</v>
      </c>
      <c r="E118" s="342"/>
      <c r="F118" s="343" t="s">
        <v>496</v>
      </c>
      <c r="G118" s="343"/>
      <c r="H118" s="353"/>
      <c r="I118" s="354"/>
      <c r="J118" s="353"/>
      <c r="K118" s="353"/>
      <c r="L118" s="353"/>
      <c r="M118" s="353"/>
      <c r="N118" s="353"/>
      <c r="O118" s="353"/>
      <c r="P118" s="353"/>
      <c r="Q118" s="353"/>
      <c r="R118" s="353"/>
      <c r="S118" s="353"/>
      <c r="T118" s="353"/>
      <c r="U118" s="353"/>
      <c r="V118" s="353"/>
      <c r="W118" s="354"/>
      <c r="X118" s="353"/>
      <c r="Y118" s="353"/>
      <c r="Z118" s="353"/>
      <c r="AA118" s="353"/>
      <c r="AB118" s="353"/>
      <c r="AC118" s="353"/>
      <c r="AD118" s="353"/>
      <c r="AE118" s="353"/>
      <c r="AF118" s="353"/>
      <c r="AG118" s="353"/>
      <c r="AH118" s="353"/>
      <c r="AI118" s="353"/>
      <c r="AJ118" s="353"/>
      <c r="AK118" s="353"/>
      <c r="AL118" s="353"/>
      <c r="AM118" s="353"/>
      <c r="AN118" s="353"/>
      <c r="AO118" s="353"/>
      <c r="AP118" s="353"/>
      <c r="AQ118" s="353"/>
      <c r="AR118" s="353"/>
      <c r="AS118" s="353"/>
      <c r="AT118" s="354"/>
      <c r="AU118" s="353"/>
      <c r="AV118" s="353"/>
      <c r="AW118" s="353"/>
      <c r="AX118" s="353"/>
      <c r="AY118" s="353"/>
      <c r="AZ118" s="354"/>
      <c r="BA118" s="353"/>
      <c r="BB118" s="353"/>
      <c r="BC118" s="353"/>
      <c r="BD118" s="353"/>
      <c r="BE118" s="353"/>
      <c r="BF118" s="353"/>
      <c r="BG118" s="354"/>
      <c r="BH118" s="353"/>
      <c r="BI118" s="353"/>
      <c r="BJ118" s="385"/>
      <c r="BK118" s="353"/>
      <c r="BL118" s="353"/>
      <c r="BM118" s="353"/>
      <c r="BN118" s="353"/>
      <c r="BO118" s="353"/>
      <c r="BP118" s="353"/>
      <c r="BQ118" s="353"/>
      <c r="BR118" s="353"/>
      <c r="BS118" s="354"/>
      <c r="BT118" s="353"/>
      <c r="BU118" s="353"/>
      <c r="BV118" s="354"/>
      <c r="BW118" s="354"/>
      <c r="BX118" s="354"/>
    </row>
    <row r="119" spans="1:76" ht="11.25" customHeight="1" x14ac:dyDescent="0.25">
      <c r="A119" s="341"/>
      <c r="B119" s="341"/>
      <c r="C119" s="341" t="s">
        <v>133</v>
      </c>
      <c r="D119" s="342" t="s">
        <v>497</v>
      </c>
      <c r="E119" s="342"/>
      <c r="F119" s="343" t="s">
        <v>498</v>
      </c>
      <c r="G119" s="343"/>
      <c r="H119" s="353"/>
      <c r="I119" s="354"/>
      <c r="J119" s="353"/>
      <c r="K119" s="353"/>
      <c r="L119" s="353"/>
      <c r="M119" s="353"/>
      <c r="N119" s="353"/>
      <c r="O119" s="353"/>
      <c r="P119" s="353"/>
      <c r="Q119" s="353"/>
      <c r="R119" s="353"/>
      <c r="S119" s="353"/>
      <c r="T119" s="353"/>
      <c r="U119" s="353"/>
      <c r="V119" s="353"/>
      <c r="W119" s="354"/>
      <c r="X119" s="353"/>
      <c r="Y119" s="353"/>
      <c r="Z119" s="353"/>
      <c r="AA119" s="353"/>
      <c r="AB119" s="353"/>
      <c r="AC119" s="353"/>
      <c r="AD119" s="353"/>
      <c r="AE119" s="353"/>
      <c r="AF119" s="353"/>
      <c r="AG119" s="353"/>
      <c r="AH119" s="353"/>
      <c r="AI119" s="353"/>
      <c r="AJ119" s="353"/>
      <c r="AK119" s="353"/>
      <c r="AL119" s="353"/>
      <c r="AM119" s="353"/>
      <c r="AN119" s="353"/>
      <c r="AO119" s="353"/>
      <c r="AP119" s="353"/>
      <c r="AQ119" s="353"/>
      <c r="AR119" s="353"/>
      <c r="AS119" s="353"/>
      <c r="AT119" s="354"/>
      <c r="AU119" s="353"/>
      <c r="AV119" s="353"/>
      <c r="AW119" s="353"/>
      <c r="AX119" s="353"/>
      <c r="AY119" s="353"/>
      <c r="AZ119" s="354"/>
      <c r="BA119" s="353"/>
      <c r="BB119" s="353"/>
      <c r="BC119" s="353"/>
      <c r="BD119" s="353"/>
      <c r="BE119" s="353"/>
      <c r="BF119" s="353"/>
      <c r="BG119" s="354"/>
      <c r="BH119" s="353"/>
      <c r="BI119" s="353"/>
      <c r="BJ119" s="385"/>
      <c r="BK119" s="353"/>
      <c r="BL119" s="353"/>
      <c r="BM119" s="353"/>
      <c r="BN119" s="353"/>
      <c r="BO119" s="353"/>
      <c r="BP119" s="353"/>
      <c r="BQ119" s="353"/>
      <c r="BR119" s="353"/>
      <c r="BS119" s="354"/>
      <c r="BT119" s="353"/>
      <c r="BU119" s="353"/>
      <c r="BV119" s="354"/>
      <c r="BW119" s="354"/>
      <c r="BX119" s="354"/>
    </row>
    <row r="120" spans="1:76" ht="11.25" customHeight="1" x14ac:dyDescent="0.25">
      <c r="A120" s="341" t="s">
        <v>133</v>
      </c>
      <c r="B120" s="342" t="s">
        <v>499</v>
      </c>
      <c r="C120" s="342"/>
      <c r="D120" s="342"/>
      <c r="E120" s="342"/>
      <c r="F120" s="343" t="s">
        <v>500</v>
      </c>
      <c r="G120" s="343"/>
      <c r="H120" s="353"/>
      <c r="I120" s="354"/>
      <c r="J120" s="353"/>
      <c r="K120" s="353"/>
      <c r="L120" s="353"/>
      <c r="M120" s="353"/>
      <c r="N120" s="353"/>
      <c r="O120" s="353"/>
      <c r="P120" s="353"/>
      <c r="Q120" s="353"/>
      <c r="R120" s="353"/>
      <c r="S120" s="353"/>
      <c r="T120" s="353"/>
      <c r="U120" s="353"/>
      <c r="V120" s="353"/>
      <c r="W120" s="354"/>
      <c r="X120" s="353"/>
      <c r="Y120" s="353"/>
      <c r="Z120" s="353"/>
      <c r="AA120" s="353"/>
      <c r="AB120" s="353"/>
      <c r="AC120" s="353"/>
      <c r="AD120" s="353"/>
      <c r="AE120" s="353"/>
      <c r="AF120" s="353"/>
      <c r="AG120" s="353"/>
      <c r="AH120" s="353"/>
      <c r="AI120" s="353"/>
      <c r="AJ120" s="353"/>
      <c r="AK120" s="353"/>
      <c r="AL120" s="353"/>
      <c r="AM120" s="353"/>
      <c r="AN120" s="353"/>
      <c r="AO120" s="353"/>
      <c r="AP120" s="353"/>
      <c r="AQ120" s="353"/>
      <c r="AR120" s="353"/>
      <c r="AS120" s="353"/>
      <c r="AT120" s="354"/>
      <c r="AU120" s="345">
        <v>1800</v>
      </c>
      <c r="AV120" s="353"/>
      <c r="AW120" s="353"/>
      <c r="AX120" s="353"/>
      <c r="AY120" s="353"/>
      <c r="AZ120" s="354"/>
      <c r="BA120" s="353"/>
      <c r="BB120" s="353"/>
      <c r="BC120" s="353"/>
      <c r="BD120" s="353"/>
      <c r="BE120" s="353"/>
      <c r="BF120" s="353"/>
      <c r="BG120" s="354"/>
      <c r="BH120" s="353"/>
      <c r="BI120" s="353"/>
      <c r="BJ120" s="385"/>
      <c r="BK120" s="353"/>
      <c r="BL120" s="353"/>
      <c r="BM120" s="353"/>
      <c r="BN120" s="353"/>
      <c r="BO120" s="353"/>
      <c r="BP120" s="353"/>
      <c r="BQ120" s="353"/>
      <c r="BR120" s="353"/>
      <c r="BS120" s="354"/>
      <c r="BT120" s="353"/>
      <c r="BU120" s="353"/>
      <c r="BV120" s="354"/>
      <c r="BW120" s="390"/>
      <c r="BX120" s="354"/>
    </row>
    <row r="121" spans="1:76" ht="11.25" customHeight="1" x14ac:dyDescent="0.25">
      <c r="A121" s="341" t="s">
        <v>133</v>
      </c>
      <c r="B121" s="342" t="s">
        <v>501</v>
      </c>
      <c r="C121" s="342"/>
      <c r="D121" s="342"/>
      <c r="E121" s="342"/>
      <c r="F121" s="343" t="s">
        <v>502</v>
      </c>
      <c r="G121" s="343"/>
      <c r="H121" s="353"/>
      <c r="I121" s="354"/>
      <c r="J121" s="353"/>
      <c r="K121" s="353"/>
      <c r="L121" s="353"/>
      <c r="M121" s="353"/>
      <c r="N121" s="353"/>
      <c r="O121" s="353"/>
      <c r="P121" s="353"/>
      <c r="Q121" s="353"/>
      <c r="R121" s="353"/>
      <c r="S121" s="353"/>
      <c r="T121" s="353"/>
      <c r="U121" s="353"/>
      <c r="V121" s="353"/>
      <c r="W121" s="354"/>
      <c r="X121" s="353"/>
      <c r="Y121" s="353"/>
      <c r="Z121" s="353"/>
      <c r="AA121" s="353"/>
      <c r="AB121" s="353"/>
      <c r="AC121" s="353"/>
      <c r="AD121" s="353"/>
      <c r="AE121" s="353"/>
      <c r="AF121" s="348"/>
      <c r="AG121" s="348"/>
      <c r="AH121" s="348"/>
      <c r="AI121" s="348"/>
      <c r="AJ121" s="348"/>
      <c r="AK121" s="348"/>
      <c r="AL121" s="348"/>
      <c r="AM121" s="348"/>
      <c r="AN121" s="353"/>
      <c r="AO121" s="353"/>
      <c r="AP121" s="353"/>
      <c r="AQ121" s="353"/>
      <c r="AR121" s="353"/>
      <c r="AS121" s="353"/>
      <c r="AT121" s="354"/>
      <c r="AU121" s="345">
        <v>300</v>
      </c>
      <c r="AV121" s="353"/>
      <c r="AW121" s="353"/>
      <c r="AX121" s="353"/>
      <c r="AY121" s="353"/>
      <c r="AZ121" s="354"/>
      <c r="BA121" s="353"/>
      <c r="BB121" s="353"/>
      <c r="BC121" s="353"/>
      <c r="BD121" s="353"/>
      <c r="BE121" s="353"/>
      <c r="BF121" s="353"/>
      <c r="BG121" s="354"/>
      <c r="BH121" s="353"/>
      <c r="BI121" s="353"/>
      <c r="BJ121" s="385"/>
      <c r="BK121" s="353"/>
      <c r="BL121" s="353"/>
      <c r="BM121" s="353"/>
      <c r="BN121" s="353"/>
      <c r="BO121" s="353"/>
      <c r="BP121" s="353"/>
      <c r="BQ121" s="353"/>
      <c r="BR121" s="353"/>
      <c r="BS121" s="354"/>
      <c r="BT121" s="353"/>
      <c r="BU121" s="353"/>
      <c r="BV121" s="354"/>
      <c r="BW121" s="390"/>
      <c r="BX121" s="354"/>
    </row>
    <row r="122" spans="1:76" ht="11.25" customHeight="1" x14ac:dyDescent="0.25">
      <c r="A122" s="341" t="s">
        <v>133</v>
      </c>
      <c r="B122" s="342" t="s">
        <v>503</v>
      </c>
      <c r="C122" s="342"/>
      <c r="D122" s="342"/>
      <c r="E122" s="342"/>
      <c r="F122" s="343" t="s">
        <v>504</v>
      </c>
      <c r="G122" s="343"/>
      <c r="H122" s="353"/>
      <c r="I122" s="354"/>
      <c r="J122" s="353"/>
      <c r="K122" s="353"/>
      <c r="L122" s="353"/>
      <c r="M122" s="353"/>
      <c r="N122" s="353"/>
      <c r="O122" s="353"/>
      <c r="P122" s="353"/>
      <c r="Q122" s="353"/>
      <c r="R122" s="353"/>
      <c r="S122" s="353"/>
      <c r="T122" s="353"/>
      <c r="U122" s="353"/>
      <c r="V122" s="353"/>
      <c r="W122" s="354"/>
      <c r="X122" s="353"/>
      <c r="Y122" s="353"/>
      <c r="Z122" s="353"/>
      <c r="AA122" s="353"/>
      <c r="AB122" s="353"/>
      <c r="AC122" s="353"/>
      <c r="AD122" s="353"/>
      <c r="AE122" s="353"/>
      <c r="AF122" s="353"/>
      <c r="AG122" s="353"/>
      <c r="AH122" s="353"/>
      <c r="AI122" s="353"/>
      <c r="AJ122" s="353"/>
      <c r="AK122" s="353"/>
      <c r="AL122" s="353"/>
      <c r="AM122" s="353"/>
      <c r="AN122" s="353"/>
      <c r="AO122" s="353"/>
      <c r="AP122" s="353"/>
      <c r="AQ122" s="353"/>
      <c r="AR122" s="353"/>
      <c r="AS122" s="353"/>
      <c r="AT122" s="354"/>
      <c r="AU122" s="353"/>
      <c r="AV122" s="353"/>
      <c r="AW122" s="353"/>
      <c r="AX122" s="353"/>
      <c r="AY122" s="353"/>
      <c r="AZ122" s="354"/>
      <c r="BA122" s="353"/>
      <c r="BB122" s="353"/>
      <c r="BC122" s="353"/>
      <c r="BD122" s="353"/>
      <c r="BE122" s="353"/>
      <c r="BF122" s="353"/>
      <c r="BG122" s="354"/>
      <c r="BH122" s="353"/>
      <c r="BI122" s="353"/>
      <c r="BJ122" s="385"/>
      <c r="BK122" s="353"/>
      <c r="BL122" s="353"/>
      <c r="BM122" s="353"/>
      <c r="BN122" s="353"/>
      <c r="BO122" s="353"/>
      <c r="BP122" s="353"/>
      <c r="BQ122" s="353"/>
      <c r="BR122" s="353"/>
      <c r="BS122" s="354"/>
      <c r="BT122" s="353"/>
      <c r="BU122" s="353"/>
      <c r="BV122" s="354"/>
      <c r="BW122" s="354"/>
      <c r="BX122" s="354"/>
    </row>
    <row r="123" spans="1:76" ht="11.25" customHeight="1" x14ac:dyDescent="0.25">
      <c r="A123" s="341" t="s">
        <v>133</v>
      </c>
      <c r="B123" s="342" t="s">
        <v>505</v>
      </c>
      <c r="C123" s="342"/>
      <c r="D123" s="342"/>
      <c r="E123" s="342"/>
      <c r="F123" s="343" t="s">
        <v>506</v>
      </c>
      <c r="G123" s="343"/>
      <c r="H123" s="353"/>
      <c r="I123" s="354"/>
      <c r="J123" s="353"/>
      <c r="K123" s="353"/>
      <c r="L123" s="353"/>
      <c r="M123" s="353"/>
      <c r="N123" s="353"/>
      <c r="O123" s="353"/>
      <c r="P123" s="353"/>
      <c r="Q123" s="353"/>
      <c r="R123" s="353"/>
      <c r="S123" s="353"/>
      <c r="T123" s="353"/>
      <c r="U123" s="353"/>
      <c r="V123" s="353"/>
      <c r="W123" s="354"/>
      <c r="X123" s="353"/>
      <c r="Y123" s="353"/>
      <c r="Z123" s="353"/>
      <c r="AA123" s="353"/>
      <c r="AB123" s="353"/>
      <c r="AC123" s="353"/>
      <c r="AD123" s="353"/>
      <c r="AE123" s="353"/>
      <c r="AF123" s="353"/>
      <c r="AG123" s="353"/>
      <c r="AH123" s="353"/>
      <c r="AI123" s="353"/>
      <c r="AJ123" s="353"/>
      <c r="AK123" s="353"/>
      <c r="AL123" s="353"/>
      <c r="AM123" s="348"/>
      <c r="AN123" s="353"/>
      <c r="AO123" s="353"/>
      <c r="AP123" s="353"/>
      <c r="AQ123" s="353"/>
      <c r="AR123" s="353"/>
      <c r="AS123" s="353"/>
      <c r="AT123" s="354"/>
      <c r="AU123" s="353"/>
      <c r="AV123" s="353"/>
      <c r="AW123" s="353"/>
      <c r="AX123" s="353"/>
      <c r="AY123" s="353"/>
      <c r="AZ123" s="354"/>
      <c r="BA123" s="353"/>
      <c r="BB123" s="353"/>
      <c r="BC123" s="353"/>
      <c r="BD123" s="353"/>
      <c r="BE123" s="353"/>
      <c r="BF123" s="353"/>
      <c r="BG123" s="354"/>
      <c r="BH123" s="353"/>
      <c r="BI123" s="353"/>
      <c r="BJ123" s="385"/>
      <c r="BK123" s="353"/>
      <c r="BL123" s="353"/>
      <c r="BM123" s="353"/>
      <c r="BN123" s="353"/>
      <c r="BO123" s="353"/>
      <c r="BP123" s="353"/>
      <c r="BQ123" s="353"/>
      <c r="BR123" s="353"/>
      <c r="BS123" s="354"/>
      <c r="BT123" s="353"/>
      <c r="BU123" s="353"/>
      <c r="BV123" s="354"/>
      <c r="BW123" s="354"/>
      <c r="BX123" s="354"/>
    </row>
    <row r="124" spans="1:76" ht="11.25" customHeight="1" x14ac:dyDescent="0.25">
      <c r="A124" s="341" t="s">
        <v>133</v>
      </c>
      <c r="B124" s="342" t="s">
        <v>341</v>
      </c>
      <c r="C124" s="342"/>
      <c r="D124" s="342"/>
      <c r="E124" s="342"/>
      <c r="F124" s="343" t="s">
        <v>507</v>
      </c>
      <c r="G124" s="343"/>
      <c r="H124" s="353"/>
      <c r="I124" s="354"/>
      <c r="J124" s="353"/>
      <c r="K124" s="353"/>
      <c r="L124" s="353"/>
      <c r="M124" s="353"/>
      <c r="N124" s="353"/>
      <c r="O124" s="353"/>
      <c r="P124" s="353"/>
      <c r="Q124" s="353"/>
      <c r="R124" s="353"/>
      <c r="S124" s="353"/>
      <c r="T124" s="353"/>
      <c r="U124" s="353"/>
      <c r="V124" s="353"/>
      <c r="W124" s="354"/>
      <c r="X124" s="353"/>
      <c r="Y124" s="353"/>
      <c r="Z124" s="353"/>
      <c r="AA124" s="353"/>
      <c r="AB124" s="353"/>
      <c r="AC124" s="353"/>
      <c r="AD124" s="353"/>
      <c r="AE124" s="353"/>
      <c r="AF124" s="353"/>
      <c r="AG124" s="353"/>
      <c r="AH124" s="353"/>
      <c r="AI124" s="353"/>
      <c r="AJ124" s="353"/>
      <c r="AK124" s="353"/>
      <c r="AL124" s="353"/>
      <c r="AM124" s="353"/>
      <c r="AN124" s="353"/>
      <c r="AO124" s="353"/>
      <c r="AP124" s="353"/>
      <c r="AQ124" s="353"/>
      <c r="AR124" s="353"/>
      <c r="AS124" s="353"/>
      <c r="AT124" s="354"/>
      <c r="AU124" s="353"/>
      <c r="AV124" s="353"/>
      <c r="AW124" s="353"/>
      <c r="AX124" s="353"/>
      <c r="AY124" s="353"/>
      <c r="AZ124" s="354"/>
      <c r="BA124" s="353"/>
      <c r="BB124" s="353"/>
      <c r="BC124" s="353"/>
      <c r="BD124" s="353"/>
      <c r="BE124" s="353"/>
      <c r="BF124" s="353"/>
      <c r="BG124" s="354"/>
      <c r="BH124" s="353"/>
      <c r="BI124" s="353"/>
      <c r="BJ124" s="385"/>
      <c r="BK124" s="353"/>
      <c r="BL124" s="353"/>
      <c r="BM124" s="353"/>
      <c r="BN124" s="353"/>
      <c r="BO124" s="353"/>
      <c r="BP124" s="353"/>
      <c r="BQ124" s="353"/>
      <c r="BR124" s="353"/>
      <c r="BS124" s="354"/>
      <c r="BT124" s="353"/>
      <c r="BU124" s="353"/>
      <c r="BV124" s="354"/>
      <c r="BW124" s="354"/>
      <c r="BX124" s="354"/>
    </row>
    <row r="125" spans="1:76" ht="11.25" customHeight="1" x14ac:dyDescent="0.25">
      <c r="A125" s="341" t="s">
        <v>133</v>
      </c>
      <c r="B125" s="342" t="s">
        <v>508</v>
      </c>
      <c r="C125" s="342"/>
      <c r="D125" s="342"/>
      <c r="E125" s="342"/>
      <c r="F125" s="343" t="s">
        <v>509</v>
      </c>
      <c r="G125" s="343"/>
      <c r="H125" s="353"/>
      <c r="I125" s="354"/>
      <c r="J125" s="353"/>
      <c r="K125" s="353"/>
      <c r="L125" s="353"/>
      <c r="M125" s="353"/>
      <c r="N125" s="353"/>
      <c r="O125" s="353"/>
      <c r="P125" s="353"/>
      <c r="Q125" s="353"/>
      <c r="R125" s="353"/>
      <c r="S125" s="353"/>
      <c r="T125" s="353"/>
      <c r="U125" s="353"/>
      <c r="V125" s="353"/>
      <c r="W125" s="354"/>
      <c r="X125" s="353"/>
      <c r="Y125" s="353"/>
      <c r="Z125" s="353"/>
      <c r="AA125" s="353"/>
      <c r="AB125" s="353"/>
      <c r="AC125" s="353"/>
      <c r="AD125" s="353"/>
      <c r="AE125" s="353"/>
      <c r="AF125" s="353"/>
      <c r="AG125" s="353"/>
      <c r="AH125" s="353"/>
      <c r="AI125" s="353"/>
      <c r="AJ125" s="353"/>
      <c r="AK125" s="353"/>
      <c r="AL125" s="353"/>
      <c r="AM125" s="353"/>
      <c r="AN125" s="353"/>
      <c r="AO125" s="353"/>
      <c r="AP125" s="353"/>
      <c r="AQ125" s="353"/>
      <c r="AR125" s="353"/>
      <c r="AS125" s="353"/>
      <c r="AT125" s="354"/>
      <c r="AU125" s="353"/>
      <c r="AV125" s="353"/>
      <c r="AW125" s="353"/>
      <c r="AX125" s="353"/>
      <c r="AY125" s="353"/>
      <c r="AZ125" s="354"/>
      <c r="BA125" s="353"/>
      <c r="BB125" s="353"/>
      <c r="BC125" s="353"/>
      <c r="BD125" s="353"/>
      <c r="BE125" s="353"/>
      <c r="BF125" s="353"/>
      <c r="BG125" s="354"/>
      <c r="BH125" s="353"/>
      <c r="BI125" s="353"/>
      <c r="BJ125" s="385"/>
      <c r="BK125" s="353"/>
      <c r="BL125" s="353"/>
      <c r="BM125" s="353"/>
      <c r="BN125" s="353"/>
      <c r="BO125" s="353"/>
      <c r="BP125" s="353"/>
      <c r="BQ125" s="353"/>
      <c r="BR125" s="353"/>
      <c r="BS125" s="354"/>
      <c r="BT125" s="353"/>
      <c r="BU125" s="353"/>
      <c r="BV125" s="354"/>
      <c r="BW125" s="354"/>
      <c r="BX125" s="354"/>
    </row>
    <row r="126" spans="1:76" ht="11.25" customHeight="1" x14ac:dyDescent="0.25">
      <c r="A126" s="341" t="s">
        <v>133</v>
      </c>
      <c r="B126" s="342" t="s">
        <v>343</v>
      </c>
      <c r="C126" s="342"/>
      <c r="D126" s="342"/>
      <c r="E126" s="342"/>
      <c r="F126" s="343" t="s">
        <v>510</v>
      </c>
      <c r="G126" s="343"/>
      <c r="H126" s="353"/>
      <c r="I126" s="354"/>
      <c r="J126" s="353"/>
      <c r="K126" s="353"/>
      <c r="L126" s="353"/>
      <c r="M126" s="353"/>
      <c r="N126" s="353"/>
      <c r="O126" s="353"/>
      <c r="P126" s="353"/>
      <c r="Q126" s="353"/>
      <c r="R126" s="353"/>
      <c r="S126" s="353"/>
      <c r="T126" s="353"/>
      <c r="U126" s="353"/>
      <c r="V126" s="353"/>
      <c r="W126" s="354"/>
      <c r="X126" s="353"/>
      <c r="Y126" s="353"/>
      <c r="Z126" s="353"/>
      <c r="AA126" s="353"/>
      <c r="AB126" s="353"/>
      <c r="AC126" s="353"/>
      <c r="AD126" s="353"/>
      <c r="AE126" s="353"/>
      <c r="AF126" s="353"/>
      <c r="AG126" s="353"/>
      <c r="AH126" s="353"/>
      <c r="AI126" s="353"/>
      <c r="AJ126" s="353"/>
      <c r="AK126" s="353"/>
      <c r="AL126" s="353"/>
      <c r="AM126" s="353"/>
      <c r="AN126" s="353"/>
      <c r="AO126" s="353"/>
      <c r="AP126" s="353"/>
      <c r="AQ126" s="353"/>
      <c r="AR126" s="353"/>
      <c r="AS126" s="353"/>
      <c r="AT126" s="354"/>
      <c r="AU126" s="353"/>
      <c r="AV126" s="353"/>
      <c r="AW126" s="353"/>
      <c r="AX126" s="353"/>
      <c r="AY126" s="353"/>
      <c r="AZ126" s="354"/>
      <c r="BA126" s="353"/>
      <c r="BB126" s="353"/>
      <c r="BC126" s="353"/>
      <c r="BD126" s="353"/>
      <c r="BE126" s="353"/>
      <c r="BF126" s="353"/>
      <c r="BG126" s="354"/>
      <c r="BH126" s="353"/>
      <c r="BI126" s="353"/>
      <c r="BJ126" s="385"/>
      <c r="BK126" s="353"/>
      <c r="BL126" s="353"/>
      <c r="BM126" s="353"/>
      <c r="BN126" s="353"/>
      <c r="BO126" s="353"/>
      <c r="BP126" s="353"/>
      <c r="BQ126" s="353"/>
      <c r="BR126" s="353"/>
      <c r="BS126" s="354"/>
      <c r="BT126" s="353"/>
      <c r="BU126" s="353"/>
      <c r="BV126" s="354"/>
      <c r="BW126" s="354"/>
      <c r="BX126" s="354"/>
    </row>
    <row r="127" spans="1:76" ht="11.25" customHeight="1" x14ac:dyDescent="0.25">
      <c r="A127" s="341" t="s">
        <v>133</v>
      </c>
      <c r="B127" s="342" t="s">
        <v>327</v>
      </c>
      <c r="C127" s="342"/>
      <c r="D127" s="342"/>
      <c r="E127" s="342"/>
      <c r="F127" s="343" t="s">
        <v>511</v>
      </c>
      <c r="G127" s="343"/>
      <c r="H127" s="353"/>
      <c r="I127" s="354"/>
      <c r="J127" s="353"/>
      <c r="K127" s="353"/>
      <c r="L127" s="353"/>
      <c r="M127" s="353"/>
      <c r="N127" s="353"/>
      <c r="O127" s="353"/>
      <c r="P127" s="353"/>
      <c r="Q127" s="353"/>
      <c r="R127" s="353"/>
      <c r="S127" s="353"/>
      <c r="T127" s="353"/>
      <c r="U127" s="353"/>
      <c r="V127" s="353"/>
      <c r="W127" s="354"/>
      <c r="X127" s="353"/>
      <c r="Y127" s="353"/>
      <c r="Z127" s="353"/>
      <c r="AA127" s="353"/>
      <c r="AB127" s="353"/>
      <c r="AC127" s="353"/>
      <c r="AD127" s="353"/>
      <c r="AE127" s="353"/>
      <c r="AF127" s="353"/>
      <c r="AG127" s="353"/>
      <c r="AH127" s="353"/>
      <c r="AI127" s="353"/>
      <c r="AJ127" s="353"/>
      <c r="AK127" s="353"/>
      <c r="AL127" s="353"/>
      <c r="AM127" s="353"/>
      <c r="AN127" s="353"/>
      <c r="AO127" s="353"/>
      <c r="AP127" s="353"/>
      <c r="AQ127" s="353"/>
      <c r="AR127" s="353"/>
      <c r="AS127" s="353"/>
      <c r="AT127" s="354"/>
      <c r="AU127" s="353"/>
      <c r="AV127" s="353"/>
      <c r="AW127" s="353"/>
      <c r="AX127" s="353"/>
      <c r="AY127" s="353"/>
      <c r="AZ127" s="354"/>
      <c r="BA127" s="353"/>
      <c r="BB127" s="353"/>
      <c r="BC127" s="353"/>
      <c r="BD127" s="353"/>
      <c r="BE127" s="353"/>
      <c r="BF127" s="353"/>
      <c r="BG127" s="354"/>
      <c r="BH127" s="353"/>
      <c r="BI127" s="353"/>
      <c r="BJ127" s="385"/>
      <c r="BK127" s="353"/>
      <c r="BL127" s="353"/>
      <c r="BM127" s="353"/>
      <c r="BN127" s="353"/>
      <c r="BO127" s="353"/>
      <c r="BP127" s="353"/>
      <c r="BQ127" s="353"/>
      <c r="BR127" s="353"/>
      <c r="BS127" s="354"/>
      <c r="BT127" s="353"/>
      <c r="BU127" s="353"/>
      <c r="BV127" s="354"/>
      <c r="BW127" s="354"/>
      <c r="BX127" s="354"/>
    </row>
    <row r="128" spans="1:76" ht="11.25" customHeight="1" x14ac:dyDescent="0.25">
      <c r="A128" s="341" t="s">
        <v>133</v>
      </c>
      <c r="B128" s="342" t="s">
        <v>123</v>
      </c>
      <c r="C128" s="342"/>
      <c r="D128" s="342"/>
      <c r="E128" s="342"/>
      <c r="F128" s="343" t="s">
        <v>512</v>
      </c>
      <c r="G128" s="343"/>
      <c r="H128" s="353"/>
      <c r="I128" s="354"/>
      <c r="J128" s="353"/>
      <c r="K128" s="353"/>
      <c r="L128" s="353"/>
      <c r="M128" s="353"/>
      <c r="N128" s="353"/>
      <c r="O128" s="353"/>
      <c r="P128" s="353"/>
      <c r="Q128" s="353"/>
      <c r="R128" s="353"/>
      <c r="S128" s="353"/>
      <c r="T128" s="353"/>
      <c r="U128" s="353"/>
      <c r="V128" s="353"/>
      <c r="W128" s="354"/>
      <c r="X128" s="353"/>
      <c r="Y128" s="353"/>
      <c r="Z128" s="353"/>
      <c r="AA128" s="353"/>
      <c r="AB128" s="353"/>
      <c r="AC128" s="353"/>
      <c r="AD128" s="353"/>
      <c r="AE128" s="353"/>
      <c r="AF128" s="353"/>
      <c r="AG128" s="353"/>
      <c r="AH128" s="353"/>
      <c r="AI128" s="353"/>
      <c r="AJ128" s="353"/>
      <c r="AK128" s="353"/>
      <c r="AL128" s="353"/>
      <c r="AM128" s="353"/>
      <c r="AN128" s="353"/>
      <c r="AO128" s="353"/>
      <c r="AP128" s="353"/>
      <c r="AQ128" s="353"/>
      <c r="AR128" s="353"/>
      <c r="AS128" s="353"/>
      <c r="AT128" s="354"/>
      <c r="AU128" s="353"/>
      <c r="AV128" s="353"/>
      <c r="AW128" s="353"/>
      <c r="AX128" s="353"/>
      <c r="AY128" s="353"/>
      <c r="AZ128" s="354"/>
      <c r="BA128" s="353"/>
      <c r="BB128" s="353"/>
      <c r="BC128" s="353"/>
      <c r="BD128" s="353"/>
      <c r="BE128" s="353"/>
      <c r="BF128" s="353"/>
      <c r="BG128" s="354"/>
      <c r="BH128" s="353"/>
      <c r="BI128" s="353"/>
      <c r="BJ128" s="385"/>
      <c r="BK128" s="353"/>
      <c r="BL128" s="353"/>
      <c r="BM128" s="353"/>
      <c r="BN128" s="353"/>
      <c r="BO128" s="353"/>
      <c r="BP128" s="353"/>
      <c r="BQ128" s="353"/>
      <c r="BR128" s="353"/>
      <c r="BS128" s="354"/>
      <c r="BT128" s="353"/>
      <c r="BU128" s="353"/>
      <c r="BV128" s="354"/>
      <c r="BW128" s="354"/>
      <c r="BX128" s="354"/>
    </row>
    <row r="129" spans="1:76" ht="11.25" customHeight="1" x14ac:dyDescent="0.25">
      <c r="A129" s="341" t="s">
        <v>133</v>
      </c>
      <c r="B129" s="342" t="s">
        <v>345</v>
      </c>
      <c r="C129" s="342"/>
      <c r="D129" s="342"/>
      <c r="E129" s="342"/>
      <c r="F129" s="343" t="s">
        <v>513</v>
      </c>
      <c r="G129" s="343"/>
      <c r="H129" s="353"/>
      <c r="I129" s="354"/>
      <c r="J129" s="353"/>
      <c r="K129" s="353"/>
      <c r="L129" s="353"/>
      <c r="M129" s="353"/>
      <c r="N129" s="353"/>
      <c r="O129" s="353"/>
      <c r="P129" s="353"/>
      <c r="Q129" s="353"/>
      <c r="R129" s="353"/>
      <c r="S129" s="353"/>
      <c r="T129" s="353"/>
      <c r="U129" s="353"/>
      <c r="V129" s="353"/>
      <c r="W129" s="354"/>
      <c r="X129" s="353"/>
      <c r="Y129" s="353"/>
      <c r="Z129" s="353"/>
      <c r="AA129" s="353"/>
      <c r="AB129" s="353"/>
      <c r="AC129" s="353"/>
      <c r="AD129" s="353"/>
      <c r="AE129" s="353"/>
      <c r="AF129" s="353"/>
      <c r="AG129" s="353"/>
      <c r="AH129" s="353"/>
      <c r="AI129" s="353"/>
      <c r="AJ129" s="353"/>
      <c r="AK129" s="353"/>
      <c r="AL129" s="353"/>
      <c r="AM129" s="353"/>
      <c r="AN129" s="353"/>
      <c r="AO129" s="353"/>
      <c r="AP129" s="353"/>
      <c r="AQ129" s="353"/>
      <c r="AR129" s="353"/>
      <c r="AS129" s="353"/>
      <c r="AT129" s="354"/>
      <c r="AU129" s="353"/>
      <c r="AV129" s="353"/>
      <c r="AW129" s="353"/>
      <c r="AX129" s="353"/>
      <c r="AY129" s="353"/>
      <c r="AZ129" s="354"/>
      <c r="BA129" s="353"/>
      <c r="BB129" s="353"/>
      <c r="BC129" s="353"/>
      <c r="BD129" s="353"/>
      <c r="BE129" s="353"/>
      <c r="BF129" s="353"/>
      <c r="BG129" s="354"/>
      <c r="BH129" s="353"/>
      <c r="BI129" s="353"/>
      <c r="BJ129" s="385"/>
      <c r="BK129" s="353"/>
      <c r="BL129" s="353"/>
      <c r="BM129" s="353"/>
      <c r="BN129" s="353"/>
      <c r="BO129" s="353"/>
      <c r="BP129" s="353"/>
      <c r="BQ129" s="353"/>
      <c r="BR129" s="353"/>
      <c r="BS129" s="354"/>
      <c r="BT129" s="353"/>
      <c r="BU129" s="353"/>
      <c r="BV129" s="354"/>
      <c r="BW129" s="354"/>
      <c r="BX129" s="354"/>
    </row>
    <row r="130" spans="1:76" ht="11.25" customHeight="1" x14ac:dyDescent="0.25">
      <c r="A130" s="341" t="s">
        <v>133</v>
      </c>
      <c r="B130" s="342" t="s">
        <v>514</v>
      </c>
      <c r="C130" s="342"/>
      <c r="D130" s="342"/>
      <c r="E130" s="342"/>
      <c r="F130" s="343" t="s">
        <v>515</v>
      </c>
      <c r="G130" s="343"/>
      <c r="H130" s="353"/>
      <c r="I130" s="354"/>
      <c r="J130" s="353"/>
      <c r="K130" s="353"/>
      <c r="L130" s="353"/>
      <c r="M130" s="353"/>
      <c r="N130" s="353"/>
      <c r="O130" s="353"/>
      <c r="P130" s="353"/>
      <c r="Q130" s="353"/>
      <c r="R130" s="353"/>
      <c r="S130" s="353"/>
      <c r="T130" s="353"/>
      <c r="U130" s="353"/>
      <c r="V130" s="353"/>
      <c r="W130" s="354"/>
      <c r="X130" s="353"/>
      <c r="Y130" s="353"/>
      <c r="Z130" s="353"/>
      <c r="AA130" s="353"/>
      <c r="AB130" s="353"/>
      <c r="AC130" s="353"/>
      <c r="AD130" s="353"/>
      <c r="AE130" s="353"/>
      <c r="AF130" s="353"/>
      <c r="AG130" s="353"/>
      <c r="AH130" s="353"/>
      <c r="AI130" s="353"/>
      <c r="AJ130" s="353"/>
      <c r="AK130" s="353"/>
      <c r="AL130" s="353"/>
      <c r="AM130" s="353"/>
      <c r="AN130" s="353"/>
      <c r="AO130" s="353"/>
      <c r="AP130" s="353"/>
      <c r="AQ130" s="353"/>
      <c r="AR130" s="353"/>
      <c r="AS130" s="353"/>
      <c r="AT130" s="354"/>
      <c r="AU130" s="353"/>
      <c r="AV130" s="353"/>
      <c r="AW130" s="353"/>
      <c r="AX130" s="353"/>
      <c r="AY130" s="353"/>
      <c r="AZ130" s="354"/>
      <c r="BA130" s="353"/>
      <c r="BB130" s="353"/>
      <c r="BC130" s="353"/>
      <c r="BD130" s="353"/>
      <c r="BE130" s="353"/>
      <c r="BF130" s="353"/>
      <c r="BG130" s="354"/>
      <c r="BH130" s="353"/>
      <c r="BI130" s="353"/>
      <c r="BJ130" s="385"/>
      <c r="BK130" s="353"/>
      <c r="BL130" s="353"/>
      <c r="BM130" s="353"/>
      <c r="BN130" s="353"/>
      <c r="BO130" s="353"/>
      <c r="BP130" s="353"/>
      <c r="BQ130" s="353"/>
      <c r="BR130" s="353"/>
      <c r="BS130" s="354"/>
      <c r="BT130" s="353"/>
      <c r="BU130" s="353"/>
      <c r="BV130" s="354"/>
      <c r="BW130" s="354"/>
      <c r="BX130" s="354"/>
    </row>
    <row r="131" spans="1:76" ht="11.25" customHeight="1" x14ac:dyDescent="0.25">
      <c r="A131" s="341" t="s">
        <v>133</v>
      </c>
      <c r="B131" s="342" t="s">
        <v>516</v>
      </c>
      <c r="C131" s="342"/>
      <c r="D131" s="342"/>
      <c r="E131" s="342"/>
      <c r="F131" s="343" t="s">
        <v>517</v>
      </c>
      <c r="G131" s="343"/>
      <c r="H131" s="353"/>
      <c r="I131" s="354"/>
      <c r="J131" s="353"/>
      <c r="K131" s="353"/>
      <c r="L131" s="353"/>
      <c r="M131" s="353"/>
      <c r="N131" s="353"/>
      <c r="O131" s="353"/>
      <c r="P131" s="353"/>
      <c r="Q131" s="353"/>
      <c r="R131" s="353"/>
      <c r="S131" s="353"/>
      <c r="T131" s="353"/>
      <c r="U131" s="353"/>
      <c r="V131" s="353"/>
      <c r="W131" s="354"/>
      <c r="X131" s="353"/>
      <c r="Y131" s="353"/>
      <c r="Z131" s="353"/>
      <c r="AA131" s="353"/>
      <c r="AB131" s="353"/>
      <c r="AC131" s="353"/>
      <c r="AD131" s="353"/>
      <c r="AE131" s="353"/>
      <c r="AF131" s="353"/>
      <c r="AG131" s="353"/>
      <c r="AH131" s="353"/>
      <c r="AI131" s="353"/>
      <c r="AJ131" s="353"/>
      <c r="AK131" s="353"/>
      <c r="AL131" s="353"/>
      <c r="AM131" s="353"/>
      <c r="AN131" s="353"/>
      <c r="AO131" s="353"/>
      <c r="AP131" s="353"/>
      <c r="AQ131" s="353"/>
      <c r="AR131" s="353"/>
      <c r="AS131" s="353"/>
      <c r="AT131" s="354"/>
      <c r="AU131" s="353"/>
      <c r="AV131" s="353"/>
      <c r="AW131" s="353"/>
      <c r="AX131" s="353"/>
      <c r="AY131" s="353"/>
      <c r="AZ131" s="354"/>
      <c r="BA131" s="353"/>
      <c r="BB131" s="353"/>
      <c r="BC131" s="353"/>
      <c r="BD131" s="353"/>
      <c r="BE131" s="353"/>
      <c r="BF131" s="353"/>
      <c r="BG131" s="354"/>
      <c r="BH131" s="353"/>
      <c r="BI131" s="353"/>
      <c r="BJ131" s="385"/>
      <c r="BK131" s="353"/>
      <c r="BL131" s="353"/>
      <c r="BM131" s="353"/>
      <c r="BN131" s="353"/>
      <c r="BO131" s="353"/>
      <c r="BP131" s="353"/>
      <c r="BQ131" s="353"/>
      <c r="BR131" s="353"/>
      <c r="BS131" s="354"/>
      <c r="BT131" s="353"/>
      <c r="BU131" s="353"/>
      <c r="BV131" s="354"/>
      <c r="BW131" s="354"/>
      <c r="BX131" s="354"/>
    </row>
    <row r="132" spans="1:76" ht="11.25" customHeight="1" x14ac:dyDescent="0.25">
      <c r="A132" s="341" t="s">
        <v>133</v>
      </c>
      <c r="B132" s="342" t="s">
        <v>518</v>
      </c>
      <c r="C132" s="342"/>
      <c r="D132" s="342"/>
      <c r="E132" s="342"/>
      <c r="F132" s="343" t="s">
        <v>519</v>
      </c>
      <c r="G132" s="343"/>
      <c r="H132" s="353"/>
      <c r="I132" s="354"/>
      <c r="J132" s="353"/>
      <c r="K132" s="353"/>
      <c r="L132" s="353"/>
      <c r="M132" s="353"/>
      <c r="N132" s="353"/>
      <c r="O132" s="353"/>
      <c r="P132" s="353"/>
      <c r="Q132" s="353"/>
      <c r="R132" s="353"/>
      <c r="S132" s="353"/>
      <c r="T132" s="353"/>
      <c r="U132" s="353"/>
      <c r="V132" s="353"/>
      <c r="W132" s="354"/>
      <c r="X132" s="353"/>
      <c r="Y132" s="353"/>
      <c r="Z132" s="353"/>
      <c r="AA132" s="353"/>
      <c r="AB132" s="353"/>
      <c r="AC132" s="353"/>
      <c r="AD132" s="353"/>
      <c r="AE132" s="353"/>
      <c r="AF132" s="353"/>
      <c r="AG132" s="353"/>
      <c r="AH132" s="353"/>
      <c r="AI132" s="353"/>
      <c r="AJ132" s="353"/>
      <c r="AK132" s="353"/>
      <c r="AL132" s="353"/>
      <c r="AM132" s="353"/>
      <c r="AN132" s="353"/>
      <c r="AO132" s="353"/>
      <c r="AP132" s="353"/>
      <c r="AQ132" s="353"/>
      <c r="AR132" s="353"/>
      <c r="AS132" s="353"/>
      <c r="AT132" s="354"/>
      <c r="AU132" s="353"/>
      <c r="AV132" s="353"/>
      <c r="AW132" s="353"/>
      <c r="AX132" s="353"/>
      <c r="AY132" s="353"/>
      <c r="AZ132" s="354"/>
      <c r="BA132" s="353"/>
      <c r="BB132" s="353"/>
      <c r="BC132" s="353"/>
      <c r="BD132" s="353"/>
      <c r="BE132" s="353"/>
      <c r="BF132" s="353"/>
      <c r="BG132" s="354"/>
      <c r="BH132" s="353"/>
      <c r="BI132" s="353"/>
      <c r="BJ132" s="385"/>
      <c r="BK132" s="353"/>
      <c r="BL132" s="353"/>
      <c r="BM132" s="353"/>
      <c r="BN132" s="353"/>
      <c r="BO132" s="353"/>
      <c r="BP132" s="353"/>
      <c r="BQ132" s="353"/>
      <c r="BR132" s="353"/>
      <c r="BS132" s="354"/>
      <c r="BT132" s="353"/>
      <c r="BU132" s="353"/>
      <c r="BV132" s="354"/>
      <c r="BW132" s="354"/>
      <c r="BX132" s="354"/>
    </row>
    <row r="133" spans="1:76" ht="11.25" customHeight="1" x14ac:dyDescent="0.25">
      <c r="A133" s="341" t="s">
        <v>133</v>
      </c>
      <c r="B133" s="342" t="s">
        <v>520</v>
      </c>
      <c r="C133" s="342"/>
      <c r="D133" s="342"/>
      <c r="E133" s="342"/>
      <c r="F133" s="343" t="s">
        <v>521</v>
      </c>
      <c r="G133" s="343"/>
      <c r="H133" s="353"/>
      <c r="I133" s="354"/>
      <c r="J133" s="353"/>
      <c r="K133" s="353"/>
      <c r="L133" s="353"/>
      <c r="M133" s="353"/>
      <c r="N133" s="353"/>
      <c r="O133" s="353"/>
      <c r="P133" s="353"/>
      <c r="Q133" s="353"/>
      <c r="R133" s="353"/>
      <c r="S133" s="353"/>
      <c r="T133" s="353"/>
      <c r="U133" s="353"/>
      <c r="V133" s="353"/>
      <c r="W133" s="354"/>
      <c r="X133" s="353"/>
      <c r="Y133" s="353"/>
      <c r="Z133" s="353"/>
      <c r="AA133" s="353"/>
      <c r="AB133" s="353"/>
      <c r="AC133" s="353"/>
      <c r="AD133" s="353"/>
      <c r="AE133" s="353"/>
      <c r="AF133" s="353"/>
      <c r="AG133" s="353"/>
      <c r="AH133" s="353"/>
      <c r="AI133" s="353"/>
      <c r="AJ133" s="353"/>
      <c r="AK133" s="353"/>
      <c r="AL133" s="353"/>
      <c r="AM133" s="353"/>
      <c r="AN133" s="353"/>
      <c r="AO133" s="353"/>
      <c r="AP133" s="353"/>
      <c r="AQ133" s="353"/>
      <c r="AR133" s="353"/>
      <c r="AS133" s="353"/>
      <c r="AT133" s="354"/>
      <c r="AU133" s="353"/>
      <c r="AV133" s="353"/>
      <c r="AW133" s="353"/>
      <c r="AX133" s="353"/>
      <c r="AY133" s="353"/>
      <c r="AZ133" s="354"/>
      <c r="BA133" s="353"/>
      <c r="BB133" s="353"/>
      <c r="BC133" s="353"/>
      <c r="BD133" s="353"/>
      <c r="BE133" s="353"/>
      <c r="BF133" s="353"/>
      <c r="BG133" s="354"/>
      <c r="BH133" s="353"/>
      <c r="BI133" s="353"/>
      <c r="BJ133" s="385"/>
      <c r="BK133" s="353"/>
      <c r="BL133" s="353"/>
      <c r="BM133" s="353"/>
      <c r="BN133" s="353"/>
      <c r="BO133" s="353"/>
      <c r="BP133" s="353"/>
      <c r="BQ133" s="353"/>
      <c r="BR133" s="353"/>
      <c r="BS133" s="354"/>
      <c r="BT133" s="353"/>
      <c r="BU133" s="353"/>
      <c r="BV133" s="354"/>
      <c r="BW133" s="354"/>
      <c r="BX133" s="354"/>
    </row>
    <row r="134" spans="1:76" ht="11.25" customHeight="1" x14ac:dyDescent="0.25">
      <c r="A134" s="355" t="s">
        <v>133</v>
      </c>
      <c r="B134" s="356" t="s">
        <v>522</v>
      </c>
      <c r="C134" s="356"/>
      <c r="D134" s="356"/>
      <c r="E134" s="356"/>
      <c r="F134" s="357" t="s">
        <v>523</v>
      </c>
      <c r="G134" s="357"/>
      <c r="H134" s="358"/>
      <c r="I134" s="359"/>
      <c r="J134" s="358"/>
      <c r="K134" s="358"/>
      <c r="L134" s="358"/>
      <c r="M134" s="358"/>
      <c r="N134" s="358"/>
      <c r="O134" s="358"/>
      <c r="P134" s="358"/>
      <c r="Q134" s="358"/>
      <c r="R134" s="358"/>
      <c r="S134" s="358"/>
      <c r="T134" s="358"/>
      <c r="U134" s="358"/>
      <c r="V134" s="358"/>
      <c r="W134" s="359"/>
      <c r="X134" s="358"/>
      <c r="Y134" s="358"/>
      <c r="Z134" s="358"/>
      <c r="AA134" s="358"/>
      <c r="AB134" s="358"/>
      <c r="AC134" s="358"/>
      <c r="AD134" s="358"/>
      <c r="AE134" s="358"/>
      <c r="AF134" s="358"/>
      <c r="AG134" s="358"/>
      <c r="AH134" s="358"/>
      <c r="AI134" s="358"/>
      <c r="AJ134" s="358"/>
      <c r="AK134" s="358"/>
      <c r="AL134" s="358"/>
      <c r="AM134" s="358"/>
      <c r="AN134" s="358"/>
      <c r="AO134" s="358"/>
      <c r="AP134" s="358"/>
      <c r="AQ134" s="358"/>
      <c r="AR134" s="358"/>
      <c r="AS134" s="358"/>
      <c r="AT134" s="359"/>
      <c r="AU134" s="358"/>
      <c r="AV134" s="358"/>
      <c r="AW134" s="358"/>
      <c r="AX134" s="358"/>
      <c r="AY134" s="358"/>
      <c r="AZ134" s="359"/>
      <c r="BA134" s="358"/>
      <c r="BB134" s="358"/>
      <c r="BC134" s="358"/>
      <c r="BD134" s="358"/>
      <c r="BE134" s="358"/>
      <c r="BF134" s="358"/>
      <c r="BG134" s="359"/>
      <c r="BH134" s="358"/>
      <c r="BI134" s="358"/>
      <c r="BJ134" s="388"/>
      <c r="BK134" s="358"/>
      <c r="BL134" s="358"/>
      <c r="BM134" s="358"/>
      <c r="BN134" s="358"/>
      <c r="BO134" s="358"/>
      <c r="BP134" s="358"/>
      <c r="BQ134" s="358"/>
      <c r="BR134" s="358"/>
      <c r="BS134" s="359"/>
      <c r="BT134" s="358"/>
      <c r="BU134" s="358"/>
      <c r="BV134" s="359"/>
      <c r="BW134" s="359"/>
      <c r="BX134" s="359"/>
    </row>
    <row r="135" spans="1:76" ht="11.25" customHeight="1" x14ac:dyDescent="0.25">
      <c r="A135" s="363" t="s">
        <v>524</v>
      </c>
      <c r="B135" s="363"/>
      <c r="C135" s="363"/>
      <c r="D135" s="363"/>
      <c r="E135" s="363"/>
      <c r="F135" s="364" t="s">
        <v>525</v>
      </c>
      <c r="G135" s="364"/>
      <c r="H135" s="365"/>
      <c r="I135" s="366"/>
      <c r="J135" s="365"/>
      <c r="K135" s="365"/>
      <c r="L135" s="365"/>
      <c r="M135" s="365"/>
      <c r="N135" s="365"/>
      <c r="O135" s="365"/>
      <c r="P135" s="365"/>
      <c r="Q135" s="365"/>
      <c r="R135" s="365"/>
      <c r="S135" s="365"/>
      <c r="T135" s="365"/>
      <c r="U135" s="365"/>
      <c r="V135" s="365"/>
      <c r="W135" s="366"/>
      <c r="X135" s="365"/>
      <c r="Y135" s="365"/>
      <c r="Z135" s="365"/>
      <c r="AA135" s="365"/>
      <c r="AB135" s="365"/>
      <c r="AC135" s="365"/>
      <c r="AD135" s="365"/>
      <c r="AE135" s="365"/>
      <c r="AF135" s="365"/>
      <c r="AG135" s="365"/>
      <c r="AH135" s="365"/>
      <c r="AI135" s="365"/>
      <c r="AJ135" s="365"/>
      <c r="AK135" s="365"/>
      <c r="AL135" s="365"/>
      <c r="AM135" s="365"/>
      <c r="AN135" s="365"/>
      <c r="AO135" s="365"/>
      <c r="AP135" s="365"/>
      <c r="AQ135" s="365"/>
      <c r="AR135" s="365"/>
      <c r="AS135" s="365"/>
      <c r="AT135" s="391">
        <f>AU135</f>
        <v>1100</v>
      </c>
      <c r="AU135" s="368">
        <f>AU136*2</f>
        <v>1100</v>
      </c>
      <c r="AV135" s="365"/>
      <c r="AW135" s="365"/>
      <c r="AX135" s="365"/>
      <c r="AY135" s="365"/>
      <c r="AZ135" s="366"/>
      <c r="BA135" s="365"/>
      <c r="BB135" s="365"/>
      <c r="BC135" s="365"/>
      <c r="BD135" s="365"/>
      <c r="BE135" s="365"/>
      <c r="BF135" s="365"/>
      <c r="BG135" s="366"/>
      <c r="BH135" s="365"/>
      <c r="BI135" s="365"/>
      <c r="BJ135" s="389"/>
      <c r="BK135" s="365"/>
      <c r="BL135" s="365"/>
      <c r="BM135" s="365"/>
      <c r="BN135" s="365"/>
      <c r="BO135" s="365"/>
      <c r="BP135" s="365"/>
      <c r="BQ135" s="365"/>
      <c r="BR135" s="365"/>
      <c r="BS135" s="366"/>
      <c r="BT135" s="365"/>
      <c r="BU135" s="365"/>
      <c r="BV135" s="366"/>
      <c r="BW135" s="391"/>
      <c r="BX135" s="391"/>
    </row>
    <row r="136" spans="1:76" ht="11.25" customHeight="1" x14ac:dyDescent="0.25">
      <c r="A136" s="355"/>
      <c r="B136" s="356" t="s">
        <v>133</v>
      </c>
      <c r="C136" s="356" t="s">
        <v>1014</v>
      </c>
      <c r="D136" s="356"/>
      <c r="E136" s="356"/>
      <c r="F136" s="357" t="s">
        <v>830</v>
      </c>
      <c r="G136" s="357"/>
      <c r="H136" s="358"/>
      <c r="I136" s="359"/>
      <c r="J136" s="358"/>
      <c r="K136" s="358"/>
      <c r="L136" s="358"/>
      <c r="M136" s="358"/>
      <c r="N136" s="358"/>
      <c r="O136" s="358"/>
      <c r="P136" s="358"/>
      <c r="Q136" s="358"/>
      <c r="R136" s="358"/>
      <c r="S136" s="358"/>
      <c r="T136" s="358"/>
      <c r="U136" s="358"/>
      <c r="V136" s="358"/>
      <c r="W136" s="359"/>
      <c r="X136" s="358"/>
      <c r="Y136" s="358"/>
      <c r="Z136" s="358"/>
      <c r="AA136" s="358"/>
      <c r="AB136" s="358"/>
      <c r="AC136" s="358"/>
      <c r="AD136" s="358"/>
      <c r="AE136" s="358"/>
      <c r="AF136" s="358"/>
      <c r="AG136" s="358"/>
      <c r="AH136" s="358"/>
      <c r="AI136" s="358"/>
      <c r="AJ136" s="358"/>
      <c r="AK136" s="358"/>
      <c r="AL136" s="358"/>
      <c r="AM136" s="358"/>
      <c r="AN136" s="358"/>
      <c r="AO136" s="358"/>
      <c r="AP136" s="358"/>
      <c r="AQ136" s="358"/>
      <c r="AR136" s="358"/>
      <c r="AS136" s="358"/>
      <c r="AT136" s="360">
        <f>AU136</f>
        <v>550</v>
      </c>
      <c r="AU136" s="361">
        <v>550</v>
      </c>
      <c r="AV136" s="358"/>
      <c r="AW136" s="358"/>
      <c r="AX136" s="358"/>
      <c r="AY136" s="358"/>
      <c r="AZ136" s="359"/>
      <c r="BA136" s="358"/>
      <c r="BB136" s="358"/>
      <c r="BC136" s="358"/>
      <c r="BD136" s="358"/>
      <c r="BE136" s="358"/>
      <c r="BF136" s="358"/>
      <c r="BG136" s="359"/>
      <c r="BH136" s="358"/>
      <c r="BI136" s="358"/>
      <c r="BJ136" s="388"/>
      <c r="BK136" s="358"/>
      <c r="BL136" s="358"/>
      <c r="BM136" s="358"/>
      <c r="BN136" s="358"/>
      <c r="BO136" s="358"/>
      <c r="BP136" s="358"/>
      <c r="BQ136" s="358"/>
      <c r="BR136" s="358"/>
      <c r="BS136" s="359"/>
      <c r="BT136" s="358"/>
      <c r="BU136" s="358"/>
      <c r="BV136" s="359"/>
      <c r="BW136" s="359"/>
      <c r="BX136" s="3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PRI_Coal</vt:lpstr>
      <vt:lpstr>PRI_Oil</vt:lpstr>
      <vt:lpstr>PRI_Gas</vt:lpstr>
      <vt:lpstr>PRI_RES</vt:lpstr>
      <vt:lpstr>PRI_Bio</vt:lpstr>
      <vt:lpstr>TRN_Bio</vt:lpstr>
      <vt:lpstr>TRN_Coal</vt:lpstr>
      <vt:lpstr>TRN_Oil</vt:lpstr>
      <vt:lpstr>En.Bal-Primary-Transf.</vt:lpstr>
      <vt:lpstr>Commodities</vt:lpstr>
      <vt:lpstr>SUP_Fuel</vt:lpstr>
      <vt:lpstr>Emissions_table</vt:lpstr>
      <vt:lpstr>General</vt:lpstr>
      <vt:lpstr>BASE_YEAR</vt:lpstr>
      <vt:lpstr>END_YEAR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Rocco De Miglio</cp:lastModifiedBy>
  <cp:lastPrinted>2004-11-16T14:57:57Z</cp:lastPrinted>
  <dcterms:created xsi:type="dcterms:W3CDTF">2000-12-13T15:53:11Z</dcterms:created>
  <dcterms:modified xsi:type="dcterms:W3CDTF">2022-09-23T19:05:18Z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909815430641174</vt:r8>
  </property>
</Properties>
</file>