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BC0F9EE2-FF79-4396-ACC5-63414B3B770E}" xr6:coauthVersionLast="47" xr6:coauthVersionMax="47" xr10:uidLastSave="{00000000-0000-0000-0000-000000000000}"/>
  <bookViews>
    <workbookView xWindow="372" yWindow="0" windowWidth="22668" windowHeight="12240" tabRatio="901" xr2:uid="{00000000-000D-0000-FFFF-FFFF00000000}"/>
  </bookViews>
  <sheets>
    <sheet name="TRA_BAL" sheetId="138" r:id="rId1"/>
    <sheet name="En.Bal-Final_Energy" sheetId="137" state="hidden" r:id="rId2"/>
    <sheet name="Data" sheetId="150" state="hidden" r:id="rId3"/>
    <sheet name="Tech_Road_Cars" sheetId="140" r:id="rId4"/>
    <sheet name="Tech_Road_Freight" sheetId="143" r:id="rId5"/>
    <sheet name="Tech_Rail_Nav_Av" sheetId="145" r:id="rId6"/>
    <sheet name="Tech_Road_Bus" sheetId="141" r:id="rId7"/>
    <sheet name="TRA_Fuels" sheetId="149" r:id="rId8"/>
    <sheet name="Emissions_Table" sheetId="134" r:id="rId9"/>
    <sheet name="Commodities" sheetId="135" r:id="rId10"/>
    <sheet name="General" sheetId="136" state="hidden" r:id="rId11"/>
  </sheets>
  <definedNames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38" l="1"/>
  <c r="G14" i="138" l="1"/>
  <c r="AL29" i="137" l="1"/>
  <c r="I41" i="145" l="1"/>
  <c r="N41" i="145"/>
  <c r="E33" i="145"/>
  <c r="K17" i="138" l="1"/>
  <c r="J17" i="138"/>
  <c r="I17" i="138"/>
  <c r="H17" i="138"/>
  <c r="G17" i="138"/>
  <c r="AF29" i="137" l="1"/>
  <c r="AL27" i="137"/>
  <c r="G37" i="149" l="1"/>
  <c r="G36" i="149"/>
  <c r="E38" i="149" l="1"/>
  <c r="D37" i="149"/>
  <c r="C37" i="149"/>
  <c r="B37" i="149"/>
  <c r="R19" i="149"/>
  <c r="U19" i="149"/>
  <c r="T19" i="149"/>
  <c r="I57" i="138" l="1"/>
  <c r="I56" i="138"/>
  <c r="I55" i="138"/>
  <c r="I54" i="138"/>
  <c r="H50" i="138"/>
  <c r="Q25" i="138" l="1"/>
  <c r="Q22" i="138"/>
  <c r="O22" i="138"/>
  <c r="Q20" i="138"/>
  <c r="AF45" i="137"/>
  <c r="AF46" i="137"/>
  <c r="S24" i="138"/>
  <c r="AU46" i="137"/>
  <c r="AU50" i="137"/>
  <c r="O20" i="138"/>
  <c r="R23" i="138" l="1"/>
  <c r="S23" i="138" s="1"/>
  <c r="O21" i="138" l="1"/>
  <c r="R21" i="138"/>
  <c r="Q21" i="138"/>
  <c r="P21" i="138"/>
  <c r="C26" i="145" l="1"/>
  <c r="E22" i="149" l="1"/>
  <c r="C22" i="149"/>
  <c r="R17" i="149"/>
  <c r="B22" i="149" s="1"/>
  <c r="U17" i="149"/>
  <c r="T17" i="149"/>
  <c r="I35" i="138" l="1"/>
  <c r="G30" i="138"/>
  <c r="I34" i="138"/>
  <c r="I31" i="138"/>
  <c r="I30" i="138" s="1"/>
  <c r="I33" i="138"/>
  <c r="I26" i="145"/>
  <c r="H26" i="145"/>
  <c r="I18" i="145"/>
  <c r="H18" i="145"/>
  <c r="F26" i="145"/>
  <c r="F25" i="145"/>
  <c r="F18" i="145"/>
  <c r="F17" i="145"/>
  <c r="E18" i="145"/>
  <c r="D18" i="145"/>
  <c r="D26" i="145"/>
  <c r="E26" i="145"/>
  <c r="C18" i="145"/>
  <c r="T19" i="145"/>
  <c r="B26" i="145" s="1"/>
  <c r="W19" i="145"/>
  <c r="V19" i="145"/>
  <c r="T18" i="145"/>
  <c r="B18" i="145" s="1"/>
  <c r="W18" i="145"/>
  <c r="V18" i="145"/>
  <c r="S21" i="138"/>
  <c r="R24" i="138"/>
  <c r="O24" i="138"/>
  <c r="N18" i="145" l="1"/>
  <c r="N26" i="145"/>
  <c r="G48" i="150" l="1"/>
  <c r="P7" i="134" l="1"/>
  <c r="L7" i="134"/>
  <c r="K7" i="134"/>
  <c r="J7" i="134"/>
  <c r="I7" i="134"/>
  <c r="H7" i="134"/>
  <c r="G7" i="134"/>
  <c r="F7" i="134"/>
  <c r="E7" i="134"/>
  <c r="D7" i="134"/>
  <c r="C7" i="134"/>
  <c r="P6" i="134"/>
  <c r="L6" i="134"/>
  <c r="K6" i="134"/>
  <c r="J6" i="134"/>
  <c r="I6" i="134"/>
  <c r="H6" i="134"/>
  <c r="G6" i="134"/>
  <c r="F6" i="134"/>
  <c r="E6" i="134"/>
  <c r="D6" i="134"/>
  <c r="C6" i="134"/>
  <c r="AF21" i="138" l="1"/>
  <c r="AM44" i="137" l="1"/>
  <c r="L45" i="137"/>
  <c r="M45" i="137"/>
  <c r="N45" i="137"/>
  <c r="O45" i="137"/>
  <c r="P45" i="137"/>
  <c r="Q45" i="137"/>
  <c r="R45" i="137"/>
  <c r="S45" i="137"/>
  <c r="T45" i="137"/>
  <c r="U45" i="137"/>
  <c r="V45" i="137"/>
  <c r="W45" i="137"/>
  <c r="X45" i="137"/>
  <c r="Y45" i="137"/>
  <c r="Z45" i="137"/>
  <c r="AA45" i="137"/>
  <c r="AB45" i="137"/>
  <c r="AC45" i="137"/>
  <c r="AD45" i="137"/>
  <c r="AE45" i="137"/>
  <c r="AG45" i="137"/>
  <c r="AH45" i="137"/>
  <c r="AI45" i="137"/>
  <c r="AJ45" i="137"/>
  <c r="AK45" i="137"/>
  <c r="AL45" i="137"/>
  <c r="AM45" i="137"/>
  <c r="AN45" i="137"/>
  <c r="AO45" i="137"/>
  <c r="AP45" i="137"/>
  <c r="AQ45" i="137"/>
  <c r="AR45" i="137"/>
  <c r="AS45" i="137"/>
  <c r="AT45" i="137"/>
  <c r="AV45" i="137"/>
  <c r="AW45" i="137"/>
  <c r="AX45" i="137"/>
  <c r="AY45" i="137"/>
  <c r="AZ45" i="137"/>
  <c r="BA45" i="137"/>
  <c r="BB45" i="137"/>
  <c r="BC45" i="137"/>
  <c r="BD45" i="137"/>
  <c r="BE45" i="137"/>
  <c r="BF45" i="137"/>
  <c r="BG45" i="137"/>
  <c r="BH45" i="137"/>
  <c r="BI45" i="137"/>
  <c r="BJ45" i="137"/>
  <c r="BK45" i="137"/>
  <c r="BL45" i="137"/>
  <c r="BM45" i="137"/>
  <c r="BN45" i="137"/>
  <c r="BO45" i="137"/>
  <c r="BP45" i="137"/>
  <c r="BQ45" i="137"/>
  <c r="BR45" i="137"/>
  <c r="BS45" i="137"/>
  <c r="BT45" i="137"/>
  <c r="L46" i="137"/>
  <c r="M46" i="137"/>
  <c r="N46" i="137"/>
  <c r="O46" i="137"/>
  <c r="P46" i="137"/>
  <c r="Q46" i="137"/>
  <c r="R46" i="137"/>
  <c r="S46" i="137"/>
  <c r="T46" i="137"/>
  <c r="U46" i="137"/>
  <c r="V46" i="137"/>
  <c r="W46" i="137"/>
  <c r="X46" i="137"/>
  <c r="Y46" i="137"/>
  <c r="Z46" i="137"/>
  <c r="AA46" i="137"/>
  <c r="AB46" i="137"/>
  <c r="AC46" i="137"/>
  <c r="AD46" i="137"/>
  <c r="AE46" i="137"/>
  <c r="AG46" i="137"/>
  <c r="AH46" i="137"/>
  <c r="AI46" i="137"/>
  <c r="AJ46" i="137"/>
  <c r="AK46" i="137"/>
  <c r="AL46" i="137"/>
  <c r="AM46" i="137"/>
  <c r="AN46" i="137"/>
  <c r="AO46" i="137"/>
  <c r="AP46" i="137"/>
  <c r="AQ46" i="137"/>
  <c r="AR46" i="137"/>
  <c r="AS46" i="137"/>
  <c r="AT46" i="137"/>
  <c r="AV46" i="137"/>
  <c r="AW46" i="137"/>
  <c r="AX46" i="137"/>
  <c r="AY46" i="137"/>
  <c r="AZ46" i="137"/>
  <c r="BA46" i="137"/>
  <c r="BB46" i="137"/>
  <c r="BC46" i="137"/>
  <c r="BD46" i="137"/>
  <c r="BE46" i="137"/>
  <c r="BF46" i="137"/>
  <c r="BG46" i="137"/>
  <c r="BH46" i="137"/>
  <c r="BI46" i="137"/>
  <c r="BJ46" i="137"/>
  <c r="BK46" i="137"/>
  <c r="BL46" i="137"/>
  <c r="BM46" i="137"/>
  <c r="BN46" i="137"/>
  <c r="BO46" i="137"/>
  <c r="BP46" i="137"/>
  <c r="BQ46" i="137"/>
  <c r="BR46" i="137"/>
  <c r="BS46" i="137"/>
  <c r="BT46" i="137"/>
  <c r="L47" i="137"/>
  <c r="M47" i="137"/>
  <c r="N47" i="137"/>
  <c r="O47" i="137"/>
  <c r="P47" i="137"/>
  <c r="Q47" i="137"/>
  <c r="R47" i="137"/>
  <c r="S47" i="137"/>
  <c r="T47" i="137"/>
  <c r="U47" i="137"/>
  <c r="V47" i="137"/>
  <c r="W47" i="137"/>
  <c r="X47" i="137"/>
  <c r="Y47" i="137"/>
  <c r="Z47" i="137"/>
  <c r="AA47" i="137"/>
  <c r="AB47" i="137"/>
  <c r="AC47" i="137"/>
  <c r="AD47" i="137"/>
  <c r="AE47" i="137"/>
  <c r="C7" i="138" s="1" a="1"/>
  <c r="C7" i="138" s="1"/>
  <c r="AF47" i="137"/>
  <c r="AG47" i="137"/>
  <c r="AH47" i="137"/>
  <c r="AI47" i="137"/>
  <c r="AJ47" i="137"/>
  <c r="AK47" i="137"/>
  <c r="AL47" i="137"/>
  <c r="AM47" i="137"/>
  <c r="AN47" i="137"/>
  <c r="AO47" i="137"/>
  <c r="AP47" i="137"/>
  <c r="AQ47" i="137"/>
  <c r="AR47" i="137"/>
  <c r="AS47" i="137"/>
  <c r="AT47" i="137"/>
  <c r="AU47" i="137"/>
  <c r="AV47" i="137"/>
  <c r="AW47" i="137"/>
  <c r="AX47" i="137"/>
  <c r="AY47" i="137"/>
  <c r="AZ47" i="137"/>
  <c r="BA47" i="137"/>
  <c r="BB47" i="137"/>
  <c r="BC47" i="137"/>
  <c r="BD47" i="137"/>
  <c r="BE47" i="137"/>
  <c r="BF47" i="137"/>
  <c r="BG47" i="137"/>
  <c r="BH47" i="137"/>
  <c r="BI47" i="137"/>
  <c r="BJ47" i="137"/>
  <c r="BK47" i="137"/>
  <c r="BL47" i="137"/>
  <c r="BM47" i="137"/>
  <c r="BN47" i="137"/>
  <c r="BO47" i="137"/>
  <c r="BP47" i="137"/>
  <c r="BQ47" i="137"/>
  <c r="BR47" i="137"/>
  <c r="BS47" i="137"/>
  <c r="BT47" i="137"/>
  <c r="L48" i="137"/>
  <c r="M48" i="137"/>
  <c r="N48" i="137"/>
  <c r="O48" i="137"/>
  <c r="P48" i="137"/>
  <c r="Q48" i="137"/>
  <c r="R48" i="137"/>
  <c r="S48" i="137"/>
  <c r="T48" i="137"/>
  <c r="U48" i="137"/>
  <c r="V48" i="137"/>
  <c r="W48" i="137"/>
  <c r="X48" i="137"/>
  <c r="Y48" i="137"/>
  <c r="Z48" i="137"/>
  <c r="AA48" i="137"/>
  <c r="AB48" i="137"/>
  <c r="AC48" i="137"/>
  <c r="AD48" i="137"/>
  <c r="AE48" i="137"/>
  <c r="AF48" i="137"/>
  <c r="AG48" i="137"/>
  <c r="AH48" i="137"/>
  <c r="AI48" i="137"/>
  <c r="AJ48" i="137"/>
  <c r="AK48" i="137"/>
  <c r="AL48" i="137"/>
  <c r="AM48" i="137"/>
  <c r="AN48" i="137"/>
  <c r="AO48" i="137"/>
  <c r="AP48" i="137"/>
  <c r="AQ48" i="137"/>
  <c r="AR48" i="137"/>
  <c r="AS48" i="137"/>
  <c r="AT48" i="137"/>
  <c r="AU48" i="137"/>
  <c r="AV48" i="137"/>
  <c r="AW48" i="137"/>
  <c r="AX48" i="137"/>
  <c r="AY48" i="137"/>
  <c r="AZ48" i="137"/>
  <c r="BA48" i="137"/>
  <c r="BB48" i="137"/>
  <c r="BC48" i="137"/>
  <c r="BD48" i="137"/>
  <c r="BE48" i="137"/>
  <c r="BF48" i="137"/>
  <c r="BG48" i="137"/>
  <c r="BH48" i="137"/>
  <c r="BI48" i="137"/>
  <c r="BJ48" i="137"/>
  <c r="BK48" i="137"/>
  <c r="BL48" i="137"/>
  <c r="BM48" i="137"/>
  <c r="BN48" i="137"/>
  <c r="BO48" i="137"/>
  <c r="BP48" i="137"/>
  <c r="BQ48" i="137"/>
  <c r="BR48" i="137"/>
  <c r="BS48" i="137"/>
  <c r="BT48" i="137"/>
  <c r="L49" i="137"/>
  <c r="M49" i="137"/>
  <c r="N49" i="137"/>
  <c r="O49" i="137"/>
  <c r="P49" i="137"/>
  <c r="Q49" i="137"/>
  <c r="R49" i="137"/>
  <c r="S49" i="137"/>
  <c r="T49" i="137"/>
  <c r="U49" i="137"/>
  <c r="V49" i="137"/>
  <c r="W49" i="137"/>
  <c r="X49" i="137"/>
  <c r="Y49" i="137"/>
  <c r="Z49" i="137"/>
  <c r="AA49" i="137"/>
  <c r="AB49" i="137"/>
  <c r="AC49" i="137"/>
  <c r="AD49" i="137"/>
  <c r="AE49" i="137"/>
  <c r="AF49" i="137"/>
  <c r="AG49" i="137"/>
  <c r="AH49" i="137"/>
  <c r="AI49" i="137"/>
  <c r="AJ49" i="137"/>
  <c r="AK49" i="137"/>
  <c r="AL49" i="137"/>
  <c r="AM49" i="137"/>
  <c r="AN49" i="137"/>
  <c r="AO49" i="137"/>
  <c r="AP49" i="137"/>
  <c r="AQ49" i="137"/>
  <c r="AR49" i="137"/>
  <c r="AS49" i="137"/>
  <c r="AT49" i="137"/>
  <c r="AU49" i="137"/>
  <c r="AV49" i="137"/>
  <c r="AW49" i="137"/>
  <c r="AX49" i="137"/>
  <c r="AY49" i="137"/>
  <c r="AZ49" i="137"/>
  <c r="BA49" i="137"/>
  <c r="BB49" i="137"/>
  <c r="BC49" i="137"/>
  <c r="BD49" i="137"/>
  <c r="BE49" i="137"/>
  <c r="BF49" i="137"/>
  <c r="BG49" i="137"/>
  <c r="BH49" i="137"/>
  <c r="BI49" i="137"/>
  <c r="BJ49" i="137"/>
  <c r="BK49" i="137"/>
  <c r="BL49" i="137"/>
  <c r="BM49" i="137"/>
  <c r="BN49" i="137"/>
  <c r="BO49" i="137"/>
  <c r="BP49" i="137"/>
  <c r="BQ49" i="137"/>
  <c r="BR49" i="137"/>
  <c r="BS49" i="137"/>
  <c r="BT49" i="137"/>
  <c r="L50" i="137"/>
  <c r="M50" i="137"/>
  <c r="N50" i="137"/>
  <c r="O50" i="137"/>
  <c r="P50" i="137"/>
  <c r="Q50" i="137"/>
  <c r="R50" i="137"/>
  <c r="S50" i="137"/>
  <c r="T50" i="137"/>
  <c r="U50" i="137"/>
  <c r="V50" i="137"/>
  <c r="W50" i="137"/>
  <c r="X50" i="137"/>
  <c r="Y50" i="137"/>
  <c r="Z50" i="137"/>
  <c r="AA50" i="137"/>
  <c r="AB50" i="137"/>
  <c r="AC50" i="137"/>
  <c r="AD50" i="137"/>
  <c r="AE50" i="137"/>
  <c r="AF50" i="137"/>
  <c r="AG50" i="137"/>
  <c r="AH50" i="137"/>
  <c r="AI50" i="137"/>
  <c r="AJ50" i="137"/>
  <c r="AK50" i="137"/>
  <c r="AL50" i="137"/>
  <c r="AM50" i="137"/>
  <c r="AN50" i="137"/>
  <c r="AO50" i="137"/>
  <c r="AP50" i="137"/>
  <c r="AQ50" i="137"/>
  <c r="AR50" i="137"/>
  <c r="AS50" i="137"/>
  <c r="AT50" i="137"/>
  <c r="AV50" i="137"/>
  <c r="AW50" i="137"/>
  <c r="AX50" i="137"/>
  <c r="AY50" i="137"/>
  <c r="AZ50" i="137"/>
  <c r="BA50" i="137"/>
  <c r="BB50" i="137"/>
  <c r="BC50" i="137"/>
  <c r="BD50" i="137"/>
  <c r="BE50" i="137"/>
  <c r="BF50" i="137"/>
  <c r="BG50" i="137"/>
  <c r="BH50" i="137"/>
  <c r="BI50" i="137"/>
  <c r="BJ50" i="137"/>
  <c r="BK50" i="137"/>
  <c r="BL50" i="137"/>
  <c r="BM50" i="137"/>
  <c r="BN50" i="137"/>
  <c r="BO50" i="137"/>
  <c r="BP50" i="137"/>
  <c r="BQ50" i="137"/>
  <c r="BR50" i="137"/>
  <c r="BS50" i="137"/>
  <c r="BT50" i="137"/>
  <c r="L51" i="137"/>
  <c r="M51" i="137"/>
  <c r="N51" i="137"/>
  <c r="O51" i="137"/>
  <c r="P51" i="137"/>
  <c r="Q51" i="137"/>
  <c r="R51" i="137"/>
  <c r="S51" i="137"/>
  <c r="T51" i="137"/>
  <c r="U51" i="137"/>
  <c r="V51" i="137"/>
  <c r="W51" i="137"/>
  <c r="X51" i="137"/>
  <c r="Y51" i="137"/>
  <c r="Z51" i="137"/>
  <c r="AA51" i="137"/>
  <c r="AB51" i="137"/>
  <c r="AC51" i="137"/>
  <c r="AD51" i="137"/>
  <c r="AE51" i="137"/>
  <c r="AF51" i="137"/>
  <c r="AG51" i="137"/>
  <c r="AH51" i="137"/>
  <c r="AI51" i="137"/>
  <c r="AJ51" i="137"/>
  <c r="AK51" i="137"/>
  <c r="AL51" i="137"/>
  <c r="AM51" i="137"/>
  <c r="AN51" i="137"/>
  <c r="AO51" i="137"/>
  <c r="AP51" i="137"/>
  <c r="AQ51" i="137"/>
  <c r="AR51" i="137"/>
  <c r="AS51" i="137"/>
  <c r="AT51" i="137"/>
  <c r="AU51" i="137"/>
  <c r="AV51" i="137"/>
  <c r="AW51" i="137"/>
  <c r="AX51" i="137"/>
  <c r="AY51" i="137"/>
  <c r="AZ51" i="137"/>
  <c r="BA51" i="137"/>
  <c r="BB51" i="137"/>
  <c r="BC51" i="137"/>
  <c r="BD51" i="137"/>
  <c r="BE51" i="137"/>
  <c r="BF51" i="137"/>
  <c r="BG51" i="137"/>
  <c r="BH51" i="137"/>
  <c r="BI51" i="137"/>
  <c r="BJ51" i="137"/>
  <c r="BK51" i="137"/>
  <c r="BL51" i="137"/>
  <c r="BM51" i="137"/>
  <c r="BN51" i="137"/>
  <c r="BO51" i="137"/>
  <c r="BP51" i="137"/>
  <c r="BQ51" i="137"/>
  <c r="BR51" i="137"/>
  <c r="BS51" i="137"/>
  <c r="BT51" i="137"/>
  <c r="K51" i="137"/>
  <c r="K50" i="137"/>
  <c r="K49" i="137"/>
  <c r="K48" i="137"/>
  <c r="K47" i="137"/>
  <c r="K46" i="137"/>
  <c r="K45" i="137"/>
  <c r="K44" i="137"/>
  <c r="X44" i="137"/>
  <c r="BS44" i="137"/>
  <c r="BH44" i="137"/>
  <c r="BG44" i="137"/>
  <c r="BF44" i="137"/>
  <c r="AU44" i="137"/>
  <c r="AP44" i="137"/>
  <c r="AO44" i="137"/>
  <c r="AJ44" i="137"/>
  <c r="AH44" i="137"/>
  <c r="BU51" i="137" l="1"/>
  <c r="BU46" i="137"/>
  <c r="BU48" i="137"/>
  <c r="BU49" i="137"/>
  <c r="BU45" i="137"/>
  <c r="BU50" i="137"/>
  <c r="BU47" i="137"/>
  <c r="O32" i="138"/>
  <c r="O25" i="138"/>
  <c r="R31" i="150"/>
  <c r="Q31" i="150"/>
  <c r="P31" i="150"/>
  <c r="AE21" i="138" l="1"/>
  <c r="K5" i="138" a="1"/>
  <c r="K5" i="138" s="1"/>
  <c r="D5" i="138" a="1"/>
  <c r="D5" i="138" s="1"/>
  <c r="E5" i="138" a="1"/>
  <c r="E5" i="138" s="1"/>
  <c r="F5" i="138" a="1"/>
  <c r="F5" i="138" s="1"/>
  <c r="G5" i="138" a="1"/>
  <c r="G5" i="138" s="1"/>
  <c r="P50" i="138" s="1"/>
  <c r="H5" i="138" a="1"/>
  <c r="H5" i="138" s="1"/>
  <c r="I5" i="138" a="1"/>
  <c r="I5" i="138" s="1"/>
  <c r="J5" i="138" a="1"/>
  <c r="J5" i="138" s="1"/>
  <c r="C5" i="138" a="1"/>
  <c r="C5" i="138" s="1"/>
  <c r="C51" i="137"/>
  <c r="C50" i="137"/>
  <c r="C49" i="137"/>
  <c r="C48" i="137"/>
  <c r="C47" i="137"/>
  <c r="C46" i="137"/>
  <c r="C45" i="137"/>
  <c r="B44" i="137"/>
  <c r="N44" i="137"/>
  <c r="AE44" i="137"/>
  <c r="AF44" i="137"/>
  <c r="AI44" i="137"/>
  <c r="AL44" i="137"/>
  <c r="AS44" i="137"/>
  <c r="BK44" i="137"/>
  <c r="BT44" i="137"/>
  <c r="BU27" i="137"/>
  <c r="BU44" i="137" l="1"/>
  <c r="P49" i="138"/>
  <c r="I51" i="138"/>
  <c r="G26" i="145" s="1"/>
  <c r="P26" i="145" s="1"/>
  <c r="I49" i="138"/>
  <c r="G32" i="138"/>
  <c r="G18" i="145" l="1"/>
  <c r="P18" i="145" s="1"/>
  <c r="O49" i="138"/>
  <c r="P4" i="134"/>
  <c r="D50" i="140" l="1"/>
  <c r="D18" i="140" s="1"/>
  <c r="B50" i="140"/>
  <c r="K9" i="149" l="1"/>
  <c r="H43" i="138" l="1"/>
  <c r="C6" i="140" l="1"/>
  <c r="C7" i="140"/>
  <c r="C8" i="140"/>
  <c r="D6" i="140"/>
  <c r="D7" i="140"/>
  <c r="D8" i="140"/>
  <c r="P12" i="150" l="1"/>
  <c r="J43" i="138" l="1"/>
  <c r="K43" i="138"/>
  <c r="H42" i="138"/>
  <c r="I42" i="138"/>
  <c r="J42" i="138"/>
  <c r="K42" i="138"/>
  <c r="G42" i="138"/>
  <c r="H41" i="138"/>
  <c r="I41" i="138"/>
  <c r="J41" i="138"/>
  <c r="K41" i="138"/>
  <c r="G41" i="138"/>
  <c r="H40" i="138"/>
  <c r="I40" i="138"/>
  <c r="J40" i="138"/>
  <c r="K40" i="138"/>
  <c r="G40" i="138"/>
  <c r="H39" i="138"/>
  <c r="I39" i="138"/>
  <c r="J39" i="138"/>
  <c r="K39" i="138"/>
  <c r="G39" i="138"/>
  <c r="H38" i="138"/>
  <c r="I38" i="138"/>
  <c r="J38" i="138"/>
  <c r="K38" i="138"/>
  <c r="G38" i="138"/>
  <c r="H29" i="143" l="1"/>
  <c r="H28" i="143"/>
  <c r="H27" i="143"/>
  <c r="H26" i="143"/>
  <c r="F28" i="143"/>
  <c r="I18" i="143"/>
  <c r="I17" i="143"/>
  <c r="I16" i="143"/>
  <c r="H18" i="143"/>
  <c r="H17" i="143"/>
  <c r="H16" i="143"/>
  <c r="C17" i="143"/>
  <c r="C18" i="143"/>
  <c r="U17" i="143"/>
  <c r="V17" i="143"/>
  <c r="U18" i="143"/>
  <c r="V18" i="143"/>
  <c r="P41" i="145"/>
  <c r="O24" i="145"/>
  <c r="O16" i="145"/>
  <c r="I54" i="150"/>
  <c r="I53" i="150"/>
  <c r="I44" i="150"/>
  <c r="J44" i="150"/>
  <c r="K44" i="150"/>
  <c r="K43" i="150"/>
  <c r="J43" i="150"/>
  <c r="I43" i="150"/>
  <c r="T31" i="150"/>
  <c r="U31" i="150"/>
  <c r="V31" i="150"/>
  <c r="U30" i="150"/>
  <c r="F26" i="143" s="1"/>
  <c r="V30" i="150"/>
  <c r="F29" i="143" s="1"/>
  <c r="T30" i="150"/>
  <c r="F27" i="143" s="1"/>
  <c r="Q30" i="150"/>
  <c r="F16" i="143" s="1"/>
  <c r="R30" i="150"/>
  <c r="F18" i="143" s="1"/>
  <c r="P30" i="150"/>
  <c r="S31" i="150"/>
  <c r="S30" i="150"/>
  <c r="P13" i="150"/>
  <c r="Q13" i="150"/>
  <c r="R13" i="150"/>
  <c r="S13" i="150"/>
  <c r="T13" i="150"/>
  <c r="U13" i="150"/>
  <c r="U12" i="150"/>
  <c r="T12" i="150"/>
  <c r="S12" i="150"/>
  <c r="R12" i="150"/>
  <c r="Q12" i="150"/>
  <c r="O30" i="138" l="1"/>
  <c r="F17" i="143"/>
  <c r="N17" i="143" s="1"/>
  <c r="AH21" i="138"/>
  <c r="O34" i="138"/>
  <c r="N18" i="143"/>
  <c r="N16" i="143"/>
  <c r="C18" i="141"/>
  <c r="I18" i="141" s="1"/>
  <c r="B18" i="141"/>
  <c r="O33" i="138" l="1"/>
  <c r="O31" i="138"/>
  <c r="F18" i="141"/>
  <c r="F6" i="143"/>
  <c r="H18" i="141"/>
  <c r="AG21" i="138"/>
  <c r="I25" i="145" l="1"/>
  <c r="I17" i="145"/>
  <c r="H25" i="145"/>
  <c r="H17" i="145"/>
  <c r="N42" i="145"/>
  <c r="N25" i="145" l="1"/>
  <c r="F6" i="145" s="1"/>
  <c r="O41" i="145"/>
  <c r="I29" i="143"/>
  <c r="I28" i="143"/>
  <c r="I27" i="143"/>
  <c r="I26" i="143"/>
  <c r="C17" i="140" l="1"/>
  <c r="G17" i="140" l="1"/>
  <c r="F17" i="140"/>
  <c r="I17" i="140"/>
  <c r="H17" i="140"/>
  <c r="C33" i="145"/>
  <c r="D33" i="145"/>
  <c r="E42" i="145" s="1"/>
  <c r="F41" i="145"/>
  <c r="H41" i="145"/>
  <c r="J41" i="145"/>
  <c r="K41" i="145"/>
  <c r="L41" i="145"/>
  <c r="V41" i="145"/>
  <c r="W41" i="145"/>
  <c r="C42" i="145"/>
  <c r="C53" i="145"/>
  <c r="D53" i="145"/>
  <c r="E62" i="145" s="1"/>
  <c r="E53" i="145"/>
  <c r="F53" i="145"/>
  <c r="G61" i="145"/>
  <c r="I61" i="145"/>
  <c r="J61" i="145"/>
  <c r="T61" i="145"/>
  <c r="B62" i="145" s="1"/>
  <c r="V61" i="145"/>
  <c r="W61" i="145"/>
  <c r="C62" i="145"/>
  <c r="C6" i="141"/>
  <c r="D6" i="141"/>
  <c r="Q9" i="135"/>
  <c r="S16" i="140"/>
  <c r="U16" i="140"/>
  <c r="V16" i="140"/>
  <c r="S17" i="140"/>
  <c r="U17" i="140"/>
  <c r="V17" i="140"/>
  <c r="E18" i="141" l="1"/>
  <c r="E17" i="141"/>
  <c r="E16" i="141"/>
  <c r="E15" i="141"/>
  <c r="E14" i="141"/>
  <c r="F33" i="145"/>
  <c r="A6" i="138"/>
  <c r="D6" i="138" l="1" a="1"/>
  <c r="D6" i="138" s="1"/>
  <c r="E6" i="138" a="1"/>
  <c r="E6" i="138" s="1"/>
  <c r="F6" i="138" a="1"/>
  <c r="F6" i="138" s="1"/>
  <c r="H6" i="138" a="1"/>
  <c r="H6" i="138" s="1"/>
  <c r="I6" i="138" a="1"/>
  <c r="I6" i="138" s="1"/>
  <c r="J6" i="138" a="1"/>
  <c r="J6" i="138" s="1"/>
  <c r="K6" i="138" a="1"/>
  <c r="K6" i="138" s="1"/>
  <c r="P34" i="138" s="1"/>
  <c r="G6" i="138" a="1"/>
  <c r="G6" i="138" s="1"/>
  <c r="C6" i="138" a="1"/>
  <c r="C6" i="138" s="1"/>
  <c r="A7" i="138"/>
  <c r="N5" i="134"/>
  <c r="E7" i="138" l="1" a="1"/>
  <c r="E7" i="138" s="1"/>
  <c r="F7" i="138" a="1"/>
  <c r="F7" i="138" s="1"/>
  <c r="G7" i="138" a="1"/>
  <c r="G7" i="138" s="1"/>
  <c r="H7" i="138" a="1"/>
  <c r="H7" i="138" s="1"/>
  <c r="I7" i="138" a="1"/>
  <c r="I7" i="138" s="1"/>
  <c r="J7" i="138" a="1"/>
  <c r="J7" i="138" s="1"/>
  <c r="K7" i="138" a="1"/>
  <c r="K7" i="138" s="1"/>
  <c r="D7" i="138" a="1"/>
  <c r="D7" i="138" s="1"/>
  <c r="A8" i="138"/>
  <c r="I11" i="149"/>
  <c r="J11" i="149" s="1"/>
  <c r="I14" i="149"/>
  <c r="J14" i="149" s="1"/>
  <c r="F8" i="138" l="1" a="1"/>
  <c r="F8" i="138" s="1"/>
  <c r="J62" i="145" s="1"/>
  <c r="G8" i="138" a="1"/>
  <c r="G8" i="138" s="1"/>
  <c r="H8" i="138" a="1"/>
  <c r="H8" i="138" s="1"/>
  <c r="I8" i="138" a="1"/>
  <c r="I8" i="138" s="1"/>
  <c r="J8" i="138" a="1"/>
  <c r="J8" i="138" s="1"/>
  <c r="K8" i="138" a="1"/>
  <c r="K8" i="138" s="1"/>
  <c r="E8" i="138" a="1"/>
  <c r="E8" i="138" s="1"/>
  <c r="D8" i="138" a="1"/>
  <c r="D8" i="138" s="1"/>
  <c r="C8" i="138" a="1"/>
  <c r="C8" i="138" s="1"/>
  <c r="A9" i="138"/>
  <c r="E9" i="138" l="1" a="1"/>
  <c r="E9" i="138" s="1"/>
  <c r="F9" i="138" a="1"/>
  <c r="F9" i="138" s="1"/>
  <c r="G9" i="138" a="1"/>
  <c r="G9" i="138" s="1"/>
  <c r="H9" i="138" a="1"/>
  <c r="H9" i="138" s="1"/>
  <c r="I9" i="138" a="1"/>
  <c r="I9" i="138" s="1"/>
  <c r="J9" i="138" a="1"/>
  <c r="J9" i="138" s="1"/>
  <c r="K9" i="138" a="1"/>
  <c r="K9" i="138" s="1"/>
  <c r="K10" i="138" s="1"/>
  <c r="D9" i="138" a="1"/>
  <c r="D9" i="138" s="1"/>
  <c r="C9" i="138" a="1"/>
  <c r="C9" i="138" s="1"/>
  <c r="N4" i="134"/>
  <c r="M4" i="134"/>
  <c r="J7" i="149" l="1"/>
  <c r="D11" i="149" l="1"/>
  <c r="F38" i="135" l="1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5" i="135"/>
  <c r="F16" i="135" s="1"/>
  <c r="F14" i="135"/>
  <c r="F13" i="135"/>
  <c r="F12" i="135"/>
  <c r="F11" i="135"/>
  <c r="F10" i="135"/>
  <c r="F9" i="135"/>
  <c r="F8" i="135"/>
  <c r="F7" i="135"/>
  <c r="AB9" i="135"/>
  <c r="AB8" i="135"/>
  <c r="AB7" i="135"/>
  <c r="D13" i="136" l="1"/>
  <c r="F61" i="145" s="1"/>
  <c r="D20" i="149" l="1"/>
  <c r="D4" i="134" l="1"/>
  <c r="E4" i="134"/>
  <c r="F4" i="134"/>
  <c r="G4" i="134"/>
  <c r="H4" i="134"/>
  <c r="I4" i="134"/>
  <c r="J4" i="134"/>
  <c r="K4" i="134"/>
  <c r="L4" i="134"/>
  <c r="G16" i="143" l="1"/>
  <c r="O16" i="143" s="1"/>
  <c r="G28" i="143"/>
  <c r="G27" i="143"/>
  <c r="G26" i="143"/>
  <c r="G29" i="143"/>
  <c r="O25" i="143" l="1"/>
  <c r="O15" i="143" l="1"/>
  <c r="V22" i="143"/>
  <c r="U22" i="143"/>
  <c r="V21" i="143"/>
  <c r="U21" i="143"/>
  <c r="V20" i="143"/>
  <c r="U20" i="143"/>
  <c r="V19" i="143"/>
  <c r="U19" i="143"/>
  <c r="V16" i="143"/>
  <c r="U16" i="143"/>
  <c r="O28" i="143" l="1"/>
  <c r="O29" i="143"/>
  <c r="N29" i="143"/>
  <c r="C29" i="143"/>
  <c r="N28" i="143" l="1"/>
  <c r="N26" i="143"/>
  <c r="O26" i="143"/>
  <c r="O27" i="143"/>
  <c r="N27" i="143"/>
  <c r="F7" i="143" l="1"/>
  <c r="P24" i="145" l="1"/>
  <c r="P16" i="145"/>
  <c r="O30" i="140"/>
  <c r="O16" i="140"/>
  <c r="O13" i="141"/>
  <c r="N13" i="141" l="1"/>
  <c r="L13" i="141"/>
  <c r="K13" i="141"/>
  <c r="J13" i="141"/>
  <c r="I13" i="141"/>
  <c r="H13" i="141"/>
  <c r="F13" i="141"/>
  <c r="V17" i="141"/>
  <c r="U17" i="141"/>
  <c r="V16" i="141"/>
  <c r="U16" i="141"/>
  <c r="V15" i="141"/>
  <c r="U15" i="141"/>
  <c r="V14" i="141"/>
  <c r="U14" i="141"/>
  <c r="G17" i="143" l="1"/>
  <c r="O17" i="143" s="1"/>
  <c r="G18" i="143"/>
  <c r="O18" i="143" s="1"/>
  <c r="C22" i="138"/>
  <c r="C31" i="140"/>
  <c r="H31" i="140" s="1"/>
  <c r="U18" i="140"/>
  <c r="V18" i="140"/>
  <c r="V21" i="140"/>
  <c r="U21" i="140"/>
  <c r="V20" i="140"/>
  <c r="U20" i="140"/>
  <c r="V19" i="140"/>
  <c r="U19" i="140"/>
  <c r="E20" i="136"/>
  <c r="F1" i="136"/>
  <c r="E19" i="136"/>
  <c r="E25" i="136"/>
  <c r="E21" i="136"/>
  <c r="D12" i="136"/>
  <c r="Q16" i="135"/>
  <c r="Q15" i="135"/>
  <c r="Q13" i="135"/>
  <c r="Q11" i="135"/>
  <c r="Q10" i="135"/>
  <c r="Q14" i="135"/>
  <c r="Q12" i="135"/>
  <c r="Q8" i="135"/>
  <c r="Q7" i="135"/>
  <c r="C4" i="134"/>
  <c r="I28" i="149"/>
  <c r="H28" i="149"/>
  <c r="G28" i="149"/>
  <c r="N24" i="145"/>
  <c r="L24" i="145"/>
  <c r="K24" i="145"/>
  <c r="J24" i="145"/>
  <c r="I24" i="145"/>
  <c r="H24" i="145"/>
  <c r="F24" i="145"/>
  <c r="W17" i="145"/>
  <c r="V17" i="145"/>
  <c r="W16" i="145"/>
  <c r="V16" i="145"/>
  <c r="N16" i="145"/>
  <c r="L16" i="145"/>
  <c r="K16" i="145"/>
  <c r="J16" i="145"/>
  <c r="I16" i="145"/>
  <c r="H16" i="145"/>
  <c r="F16" i="145"/>
  <c r="E6" i="145"/>
  <c r="E5" i="145"/>
  <c r="F5" i="143"/>
  <c r="N25" i="143"/>
  <c r="L25" i="143"/>
  <c r="K25" i="143"/>
  <c r="J25" i="143"/>
  <c r="I25" i="143"/>
  <c r="H25" i="143"/>
  <c r="F25" i="143"/>
  <c r="N15" i="143"/>
  <c r="L15" i="143"/>
  <c r="K15" i="143"/>
  <c r="J15" i="143"/>
  <c r="I15" i="143"/>
  <c r="H15" i="143"/>
  <c r="F15" i="143"/>
  <c r="E7" i="143"/>
  <c r="E6" i="143"/>
  <c r="E6" i="141"/>
  <c r="F5" i="141"/>
  <c r="N30" i="140"/>
  <c r="L30" i="140"/>
  <c r="K30" i="140"/>
  <c r="J30" i="140"/>
  <c r="I30" i="140"/>
  <c r="H30" i="140"/>
  <c r="F30" i="140"/>
  <c r="E8" i="140"/>
  <c r="E7" i="140"/>
  <c r="E6" i="140"/>
  <c r="V23" i="140"/>
  <c r="U23" i="140"/>
  <c r="V22" i="140"/>
  <c r="U22" i="140"/>
  <c r="N16" i="140"/>
  <c r="L16" i="140"/>
  <c r="K16" i="140"/>
  <c r="J16" i="140"/>
  <c r="I16" i="140"/>
  <c r="H16" i="140"/>
  <c r="F16" i="140"/>
  <c r="F5" i="140"/>
  <c r="H39" i="140"/>
  <c r="D29" i="149"/>
  <c r="D14" i="149"/>
  <c r="C5" i="145"/>
  <c r="C6" i="145"/>
  <c r="C40" i="140"/>
  <c r="B40" i="140"/>
  <c r="D21" i="149"/>
  <c r="D19" i="149"/>
  <c r="D18" i="149"/>
  <c r="D17" i="149"/>
  <c r="D16" i="149"/>
  <c r="D13" i="149"/>
  <c r="D10" i="149"/>
  <c r="E30" i="149"/>
  <c r="E21" i="149"/>
  <c r="E20" i="149"/>
  <c r="E19" i="149"/>
  <c r="C21" i="149"/>
  <c r="R16" i="149"/>
  <c r="B21" i="149" s="1"/>
  <c r="T16" i="149"/>
  <c r="U16" i="149"/>
  <c r="C19" i="149"/>
  <c r="R14" i="149"/>
  <c r="B19" i="149" s="1"/>
  <c r="C29" i="149"/>
  <c r="C20" i="149"/>
  <c r="C18" i="149"/>
  <c r="C17" i="149"/>
  <c r="C16" i="149"/>
  <c r="C13" i="149"/>
  <c r="C10" i="149"/>
  <c r="T14" i="149"/>
  <c r="U14" i="149"/>
  <c r="E18" i="149"/>
  <c r="E17" i="149"/>
  <c r="E16" i="149"/>
  <c r="E15" i="149"/>
  <c r="E12" i="149"/>
  <c r="R18" i="149"/>
  <c r="B29" i="149" s="1"/>
  <c r="R10" i="149"/>
  <c r="B13" i="149" s="1"/>
  <c r="R11" i="149"/>
  <c r="B16" i="149" s="1"/>
  <c r="R12" i="149"/>
  <c r="B17" i="149" s="1"/>
  <c r="R13" i="149"/>
  <c r="B18" i="149" s="1"/>
  <c r="R15" i="149"/>
  <c r="B20" i="149" s="1"/>
  <c r="R9" i="149"/>
  <c r="B10" i="149" s="1"/>
  <c r="T18" i="149"/>
  <c r="U15" i="149"/>
  <c r="T15" i="149"/>
  <c r="U13" i="149"/>
  <c r="T13" i="149"/>
  <c r="U12" i="149"/>
  <c r="T12" i="149"/>
  <c r="U11" i="149"/>
  <c r="T11" i="149"/>
  <c r="U10" i="149"/>
  <c r="T10" i="149"/>
  <c r="U9" i="149"/>
  <c r="T9" i="149"/>
  <c r="N17" i="145"/>
  <c r="F5" i="145" s="1"/>
  <c r="D6" i="145"/>
  <c r="D5" i="145"/>
  <c r="D7" i="143"/>
  <c r="D6" i="143"/>
  <c r="E18" i="140"/>
  <c r="K11" i="138"/>
  <c r="J11" i="138"/>
  <c r="I11" i="138"/>
  <c r="H11" i="138"/>
  <c r="G11" i="138"/>
  <c r="F11" i="138"/>
  <c r="D62" i="145" s="1"/>
  <c r="E11" i="138"/>
  <c r="D11" i="138"/>
  <c r="C11" i="138"/>
  <c r="B6" i="134"/>
  <c r="B7" i="134"/>
  <c r="B5" i="134"/>
  <c r="C7" i="143"/>
  <c r="C21" i="140"/>
  <c r="C20" i="140"/>
  <c r="C18" i="140"/>
  <c r="C22" i="140"/>
  <c r="G22" i="140" s="1"/>
  <c r="S18" i="143" l="1"/>
  <c r="S22" i="143"/>
  <c r="H21" i="140"/>
  <c r="I21" i="140"/>
  <c r="F21" i="140"/>
  <c r="F31" i="140"/>
  <c r="I31" i="140"/>
  <c r="G13" i="141"/>
  <c r="G41" i="145"/>
  <c r="I43" i="138"/>
  <c r="G43" i="138"/>
  <c r="F20" i="140"/>
  <c r="H20" i="140"/>
  <c r="I20" i="140"/>
  <c r="G20" i="140"/>
  <c r="G21" i="140"/>
  <c r="E17" i="143"/>
  <c r="E18" i="143"/>
  <c r="I22" i="140"/>
  <c r="F22" i="140"/>
  <c r="H22" i="140"/>
  <c r="F18" i="140"/>
  <c r="H18" i="140"/>
  <c r="I18" i="140"/>
  <c r="G31" i="140"/>
  <c r="B18" i="143"/>
  <c r="D18" i="143"/>
  <c r="S17" i="143"/>
  <c r="B17" i="143" s="1"/>
  <c r="D17" i="143"/>
  <c r="G7" i="149"/>
  <c r="F31" i="145"/>
  <c r="F51" i="145"/>
  <c r="D42" i="145"/>
  <c r="T41" i="145"/>
  <c r="B42" i="145" s="1"/>
  <c r="N17" i="140"/>
  <c r="G18" i="141"/>
  <c r="E40" i="140"/>
  <c r="E31" i="140"/>
  <c r="D20" i="140"/>
  <c r="E19" i="140"/>
  <c r="S18" i="140"/>
  <c r="D19" i="140"/>
  <c r="C17" i="145"/>
  <c r="B18" i="140"/>
  <c r="G18" i="140"/>
  <c r="D17" i="140"/>
  <c r="D22" i="140"/>
  <c r="D40" i="140"/>
  <c r="E17" i="140"/>
  <c r="E22" i="140"/>
  <c r="E21" i="140"/>
  <c r="E20" i="140"/>
  <c r="E25" i="145"/>
  <c r="C6" i="143"/>
  <c r="O17" i="140"/>
  <c r="S21" i="140"/>
  <c r="D17" i="145"/>
  <c r="D27" i="143"/>
  <c r="S20" i="143"/>
  <c r="S17" i="141"/>
  <c r="B17" i="141" s="1"/>
  <c r="D17" i="141"/>
  <c r="S22" i="140"/>
  <c r="S19" i="140"/>
  <c r="D31" i="140"/>
  <c r="S20" i="140"/>
  <c r="S19" i="143"/>
  <c r="D26" i="143"/>
  <c r="D16" i="143"/>
  <c r="S16" i="143"/>
  <c r="D14" i="141"/>
  <c r="S14" i="141"/>
  <c r="B14" i="141" s="1"/>
  <c r="D21" i="140"/>
  <c r="T16" i="145"/>
  <c r="T17" i="145"/>
  <c r="D25" i="145"/>
  <c r="D29" i="143"/>
  <c r="D16" i="141"/>
  <c r="S16" i="141"/>
  <c r="B16" i="141" s="1"/>
  <c r="D18" i="141"/>
  <c r="D28" i="143"/>
  <c r="S21" i="143"/>
  <c r="D15" i="141"/>
  <c r="S15" i="141"/>
  <c r="B15" i="141" s="1"/>
  <c r="E29" i="143"/>
  <c r="E28" i="143"/>
  <c r="E26" i="143"/>
  <c r="E27" i="143"/>
  <c r="E16" i="143"/>
  <c r="E17" i="145"/>
  <c r="G16" i="140"/>
  <c r="G16" i="145"/>
  <c r="G15" i="143"/>
  <c r="G24" i="145"/>
  <c r="G25" i="143"/>
  <c r="G30" i="140"/>
  <c r="O22" i="140" l="1"/>
  <c r="O20" i="140"/>
  <c r="N22" i="140"/>
  <c r="N31" i="140"/>
  <c r="F7" i="140" s="1"/>
  <c r="O31" i="140"/>
  <c r="O32" i="140" s="1"/>
  <c r="N20" i="140"/>
  <c r="N21" i="140"/>
  <c r="O21" i="140"/>
  <c r="C19" i="140"/>
  <c r="B19" i="140"/>
  <c r="F3" i="143"/>
  <c r="F3" i="140"/>
  <c r="F3" i="145"/>
  <c r="F3" i="141"/>
  <c r="O18" i="140"/>
  <c r="N18" i="140"/>
  <c r="B22" i="140"/>
  <c r="B25" i="145"/>
  <c r="B29" i="143"/>
  <c r="C17" i="141"/>
  <c r="C27" i="143"/>
  <c r="C26" i="143"/>
  <c r="C25" i="145"/>
  <c r="B17" i="140"/>
  <c r="B21" i="140"/>
  <c r="B27" i="143"/>
  <c r="B16" i="143"/>
  <c r="B26" i="143"/>
  <c r="C28" i="143"/>
  <c r="B17" i="145"/>
  <c r="B20" i="140"/>
  <c r="B31" i="140"/>
  <c r="C15" i="141"/>
  <c r="C14" i="141"/>
  <c r="B28" i="143"/>
  <c r="C16" i="141"/>
  <c r="C16" i="143"/>
  <c r="N32" i="140" l="1"/>
  <c r="H19" i="140"/>
  <c r="I19" i="140"/>
  <c r="F19" i="140"/>
  <c r="G19" i="140"/>
  <c r="I16" i="141"/>
  <c r="G16" i="141"/>
  <c r="H16" i="141"/>
  <c r="F16" i="141"/>
  <c r="H17" i="141"/>
  <c r="F17" i="141"/>
  <c r="I17" i="141"/>
  <c r="G17" i="141"/>
  <c r="G14" i="141"/>
  <c r="F14" i="141"/>
  <c r="I14" i="141"/>
  <c r="H14" i="141"/>
  <c r="I15" i="141"/>
  <c r="G15" i="141"/>
  <c r="H15" i="141"/>
  <c r="F15" i="141"/>
  <c r="O19" i="140" l="1"/>
  <c r="O23" i="140" s="1"/>
  <c r="N19" i="140"/>
  <c r="F6" i="140" s="1"/>
  <c r="N15" i="141"/>
  <c r="N14" i="141"/>
  <c r="O17" i="141"/>
  <c r="O14" i="141"/>
  <c r="N16" i="141"/>
  <c r="O15" i="141"/>
  <c r="O16" i="141"/>
  <c r="N17" i="141"/>
  <c r="N18" i="141"/>
  <c r="O18" i="141"/>
  <c r="F6" i="141" l="1"/>
  <c r="F62" i="145"/>
  <c r="H40" i="140"/>
  <c r="F8" i="140" s="1"/>
  <c r="P31" i="138"/>
  <c r="Q31" i="138" s="1"/>
  <c r="P33" i="138"/>
  <c r="Q33" i="138" s="1"/>
  <c r="P42" i="145"/>
  <c r="P32" i="138"/>
  <c r="Q32" i="138" s="1"/>
  <c r="I50" i="138" l="1"/>
  <c r="G17" i="145" s="1"/>
  <c r="P17" i="145" s="1"/>
  <c r="I52" i="138"/>
  <c r="D10" i="138"/>
  <c r="Q34" i="138"/>
  <c r="J10" i="138"/>
  <c r="L20" i="149" s="1"/>
  <c r="E10" i="138"/>
  <c r="F10" i="138"/>
  <c r="G10" i="138"/>
  <c r="L5" i="138"/>
  <c r="C10" i="138"/>
  <c r="L8" i="138"/>
  <c r="H10" i="138"/>
  <c r="L7" i="138"/>
  <c r="I10" i="138"/>
  <c r="L6" i="138"/>
  <c r="P30" i="138"/>
  <c r="Q30" i="138" s="1"/>
  <c r="L9" i="138"/>
  <c r="G25" i="145" l="1"/>
  <c r="P25" i="145" s="1"/>
  <c r="O50" i="138"/>
  <c r="Q35" i="138"/>
  <c r="L10" i="138"/>
  <c r="G42" i="145" l="1"/>
  <c r="O42" i="14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8" authorId="0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7" authorId="0" shapeId="0" xr:uid="{00000000-0006-0000-03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3" authorId="0" shapeId="0" xr:uid="{00000000-0006-0000-06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6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3" authorId="0" shapeId="0" xr:uid="{00000000-0006-0000-06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4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14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14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14" authorId="0" shapeId="0" xr:uid="{00000000-0006-0000-04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2" authorId="0" shapeId="0" xr:uid="{00000000-0006-0000-04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9" authorId="0" shapeId="0" xr:uid="{00000000-0006-0000-04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39" authorId="0" shapeId="0" xr:uid="{00000000-0006-0000-0400-000008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39" authorId="1" shapeId="0" xr:uid="{00000000-0006-0000-0400-000009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39" authorId="0" shapeId="0" xr:uid="{00000000-0006-0000-0400-00000A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40" authorId="0" shapeId="0" xr:uid="{00000000-0006-0000-04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59" authorId="0" shapeId="0" xr:uid="{00000000-0006-0000-0400-00000C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59" authorId="0" shapeId="0" xr:uid="{00000000-0006-0000-0400-00000D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59" authorId="1" shapeId="0" xr:uid="{00000000-0006-0000-0400-00000E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59" authorId="0" shapeId="0" xr:uid="{00000000-0006-0000-0400-00000F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0" authorId="0" shapeId="0" xr:uid="{00000000-0006-0000-0400-000010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1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2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2" authorId="1" shapeId="0" xr:uid="{00000000-0006-0000-0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2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3" authorId="0" shapeId="0" xr:uid="{00000000-0006-0000-0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C7" authorId="0" shapeId="0" xr:uid="{00000000-0006-0000-08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7" authorId="0" shapeId="0" xr:uid="{00000000-0006-0000-08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7" authorId="1" shapeId="0" xr:uid="{00000000-0006-0000-08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7" authorId="0" shapeId="0" xr:uid="{00000000-0006-0000-08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8" authorId="0" shapeId="0" xr:uid="{00000000-0006-0000-08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6" authorId="0" shapeId="0" xr:uid="{00000000-0006-0000-08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4" authorId="0" shapeId="0" xr:uid="{F0604071-E7A1-49A6-AD06-18D995B760BF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J34" authorId="2" shapeId="0" xr:uid="{BD725A1E-3337-4D63-B558-9C00442E22E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partially countend in the chain (upstream)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0A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0A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A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0A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0A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0A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0A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0A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0A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5" authorId="0" shapeId="0" xr:uid="{00000000-0006-0000-0A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5" authorId="1" shapeId="0" xr:uid="{00000000-0006-0000-0A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5" authorId="2" shapeId="0" xr:uid="{00000000-0006-0000-0A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5" authorId="2" shapeId="0" xr:uid="{00000000-0006-0000-0A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5" authorId="2" shapeId="0" xr:uid="{00000000-0006-0000-0A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<sst xmlns="http://schemas.openxmlformats.org/spreadsheetml/2006/main" count="1407" uniqueCount="556">
  <si>
    <t>CommName</t>
  </si>
  <si>
    <t>TechName</t>
  </si>
  <si>
    <t>TechDesc</t>
  </si>
  <si>
    <t>FIXOM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</si>
  <si>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</si>
  <si>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</si>
  <si>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</si>
  <si>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</si>
  <si>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</si>
  <si>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</si>
  <si>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</si>
  <si>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</si>
  <si>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</si>
  <si>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</si>
  <si>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</si>
  <si>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</si>
  <si>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</si>
  <si>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AFA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</si>
  <si>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</si>
  <si>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</si>
  <si>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</si>
  <si>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</si>
  <si>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</si>
  <si>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</si>
  <si>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</si>
  <si>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</si>
  <si>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</si>
  <si>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</si>
  <si>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</si>
  <si>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</si>
  <si>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</si>
  <si>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</si>
  <si>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</si>
  <si>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</si>
  <si>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</si>
  <si>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</si>
  <si>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</si>
  <si>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</si>
  <si>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</si>
  <si>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Capacity to Activity Factor</t>
  </si>
  <si>
    <t>Processes</t>
  </si>
  <si>
    <t>Fixed O&amp;M Cost</t>
  </si>
  <si>
    <t>Demand</t>
  </si>
  <si>
    <t>Demand Value</t>
  </si>
  <si>
    <t>*TechDesc</t>
  </si>
  <si>
    <t>Attribute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</si>
  <si>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</si>
  <si>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</si>
  <si>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</si>
  <si>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</si>
  <si>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</si>
  <si>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</si>
  <si>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</si>
  <si>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</si>
  <si>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</si>
  <si>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NRG</t>
  </si>
  <si>
    <t>Anthracite</t>
  </si>
  <si>
    <t>Other bituminous coal</t>
  </si>
  <si>
    <t>Coke oven coke</t>
  </si>
  <si>
    <t>Coal tar</t>
  </si>
  <si>
    <t>Refinery gas</t>
  </si>
  <si>
    <t>OILDSL</t>
  </si>
  <si>
    <t>Diesel</t>
  </si>
  <si>
    <t>OILGSL</t>
  </si>
  <si>
    <t>Gasoline</t>
  </si>
  <si>
    <t>OILGSA</t>
  </si>
  <si>
    <t>Aviation Gasoline</t>
  </si>
  <si>
    <t>OILLPG</t>
  </si>
  <si>
    <t>Liquified petroleum gas</t>
  </si>
  <si>
    <t>OILKER</t>
  </si>
  <si>
    <t>Kerosene</t>
  </si>
  <si>
    <t>Naphtha</t>
  </si>
  <si>
    <t>Petroleum Coke</t>
  </si>
  <si>
    <t>Bitumen</t>
  </si>
  <si>
    <t>OILLUB</t>
  </si>
  <si>
    <t>Lubricants</t>
  </si>
  <si>
    <t>OILOTH</t>
  </si>
  <si>
    <t>Other petroleum products</t>
  </si>
  <si>
    <t>BIOETH</t>
  </si>
  <si>
    <t>Pure Bioethanol</t>
  </si>
  <si>
    <t>BIODSL</t>
  </si>
  <si>
    <t>Biodiesel</t>
  </si>
  <si>
    <t>Charcoal</t>
  </si>
  <si>
    <t>RESHYD</t>
  </si>
  <si>
    <t>Hydro Energy</t>
  </si>
  <si>
    <t>RESSOL</t>
  </si>
  <si>
    <t>Solar Energy</t>
  </si>
  <si>
    <t>RESWIN</t>
  </si>
  <si>
    <t>Wind Energy</t>
  </si>
  <si>
    <t>RESGEO</t>
  </si>
  <si>
    <t>Geothermal Energy</t>
  </si>
  <si>
    <t>TRAOILDSL</t>
  </si>
  <si>
    <t>Diesel (TRA)</t>
  </si>
  <si>
    <t>TRAOILGSL</t>
  </si>
  <si>
    <t>Gasoline (TRA)</t>
  </si>
  <si>
    <t>TRAOILGSA</t>
  </si>
  <si>
    <t>Aviation Gasoline (TRA)</t>
  </si>
  <si>
    <t>TRAOILLPG</t>
  </si>
  <si>
    <t>Liquified petroleum gas (TRA)</t>
  </si>
  <si>
    <t>TRAOILKER</t>
  </si>
  <si>
    <t>Kerosene (TRA)</t>
  </si>
  <si>
    <t>TRAOILNAP</t>
  </si>
  <si>
    <t>Naphtha (TRA)</t>
  </si>
  <si>
    <t>TRAOILOTH</t>
  </si>
  <si>
    <t>Other petroleum products (TRA)</t>
  </si>
  <si>
    <t>TRAGASNAT</t>
  </si>
  <si>
    <t>Natural Gas (TRA)</t>
  </si>
  <si>
    <t>TRABIOETH</t>
  </si>
  <si>
    <t>TRABIODSL</t>
  </si>
  <si>
    <t>Biodiesel (TRA)</t>
  </si>
  <si>
    <t>Bioethanol (TRA)</t>
  </si>
  <si>
    <t>TRABIOBGS</t>
  </si>
  <si>
    <t>Biogas (TRA)</t>
  </si>
  <si>
    <t>ELCHIG</t>
  </si>
  <si>
    <t>DAYNITE</t>
  </si>
  <si>
    <t>ELC</t>
  </si>
  <si>
    <t>High Voltage electricity after losses</t>
  </si>
  <si>
    <t>ELCHIGG</t>
  </si>
  <si>
    <t>High Voltage electricity before Losses</t>
  </si>
  <si>
    <t>TRAELC</t>
  </si>
  <si>
    <t>Electricity (TRA)</t>
  </si>
  <si>
    <t>ENV</t>
  </si>
  <si>
    <t>Gg</t>
  </si>
  <si>
    <t>TRACO2</t>
  </si>
  <si>
    <t>CO2 (TRA)</t>
  </si>
  <si>
    <t>TRACH4</t>
  </si>
  <si>
    <t>CH4 (TRA)</t>
  </si>
  <si>
    <t>TRAN2O</t>
  </si>
  <si>
    <t>N2O (TRA)</t>
  </si>
  <si>
    <t>DEM</t>
  </si>
  <si>
    <t>Default Units</t>
  </si>
  <si>
    <t>Energy</t>
  </si>
  <si>
    <t>Currency Unit</t>
  </si>
  <si>
    <t>Emissions</t>
  </si>
  <si>
    <t>0000</t>
  </si>
  <si>
    <t>3270A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</si>
  <si>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</si>
  <si>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</si>
  <si>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</si>
  <si>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</si>
  <si>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</si>
  <si>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</si>
  <si>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</si>
  <si>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</si>
  <si>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</si>
  <si>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</si>
  <si>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</si>
  <si>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</si>
  <si>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</si>
  <si>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</si>
  <si>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</si>
  <si>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</si>
  <si>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</si>
  <si>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</si>
  <si>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</si>
  <si>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</si>
  <si>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</si>
  <si>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</si>
  <si>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</si>
  <si>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</si>
  <si>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</si>
  <si>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</si>
  <si>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</si>
  <si>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</si>
  <si>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</si>
  <si>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</si>
  <si>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</si>
  <si>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</si>
  <si>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</si>
  <si>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</si>
  <si>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</si>
  <si>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</si>
  <si>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</si>
  <si>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</si>
  <si>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</si>
  <si>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</si>
  <si>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</si>
  <si>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</si>
  <si>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</si>
  <si>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</si>
  <si>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</si>
  <si>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</si>
  <si>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</si>
  <si>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</si>
  <si>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</si>
  <si>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</si>
  <si>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</si>
  <si>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</si>
  <si>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</si>
  <si>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</si>
  <si>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</si>
  <si>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</si>
  <si>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</si>
  <si>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</si>
  <si>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</si>
  <si>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</si>
  <si>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</si>
  <si>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</si>
  <si>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</si>
  <si>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</si>
  <si>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</si>
  <si>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</si>
  <si>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</si>
  <si>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</si>
  <si>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</si>
  <si>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</si>
  <si>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</si>
  <si>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</si>
  <si>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</si>
  <si>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</si>
  <si>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</si>
  <si>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</si>
  <si>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</si>
  <si>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</si>
  <si>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</si>
  <si>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</si>
  <si>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</si>
  <si>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</si>
  <si>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</si>
  <si>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</si>
  <si>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</si>
  <si>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</si>
  <si>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</si>
  <si>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</si>
  <si>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</si>
  <si>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</si>
  <si>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</si>
  <si>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</si>
  <si>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</si>
  <si>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</si>
  <si>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</si>
  <si>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</si>
  <si>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</si>
  <si>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</si>
  <si>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</si>
  <si>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</si>
  <si>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</si>
  <si>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</si>
  <si>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</si>
  <si>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</si>
  <si>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</si>
  <si>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</si>
  <si>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</si>
  <si>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</si>
  <si>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</si>
  <si>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</si>
  <si>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</si>
  <si>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</si>
  <si>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</si>
  <si>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</si>
  <si>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</si>
  <si>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</si>
  <si>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</si>
  <si>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</si>
  <si>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Transportation Base-year energy consumption from Energy Balance (PJ)</t>
  </si>
  <si>
    <t>Total</t>
  </si>
  <si>
    <t>Average annual mileage (km/year)</t>
  </si>
  <si>
    <t>Motorcycles</t>
  </si>
  <si>
    <t>TRAOILLUB</t>
  </si>
  <si>
    <t>Lubricants (TRA)</t>
  </si>
  <si>
    <t>*Demand Name</t>
  </si>
  <si>
    <t>*Unit</t>
  </si>
  <si>
    <t>Demand Unit</t>
  </si>
  <si>
    <t>TRARPPC</t>
  </si>
  <si>
    <t>Road Private Car</t>
  </si>
  <si>
    <t>PRC_RESID</t>
  </si>
  <si>
    <t>NCAP_TLIFE</t>
  </si>
  <si>
    <t>* Definition of the Processes used in this worksheet</t>
  </si>
  <si>
    <t>E</t>
  </si>
  <si>
    <t>DMD</t>
  </si>
  <si>
    <t>Road Transport - Passenger</t>
  </si>
  <si>
    <t>Units</t>
  </si>
  <si>
    <t>Existing Capacity</t>
  </si>
  <si>
    <t>ACTFLO~DEMO</t>
  </si>
  <si>
    <t>Utilisation Factor</t>
  </si>
  <si>
    <t>Activity to Flow</t>
  </si>
  <si>
    <t>Technical Lifetime</t>
  </si>
  <si>
    <t>km/year</t>
  </si>
  <si>
    <t>Years</t>
  </si>
  <si>
    <t>DEMO</t>
  </si>
  <si>
    <t>Transport Demand</t>
  </si>
  <si>
    <t>TRARPMO</t>
  </si>
  <si>
    <t>Road Moto</t>
  </si>
  <si>
    <t>TRARPBU</t>
  </si>
  <si>
    <t>Light Duty Vehicles (LDV)</t>
  </si>
  <si>
    <t>Heavy Duty Vehicles (HDV)</t>
  </si>
  <si>
    <t>TRARLDV</t>
  </si>
  <si>
    <t>TRARHDV</t>
  </si>
  <si>
    <t>Road Freight HDV</t>
  </si>
  <si>
    <t>Road Freight LDV</t>
  </si>
  <si>
    <t>MVkms</t>
  </si>
  <si>
    <t>Road Transport - Freight</t>
  </si>
  <si>
    <t>Average occupancy or tonage (passegers/train or tons/train</t>
  </si>
  <si>
    <t>Electric Passenger Trains</t>
  </si>
  <si>
    <t>Diesel Passenger Trains</t>
  </si>
  <si>
    <t>Electric Freight Trains</t>
  </si>
  <si>
    <t>Diesel Freight Trains</t>
  </si>
  <si>
    <t>tons/vehicle</t>
  </si>
  <si>
    <t>Road Transport - Passengers - Cars : Demands for the Base Year</t>
  </si>
  <si>
    <t>Road Transport - Passengers - Busses: Demands for the Base Year</t>
  </si>
  <si>
    <t>Road Transport - Freight : Demands for the Base Year</t>
  </si>
  <si>
    <t>Rail Transport: Demands for the Base Year</t>
  </si>
  <si>
    <t>TRARAILP</t>
  </si>
  <si>
    <t>TRARAILF</t>
  </si>
  <si>
    <t>Rail passenger</t>
  </si>
  <si>
    <t>Rail freight</t>
  </si>
  <si>
    <t>Rail Transport</t>
  </si>
  <si>
    <t>Freight Trains</t>
  </si>
  <si>
    <t>Passenger Trains</t>
  </si>
  <si>
    <t>TRANAVP</t>
  </si>
  <si>
    <t>Aviation</t>
  </si>
  <si>
    <t>Aviation: Demands for the Base Year</t>
  </si>
  <si>
    <t>Share of Input</t>
  </si>
  <si>
    <t>VDA_FLOP</t>
  </si>
  <si>
    <t>VAROM</t>
  </si>
  <si>
    <t>Input per unit output</t>
  </si>
  <si>
    <t>Variable O&amp;M Cost</t>
  </si>
  <si>
    <t>*Units:</t>
  </si>
  <si>
    <t>PRE</t>
  </si>
  <si>
    <t>ELE</t>
  </si>
  <si>
    <t>GW</t>
  </si>
  <si>
    <t>Activity to Capacity Units</t>
  </si>
  <si>
    <t>TRANENLUB00</t>
  </si>
  <si>
    <t>TRANELUB</t>
  </si>
  <si>
    <t>Generic process for Lubricants</t>
  </si>
  <si>
    <t>Mpgkm</t>
  </si>
  <si>
    <t>Mtnkm</t>
  </si>
  <si>
    <t>Energy Commodities</t>
  </si>
  <si>
    <t>Demands</t>
  </si>
  <si>
    <t>PRC_CAPACT</t>
  </si>
  <si>
    <t>[0-1]</t>
  </si>
  <si>
    <t>FLO_SHAR~UP~2020</t>
  </si>
  <si>
    <t>[0 - 1]</t>
  </si>
  <si>
    <t>CHECK POLICIES FOR INTRODUCING STANDARD BIOFUEL BLEND IN THE SYSTEM</t>
  </si>
  <si>
    <t>ELCMLO</t>
  </si>
  <si>
    <t>Medium-Low Voltage electricity</t>
  </si>
  <si>
    <t>BASE_YEAR</t>
  </si>
  <si>
    <t>END_YEAR</t>
  </si>
  <si>
    <t>Units by Attribute and Sector</t>
  </si>
  <si>
    <t>Meaning</t>
  </si>
  <si>
    <t>Sector</t>
  </si>
  <si>
    <t>Equivalent</t>
  </si>
  <si>
    <t xml:space="preserve">Passenger Transport </t>
  </si>
  <si>
    <t>Freight Transport</t>
  </si>
  <si>
    <t>Capacity</t>
  </si>
  <si>
    <t>Passenger Transport</t>
  </si>
  <si>
    <t>000spas/year</t>
  </si>
  <si>
    <t>COMEMI</t>
  </si>
  <si>
    <t>Emission Coefficient</t>
  </si>
  <si>
    <t>All</t>
  </si>
  <si>
    <t>GJ/kW</t>
  </si>
  <si>
    <t>PJ</t>
  </si>
  <si>
    <t>passenger/vehicle</t>
  </si>
  <si>
    <t>Consumption</t>
  </si>
  <si>
    <t>Car</t>
  </si>
  <si>
    <t>Moto</t>
  </si>
  <si>
    <t>Bus</t>
  </si>
  <si>
    <t>Conversion factors</t>
  </si>
  <si>
    <t>Stock (000s Vehicles)</t>
  </si>
  <si>
    <t>Mileage (km per year)</t>
  </si>
  <si>
    <t>Energy Balance</t>
  </si>
  <si>
    <t>Difference</t>
  </si>
  <si>
    <t>kWh/100km</t>
  </si>
  <si>
    <t>MVKm/PJ</t>
  </si>
  <si>
    <t>PJ to kWh</t>
  </si>
  <si>
    <t>PJ to Litres</t>
  </si>
  <si>
    <t>MVkm/PJ</t>
  </si>
  <si>
    <t>Efficiency in</t>
  </si>
  <si>
    <t>Calculated from above:</t>
  </si>
  <si>
    <t>Consumption Based Callibration Check</t>
  </si>
  <si>
    <t>Source</t>
  </si>
  <si>
    <t>tons/vessel</t>
  </si>
  <si>
    <t>Navigation Freight Transport</t>
  </si>
  <si>
    <t>Navigation Passenger Transport</t>
  </si>
  <si>
    <t>passenger/vessel</t>
  </si>
  <si>
    <t>LDV</t>
  </si>
  <si>
    <t>HDV</t>
  </si>
  <si>
    <t>CNG</t>
  </si>
  <si>
    <t>Total Difference</t>
  </si>
  <si>
    <t>Infrastructure for Fuels Consumed in the Transportation Sector</t>
  </si>
  <si>
    <t>IPCC Emission Factor Database (2006 Values)available at  https://www.ipcc-nggip.iges.or.jp/EFDB/find_ef.php</t>
  </si>
  <si>
    <t>GASNAT_LP</t>
  </si>
  <si>
    <t>Low pressure natural gas</t>
  </si>
  <si>
    <t>lt/100km</t>
  </si>
  <si>
    <t>PJ/100km</t>
  </si>
  <si>
    <t>000s_Units</t>
  </si>
  <si>
    <t>(milion_vkm)/(thousand_vkm)</t>
  </si>
  <si>
    <t>(milion_tnkm)/(thousand_tnkm)</t>
  </si>
  <si>
    <t>000s_km_flown</t>
  </si>
  <si>
    <t>PJa</t>
  </si>
  <si>
    <t>https://www.ipcc-nggip.iges.or.jp/public/2006gl/pdf/2_Volume2/V2_3_Ch3_Mobile_Combustion.pdf</t>
  </si>
  <si>
    <t>Default CO2 emission factors for mobile combustion</t>
  </si>
  <si>
    <t>FLO_SHAR~UP~2019</t>
  </si>
  <si>
    <t>SEASON</t>
  </si>
  <si>
    <t>TRABIOKER</t>
  </si>
  <si>
    <t>TRABIOB20</t>
  </si>
  <si>
    <t>Max Share of Biodiesel in all Diesel</t>
  </si>
  <si>
    <t>Max Share of Bioethanol in all Gasoline</t>
  </si>
  <si>
    <t>Coking coal</t>
  </si>
  <si>
    <t>Sub-bituminous coal</t>
  </si>
  <si>
    <t>Patent Fuels</t>
  </si>
  <si>
    <t>Gas coke</t>
  </si>
  <si>
    <t>Peat</t>
  </si>
  <si>
    <t>Peat products</t>
  </si>
  <si>
    <t>Oil shale &amp; oil sands</t>
  </si>
  <si>
    <t>Ethane</t>
  </si>
  <si>
    <t>Gasworks gas</t>
  </si>
  <si>
    <t>Other recovered gas</t>
  </si>
  <si>
    <t>Tide, wave and ocean</t>
  </si>
  <si>
    <t>Bio gasoline</t>
  </si>
  <si>
    <t>Bio jet kerosene</t>
  </si>
  <si>
    <t>Other liquid biofuels</t>
  </si>
  <si>
    <t>Nuclear heat</t>
  </si>
  <si>
    <t>Cars</t>
  </si>
  <si>
    <t>Motorcycles Gasoline (E)</t>
  </si>
  <si>
    <t>Generic for lubricants</t>
  </si>
  <si>
    <t>Private Car Electricity (E)</t>
  </si>
  <si>
    <t>Private Car LPG(E)</t>
  </si>
  <si>
    <t>Private Car Gasoline(E)</t>
  </si>
  <si>
    <t>Private Car Diesel (E)</t>
  </si>
  <si>
    <t>Private Car Gas (E)</t>
  </si>
  <si>
    <t>Private Car Hybrid (E)</t>
  </si>
  <si>
    <t>Fuel Tech -Diesel (TRA)</t>
  </si>
  <si>
    <t>Fuel Tech -Gasoline (TRA)</t>
  </si>
  <si>
    <t>Fuel Tech -Aviation Gasoline (TRA)</t>
  </si>
  <si>
    <t>Fuel Tech -Liquified petroleum gas (TRA)</t>
  </si>
  <si>
    <t>Fuel Tech -Kerosene (TRA)</t>
  </si>
  <si>
    <t>Fuel Tech -Low Sulphur Fuel Oil (TRA)</t>
  </si>
  <si>
    <t>Fuel Tech -Natural Gas (TRA)</t>
  </si>
  <si>
    <t>Fuel Tech -Lubricants (TRA)</t>
  </si>
  <si>
    <t>Fuel Tech -Electricity (TRA)</t>
  </si>
  <si>
    <t>Road Busses</t>
  </si>
  <si>
    <t>Road Transport - Passenger Busses</t>
  </si>
  <si>
    <t>HDV DSL(E)</t>
  </si>
  <si>
    <t>LDV DSL(E)</t>
  </si>
  <si>
    <t>LDV GSL(E)</t>
  </si>
  <si>
    <t>LDV LPG(E)</t>
  </si>
  <si>
    <t>LDV N.Gas(E)</t>
  </si>
  <si>
    <t>Passenger Trains  DSL (E)</t>
  </si>
  <si>
    <t>Freight Trains DSL(E)</t>
  </si>
  <si>
    <t>Existing vessels DSL (E)</t>
  </si>
  <si>
    <t>Waterways</t>
  </si>
  <si>
    <t>OILHFO</t>
  </si>
  <si>
    <t>TRAOILHFO</t>
  </si>
  <si>
    <t>Fuel Oil (TRA)</t>
  </si>
  <si>
    <t>Hybrid</t>
  </si>
  <si>
    <t>Occupancy ot Tonage (passenger or tons/vehicles)</t>
  </si>
  <si>
    <t>Bus Diesel (E)</t>
  </si>
  <si>
    <t>Bus LPG (E)</t>
  </si>
  <si>
    <t>Bus Gas (E)</t>
  </si>
  <si>
    <t>Bus Gasoline (E)</t>
  </si>
  <si>
    <t>Road Transport</t>
  </si>
  <si>
    <t>Rail Tansport</t>
  </si>
  <si>
    <t>En. Balamce</t>
  </si>
  <si>
    <t>Stock (000 units)</t>
  </si>
  <si>
    <t>Average Consumption (MVkm/PJ)</t>
  </si>
  <si>
    <t>Share Passenger/Freight Rail transport</t>
  </si>
  <si>
    <t>*Technology Name</t>
  </si>
  <si>
    <t>*Demand Commodity Name</t>
  </si>
  <si>
    <t>Trolley Electricity(E)</t>
  </si>
  <si>
    <t>Period</t>
  </si>
  <si>
    <t>Registered cars</t>
  </si>
  <si>
    <t>Electric</t>
  </si>
  <si>
    <t>OTHERS</t>
  </si>
  <si>
    <t xml:space="preserve">Capacity </t>
  </si>
  <si>
    <r>
      <t>&lt;1000 cm</t>
    </r>
    <r>
      <rPr>
        <vertAlign val="superscript"/>
        <sz val="10"/>
        <color rgb="FF000000"/>
        <rFont val="Times New Roman"/>
        <family val="1"/>
      </rPr>
      <t>3</t>
    </r>
  </si>
  <si>
    <r>
      <t>1000-2000 cm</t>
    </r>
    <r>
      <rPr>
        <vertAlign val="superscript"/>
        <sz val="10"/>
        <color rgb="FF000000"/>
        <rFont val="Times New Roman"/>
        <family val="1"/>
      </rPr>
      <t>3</t>
    </r>
  </si>
  <si>
    <r>
      <t>&gt;2000 cm</t>
    </r>
    <r>
      <rPr>
        <vertAlign val="superscript"/>
        <sz val="10"/>
        <color rgb="FF000000"/>
        <rFont val="Times New Roman"/>
        <family val="1"/>
      </rPr>
      <t>3</t>
    </r>
  </si>
  <si>
    <r>
      <t>&lt;1500 cm</t>
    </r>
    <r>
      <rPr>
        <vertAlign val="superscript"/>
        <sz val="10"/>
        <color rgb="FF000000"/>
        <rFont val="Times New Roman"/>
        <family val="1"/>
      </rPr>
      <t>3</t>
    </r>
  </si>
  <si>
    <r>
      <t>1500-2000 cm</t>
    </r>
    <r>
      <rPr>
        <vertAlign val="superscript"/>
        <sz val="10"/>
        <color rgb="FF000000"/>
        <rFont val="Times New Roman"/>
        <family val="1"/>
      </rPr>
      <t>3</t>
    </r>
  </si>
  <si>
    <t>by 31.12.2010</t>
  </si>
  <si>
    <t>by 31.12.2011</t>
  </si>
  <si>
    <t>by 31.12.2012</t>
  </si>
  <si>
    <t>by 31.12.2013</t>
  </si>
  <si>
    <t>by 31.12.2014</t>
  </si>
  <si>
    <t>by 31.12.2015</t>
  </si>
  <si>
    <t>by 31.12.2016</t>
  </si>
  <si>
    <t>by 31.12.2017</t>
  </si>
  <si>
    <t>Maximum weight &lt;3,5 tone</t>
  </si>
  <si>
    <t>Maximum weight 3,5 - 15 tone</t>
  </si>
  <si>
    <t>Maximum weight &gt;15 tone</t>
  </si>
  <si>
    <t>Year</t>
  </si>
  <si>
    <t>Registered buses</t>
  </si>
  <si>
    <t>Nr. of seats 9-25</t>
  </si>
  <si>
    <t>Nr. of seats &gt;25</t>
  </si>
  <si>
    <t>Registered motorcycles</t>
  </si>
  <si>
    <t>&gt;50 - &lt;260 cm3</t>
  </si>
  <si>
    <t>260-510 cm3</t>
  </si>
  <si>
    <t>&gt;510 cm3</t>
  </si>
  <si>
    <t>Gasoline Cars</t>
  </si>
  <si>
    <t>Diesel Cars</t>
  </si>
  <si>
    <t>Others</t>
  </si>
  <si>
    <t>Gas/LPG Fired</t>
  </si>
  <si>
    <t>Other</t>
  </si>
  <si>
    <t>Busses</t>
  </si>
  <si>
    <t>Statistics</t>
  </si>
  <si>
    <t xml:space="preserve"> million pgkm or million tonkms</t>
  </si>
  <si>
    <t>Activity</t>
  </si>
  <si>
    <t>HDV+LDV</t>
  </si>
  <si>
    <t>HDV GSL(E)</t>
  </si>
  <si>
    <t>HDV N.Gas(E)</t>
  </si>
  <si>
    <t>Road Vehicles Data</t>
  </si>
  <si>
    <t>*</t>
  </si>
  <si>
    <t>Demand Commodity Name</t>
  </si>
  <si>
    <t>units</t>
  </si>
  <si>
    <t>Batteries for BY EVs</t>
  </si>
  <si>
    <t>STG_EFF</t>
  </si>
  <si>
    <t>LIFE</t>
  </si>
  <si>
    <t>Remaining Lifetime</t>
  </si>
  <si>
    <t xml:space="preserve"> </t>
  </si>
  <si>
    <t>STG</t>
  </si>
  <si>
    <t>Car-Small electric battery</t>
  </si>
  <si>
    <t>GWh</t>
  </si>
  <si>
    <t>TRABATS</t>
  </si>
  <si>
    <t>Battery output for EV Small</t>
  </si>
  <si>
    <t>BAT_TRARPPC_E01</t>
  </si>
  <si>
    <t xml:space="preserve">Bio-Jet Fuel </t>
  </si>
  <si>
    <t xml:space="preserve">Biodiesel B20 </t>
  </si>
  <si>
    <t>Non-Energy Use</t>
  </si>
  <si>
    <t>TRARPTR_ELC_E01</t>
  </si>
  <si>
    <t>Duty Vehicles</t>
  </si>
  <si>
    <t>ktoe</t>
  </si>
  <si>
    <t>M$</t>
  </si>
  <si>
    <t>k$/Unit</t>
  </si>
  <si>
    <t>$/GJ/a</t>
  </si>
  <si>
    <t>$/GJ</t>
  </si>
  <si>
    <t>Domestic Aviation</t>
  </si>
  <si>
    <t>TRAAVDOM</t>
  </si>
  <si>
    <t>Ship Technologies</t>
  </si>
  <si>
    <t>Airplanes - Domestic (E)</t>
  </si>
  <si>
    <t xml:space="preserve"> Waterways Transport: Demands for the Base Year</t>
  </si>
  <si>
    <t>Freight Trains ELE (E)</t>
  </si>
  <si>
    <t>Passenger Trains  ELE (E)</t>
  </si>
  <si>
    <t>Sea</t>
  </si>
  <si>
    <t>Fuel Tech -Biogas (TRA)</t>
  </si>
  <si>
    <t>BIOBGS</t>
  </si>
  <si>
    <t>Biogas</t>
  </si>
  <si>
    <t>Moved to other uses (tertiary)</t>
  </si>
  <si>
    <t>Moved to pipeline consumption</t>
  </si>
  <si>
    <t>Moved to other uses (tertiary sector)</t>
  </si>
  <si>
    <t>Calibration</t>
  </si>
  <si>
    <t>Calibration of efficiency for road transport</t>
  </si>
  <si>
    <t>Consumption Based Calibration Check (Road only)</t>
  </si>
  <si>
    <t>ktoe/100000km</t>
  </si>
  <si>
    <t>ACT_BND</t>
  </si>
  <si>
    <t>Upper bound</t>
  </si>
  <si>
    <t>START</t>
  </si>
  <si>
    <t>INVCOST</t>
  </si>
  <si>
    <t>Technical lifetime</t>
  </si>
  <si>
    <t>Inevstment Cost</t>
  </si>
  <si>
    <t>Fuel Tech -Natural Gas (TRA) - New</t>
  </si>
  <si>
    <t>Calibrarion</t>
  </si>
  <si>
    <t>Turkmenistan</t>
  </si>
  <si>
    <t>OLD CAC</t>
  </si>
  <si>
    <t>cars/000inhabitants</t>
  </si>
  <si>
    <t>Pop (milion)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</si>
</sst>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"/>
    <numFmt numFmtId="165" formatCode="\Te\x\t"/>
    <numFmt numFmtId="166" formatCode="#,##0.000;\-#,##0.000;&quot;&quot;"/>
    <numFmt numFmtId="167" formatCode="#,##0.00;\-#,##0.00;&quot;&quot;"/>
    <numFmt numFmtId="168" formatCode="0.0_)"/>
    <numFmt numFmtId="169" formatCode="0.0000"/>
    <numFmt numFmtId="170" formatCode="0.0"/>
    <numFmt numFmtId="171" formatCode="#,##0.0;\-#,##0.0;&quot;&quot;"/>
    <numFmt numFmtId="172" formatCode="#,##0;\-#,##0;&quot;&quot;"/>
    <numFmt numFmtId="173" formatCode="#,##0.0000;\-#,##0.0000;&quot;&quot;"/>
    <numFmt numFmtId="174" formatCode="0.0%"/>
    <numFmt numFmtId="175" formatCode="0_);\(0\)"/>
    <numFmt numFmtId="176" formatCode="#,##0.0000000;\-#,##0.0000000;&quot;&quot;"/>
  </numFmts>
  <fonts count="3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Arial Unicode MS"/>
      <family val="2"/>
    </font>
    <font>
      <vertAlign val="superscript"/>
      <sz val="10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thin">
        <color indexed="64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22"/>
      </bottom>
      <diagonal/>
    </border>
  </borders>
  <cellStyleXfs count="7">
    <xf numFmtId="0" fontId="0" fillId="0" borderId="0"/>
    <xf numFmtId="0" fontId="9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2" applyNumberFormat="0" applyAlignment="0" applyProtection="0"/>
    <xf numFmtId="9" fontId="17" fillId="0" borderId="0" applyFont="0" applyFill="0" applyBorder="0" applyAlignment="0" applyProtection="0"/>
    <xf numFmtId="0" fontId="2" fillId="0" borderId="0"/>
    <xf numFmtId="0" fontId="2" fillId="0" borderId="0"/>
  </cellStyleXfs>
  <cellXfs count="351">
    <xf numFmtId="0" fontId="0" fillId="0" borderId="0" xfId="0"/>
    <xf numFmtId="0" fontId="10" fillId="6" borderId="0" xfId="1" applyFont="1" applyFill="1" applyAlignment="1">
      <alignment wrapText="1"/>
    </xf>
    <xf numFmtId="0" fontId="9" fillId="6" borderId="0" xfId="1" applyFill="1" applyAlignment="1">
      <alignment wrapText="1"/>
    </xf>
    <xf numFmtId="0" fontId="13" fillId="7" borderId="0" xfId="1" applyFont="1" applyFill="1" applyAlignment="1">
      <alignment wrapText="1"/>
    </xf>
    <xf numFmtId="0" fontId="14" fillId="7" borderId="0" xfId="2" applyFont="1" applyFill="1" applyAlignment="1">
      <alignment horizontal="center"/>
    </xf>
    <xf numFmtId="0" fontId="9" fillId="6" borderId="0" xfId="1" applyFont="1" applyFill="1" applyAlignment="1">
      <alignment wrapText="1"/>
    </xf>
    <xf numFmtId="0" fontId="15" fillId="7" borderId="0" xfId="2" applyFont="1" applyFill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/>
    <xf numFmtId="165" fontId="7" fillId="0" borderId="0" xfId="0" applyNumberFormat="1" applyFont="1" applyFill="1" applyBorder="1" applyAlignment="1">
      <alignment horizontal="left" wrapText="1"/>
    </xf>
    <xf numFmtId="0" fontId="6" fillId="0" borderId="0" xfId="0" applyFont="1" applyFill="1"/>
    <xf numFmtId="0" fontId="13" fillId="7" borderId="0" xfId="1" applyFont="1" applyFill="1" applyAlignment="1">
      <alignment horizontal="right" wrapText="1"/>
    </xf>
    <xf numFmtId="0" fontId="16" fillId="7" borderId="0" xfId="1" applyFont="1" applyFill="1" applyAlignment="1">
      <alignment wrapText="1"/>
    </xf>
    <xf numFmtId="0" fontId="13" fillId="7" borderId="0" xfId="1" applyFont="1" applyFill="1" applyAlignment="1">
      <alignment horizontal="left" wrapText="1"/>
    </xf>
    <xf numFmtId="0" fontId="13" fillId="7" borderId="0" xfId="1" applyFont="1" applyFill="1" applyAlignment="1">
      <alignment horizontal="left"/>
    </xf>
    <xf numFmtId="0" fontId="1" fillId="2" borderId="12" xfId="0" applyFont="1" applyFill="1" applyBorder="1" applyAlignment="1">
      <alignment horizontal="left"/>
    </xf>
    <xf numFmtId="172" fontId="1" fillId="0" borderId="0" xfId="0" applyNumberFormat="1" applyFont="1" applyFill="1" applyBorder="1" applyProtection="1">
      <protection locked="0"/>
    </xf>
    <xf numFmtId="167" fontId="1" fillId="0" borderId="0" xfId="0" applyNumberFormat="1" applyFont="1" applyFill="1" applyBorder="1" applyProtection="1">
      <protection locked="0"/>
    </xf>
    <xf numFmtId="0" fontId="18" fillId="8" borderId="17" xfId="0" applyNumberFormat="1" applyFont="1" applyFill="1" applyBorder="1" applyAlignment="1">
      <alignment horizontal="center" vertical="center"/>
    </xf>
    <xf numFmtId="0" fontId="18" fillId="8" borderId="12" xfId="0" applyNumberFormat="1" applyFont="1" applyFill="1" applyBorder="1" applyAlignment="1">
      <alignment horizontal="center" vertical="center"/>
    </xf>
    <xf numFmtId="0" fontId="18" fillId="8" borderId="13" xfId="0" applyNumberFormat="1" applyFont="1" applyFill="1" applyBorder="1" applyAlignment="1">
      <alignment horizontal="center" vertical="center"/>
    </xf>
    <xf numFmtId="0" fontId="18" fillId="8" borderId="14" xfId="0" applyNumberFormat="1" applyFont="1" applyFill="1" applyBorder="1" applyAlignment="1">
      <alignment horizontal="center" vertical="center"/>
    </xf>
    <xf numFmtId="0" fontId="19" fillId="0" borderId="0" xfId="0" applyNumberFormat="1" applyFont="1" applyAlignment="1"/>
    <xf numFmtId="0" fontId="18" fillId="8" borderId="19" xfId="0" applyNumberFormat="1" applyFont="1" applyFill="1" applyBorder="1" applyAlignment="1">
      <alignment horizontal="center" vertical="center"/>
    </xf>
    <xf numFmtId="0" fontId="18" fillId="8" borderId="17" xfId="0" applyNumberFormat="1" applyFont="1" applyFill="1" applyBorder="1" applyAlignment="1">
      <alignment vertical="center"/>
    </xf>
    <xf numFmtId="0" fontId="20" fillId="0" borderId="31" xfId="0" applyNumberFormat="1" applyFont="1" applyBorder="1" applyAlignment="1">
      <alignment vertical="center"/>
    </xf>
    <xf numFmtId="0" fontId="18" fillId="8" borderId="31" xfId="0" applyNumberFormat="1" applyFont="1" applyFill="1" applyBorder="1" applyAlignment="1">
      <alignment horizontal="center" vertical="center"/>
    </xf>
    <xf numFmtId="0" fontId="18" fillId="8" borderId="0" xfId="0" applyNumberFormat="1" applyFont="1" applyFill="1" applyBorder="1" applyAlignment="1">
      <alignment horizontal="center" vertical="center"/>
    </xf>
    <xf numFmtId="0" fontId="18" fillId="8" borderId="44" xfId="0" applyNumberFormat="1" applyFont="1" applyFill="1" applyBorder="1" applyAlignment="1">
      <alignment horizontal="center" vertical="center"/>
    </xf>
    <xf numFmtId="0" fontId="18" fillId="8" borderId="19" xfId="0" applyNumberFormat="1" applyFont="1" applyFill="1" applyBorder="1" applyAlignment="1">
      <alignment vertical="center"/>
    </xf>
    <xf numFmtId="0" fontId="18" fillId="8" borderId="32" xfId="0" applyNumberFormat="1" applyFont="1" applyFill="1" applyBorder="1" applyAlignment="1">
      <alignment horizontal="center" vertical="center"/>
    </xf>
    <xf numFmtId="0" fontId="18" fillId="8" borderId="36" xfId="0" applyNumberFormat="1" applyFont="1" applyFill="1" applyBorder="1" applyAlignment="1">
      <alignment horizontal="center" vertical="center"/>
    </xf>
    <xf numFmtId="0" fontId="18" fillId="8" borderId="4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0" fontId="18" fillId="8" borderId="16" xfId="0" applyNumberFormat="1" applyFont="1" applyFill="1" applyBorder="1" applyAlignment="1">
      <alignment horizontal="center" vertical="center"/>
    </xf>
    <xf numFmtId="0" fontId="18" fillId="8" borderId="3" xfId="0" applyNumberFormat="1" applyFont="1" applyFill="1" applyBorder="1" applyAlignment="1">
      <alignment horizontal="center" vertical="center"/>
    </xf>
    <xf numFmtId="0" fontId="20" fillId="0" borderId="0" xfId="0" applyNumberFormat="1" applyFont="1" applyAlignment="1">
      <alignment vertical="center"/>
    </xf>
    <xf numFmtId="0" fontId="18" fillId="8" borderId="24" xfId="0" applyNumberFormat="1" applyFont="1" applyFill="1" applyBorder="1" applyAlignment="1">
      <alignment horizontal="center" vertical="center"/>
    </xf>
    <xf numFmtId="0" fontId="18" fillId="8" borderId="12" xfId="0" applyNumberFormat="1" applyFont="1" applyFill="1" applyBorder="1" applyAlignment="1">
      <alignment vertical="center"/>
    </xf>
    <xf numFmtId="0" fontId="18" fillId="8" borderId="24" xfId="0" applyNumberFormat="1" applyFont="1" applyFill="1" applyBorder="1" applyAlignment="1">
      <alignment vertical="center"/>
    </xf>
    <xf numFmtId="0" fontId="18" fillId="8" borderId="12" xfId="0" applyNumberFormat="1" applyFont="1" applyFill="1" applyBorder="1" applyAlignment="1">
      <alignment horizontal="left" vertical="center"/>
    </xf>
    <xf numFmtId="0" fontId="18" fillId="8" borderId="53" xfId="0" applyNumberFormat="1" applyFont="1" applyFill="1" applyBorder="1" applyAlignment="1">
      <alignment horizontal="center" vertical="center"/>
    </xf>
    <xf numFmtId="0" fontId="19" fillId="0" borderId="1" xfId="0" applyNumberFormat="1" applyFont="1" applyBorder="1" applyAlignment="1"/>
    <xf numFmtId="0" fontId="19" fillId="0" borderId="54" xfId="0" applyNumberFormat="1" applyFont="1" applyBorder="1" applyAlignment="1"/>
    <xf numFmtId="0" fontId="19" fillId="0" borderId="55" xfId="0" applyNumberFormat="1" applyFont="1" applyBorder="1" applyAlignment="1"/>
    <xf numFmtId="0" fontId="19" fillId="0" borderId="56" xfId="0" applyNumberFormat="1" applyFont="1" applyBorder="1" applyAlignment="1"/>
    <xf numFmtId="0" fontId="19" fillId="0" borderId="22" xfId="0" applyNumberFormat="1" applyFont="1" applyBorder="1" applyAlignment="1"/>
    <xf numFmtId="0" fontId="19" fillId="0" borderId="21" xfId="0" applyNumberFormat="1" applyFont="1" applyBorder="1" applyAlignment="1"/>
    <xf numFmtId="0" fontId="19" fillId="0" borderId="25" xfId="0" applyNumberFormat="1" applyFont="1" applyBorder="1" applyAlignment="1"/>
    <xf numFmtId="0" fontId="19" fillId="0" borderId="26" xfId="0" applyNumberFormat="1" applyFont="1" applyBorder="1" applyAlignment="1"/>
    <xf numFmtId="0" fontId="19" fillId="0" borderId="27" xfId="0" applyNumberFormat="1" applyFont="1" applyBorder="1" applyAlignment="1"/>
    <xf numFmtId="0" fontId="19" fillId="0" borderId="15" xfId="0" applyNumberFormat="1" applyFont="1" applyBorder="1" applyAlignment="1"/>
    <xf numFmtId="0" fontId="19" fillId="0" borderId="16" xfId="0" applyNumberFormat="1" applyFont="1" applyBorder="1" applyAlignment="1"/>
    <xf numFmtId="0" fontId="19" fillId="0" borderId="3" xfId="0" applyNumberFormat="1" applyFont="1" applyBorder="1" applyAlignment="1"/>
    <xf numFmtId="0" fontId="19" fillId="0" borderId="12" xfId="0" applyNumberFormat="1" applyFont="1" applyBorder="1" applyAlignment="1"/>
    <xf numFmtId="0" fontId="19" fillId="0" borderId="13" xfId="0" applyNumberFormat="1" applyFont="1" applyBorder="1" applyAlignment="1"/>
    <xf numFmtId="0" fontId="19" fillId="0" borderId="14" xfId="0" applyNumberFormat="1" applyFont="1" applyBorder="1" applyAlignment="1"/>
    <xf numFmtId="0" fontId="19" fillId="0" borderId="31" xfId="0" applyNumberFormat="1" applyFont="1" applyBorder="1" applyAlignment="1"/>
    <xf numFmtId="0" fontId="19" fillId="0" borderId="0" xfId="0" applyNumberFormat="1" applyFont="1" applyBorder="1" applyAlignment="1"/>
    <xf numFmtId="0" fontId="19" fillId="0" borderId="44" xfId="0" applyNumberFormat="1" applyFont="1" applyBorder="1" applyAlignment="1"/>
    <xf numFmtId="0" fontId="19" fillId="0" borderId="32" xfId="0" applyNumberFormat="1" applyFont="1" applyBorder="1" applyAlignment="1"/>
    <xf numFmtId="0" fontId="19" fillId="0" borderId="36" xfId="0" applyNumberFormat="1" applyFont="1" applyBorder="1" applyAlignment="1"/>
    <xf numFmtId="0" fontId="19" fillId="0" borderId="45" xfId="0" applyNumberFormat="1" applyFont="1" applyBorder="1" applyAlignment="1"/>
    <xf numFmtId="0" fontId="18" fillId="8" borderId="1" xfId="0" applyNumberFormat="1" applyFont="1" applyFill="1" applyBorder="1" applyAlignment="1">
      <alignment vertical="center"/>
    </xf>
    <xf numFmtId="0" fontId="18" fillId="8" borderId="1" xfId="0" applyNumberFormat="1" applyFont="1" applyFill="1" applyBorder="1" applyAlignment="1">
      <alignment horizontal="center" vertical="center"/>
    </xf>
    <xf numFmtId="0" fontId="18" fillId="8" borderId="6" xfId="0" applyNumberFormat="1" applyFont="1" applyFill="1" applyBorder="1" applyAlignment="1">
      <alignment horizontal="center" vertical="center"/>
    </xf>
    <xf numFmtId="0" fontId="18" fillId="8" borderId="20" xfId="0" applyNumberFormat="1" applyFont="1" applyFill="1" applyBorder="1" applyAlignment="1">
      <alignment horizontal="center" vertical="center"/>
    </xf>
    <xf numFmtId="0" fontId="18" fillId="8" borderId="20" xfId="0" applyNumberFormat="1" applyFont="1" applyFill="1" applyBorder="1" applyAlignment="1">
      <alignment vertical="center"/>
    </xf>
    <xf numFmtId="0" fontId="18" fillId="8" borderId="57" xfId="0" applyNumberFormat="1" applyFont="1" applyFill="1" applyBorder="1" applyAlignment="1">
      <alignment horizontal="center" vertical="center"/>
    </xf>
    <xf numFmtId="0" fontId="18" fillId="8" borderId="54" xfId="0" applyNumberFormat="1" applyFont="1" applyFill="1" applyBorder="1" applyAlignment="1">
      <alignment horizontal="center" vertical="center"/>
    </xf>
    <xf numFmtId="0" fontId="18" fillId="8" borderId="55" xfId="0" applyNumberFormat="1" applyFont="1" applyFill="1" applyBorder="1" applyAlignment="1">
      <alignment horizontal="center" vertical="center"/>
    </xf>
    <xf numFmtId="0" fontId="18" fillId="8" borderId="56" xfId="0" applyNumberFormat="1" applyFont="1" applyFill="1" applyBorder="1" applyAlignment="1">
      <alignment horizontal="center" vertical="center"/>
    </xf>
    <xf numFmtId="0" fontId="18" fillId="8" borderId="22" xfId="0" applyNumberFormat="1" applyFont="1" applyFill="1" applyBorder="1" applyAlignment="1">
      <alignment vertical="center"/>
    </xf>
    <xf numFmtId="0" fontId="18" fillId="8" borderId="21" xfId="0" applyNumberFormat="1" applyFont="1" applyFill="1" applyBorder="1" applyAlignment="1">
      <alignment horizontal="center" vertical="center"/>
    </xf>
    <xf numFmtId="0" fontId="18" fillId="8" borderId="22" xfId="0" applyNumberFormat="1" applyFont="1" applyFill="1" applyBorder="1" applyAlignment="1">
      <alignment horizontal="center" vertical="center"/>
    </xf>
    <xf numFmtId="0" fontId="18" fillId="8" borderId="25" xfId="0" applyNumberFormat="1" applyFont="1" applyFill="1" applyBorder="1" applyAlignment="1">
      <alignment horizontal="center" vertical="center"/>
    </xf>
    <xf numFmtId="0" fontId="18" fillId="8" borderId="26" xfId="0" applyNumberFormat="1" applyFont="1" applyFill="1" applyBorder="1" applyAlignment="1">
      <alignment horizontal="center" vertical="center"/>
    </xf>
    <xf numFmtId="0" fontId="18" fillId="8" borderId="27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/>
    </xf>
    <xf numFmtId="171" fontId="1" fillId="0" borderId="0" xfId="0" applyNumberFormat="1" applyFont="1" applyFill="1"/>
    <xf numFmtId="0" fontId="16" fillId="7" borderId="0" xfId="1" applyFont="1" applyFill="1" applyAlignment="1">
      <alignment horizontal="left" wrapText="1"/>
    </xf>
    <xf numFmtId="0" fontId="5" fillId="0" borderId="0" xfId="0" applyFont="1" applyFill="1"/>
    <xf numFmtId="165" fontId="7" fillId="0" borderId="0" xfId="0" applyNumberFormat="1" applyFont="1" applyFill="1"/>
    <xf numFmtId="165" fontId="8" fillId="0" borderId="34" xfId="0" applyNumberFormat="1" applyFont="1" applyFill="1" applyBorder="1"/>
    <xf numFmtId="165" fontId="8" fillId="0" borderId="5" xfId="0" applyNumberFormat="1" applyFont="1" applyFill="1" applyBorder="1"/>
    <xf numFmtId="165" fontId="8" fillId="0" borderId="34" xfId="0" applyNumberFormat="1" applyFont="1" applyFill="1" applyBorder="1" applyAlignment="1">
      <alignment horizontal="left"/>
    </xf>
    <xf numFmtId="165" fontId="7" fillId="0" borderId="2" xfId="0" applyNumberFormat="1" applyFont="1" applyFill="1" applyBorder="1" applyAlignment="1">
      <alignment horizontal="left" wrapText="1"/>
    </xf>
    <xf numFmtId="165" fontId="7" fillId="0" borderId="36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165" fontId="8" fillId="0" borderId="0" xfId="0" applyNumberFormat="1" applyFont="1" applyFill="1"/>
    <xf numFmtId="0" fontId="8" fillId="0" borderId="2" xfId="0" applyFont="1" applyFill="1" applyBorder="1" applyAlignment="1">
      <alignment horizontal="center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34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3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8" fillId="0" borderId="0" xfId="0" applyFont="1" applyFill="1"/>
    <xf numFmtId="0" fontId="7" fillId="0" borderId="35" xfId="0" applyFont="1" applyFill="1" applyBorder="1" applyAlignment="1">
      <alignment horizontal="left" wrapText="1"/>
    </xf>
    <xf numFmtId="0" fontId="7" fillId="0" borderId="35" xfId="0" applyFont="1" applyFill="1" applyBorder="1" applyAlignment="1">
      <alignment horizontal="center" wrapText="1"/>
    </xf>
    <xf numFmtId="0" fontId="7" fillId="0" borderId="18" xfId="0" applyFont="1" applyFill="1" applyBorder="1" applyAlignment="1">
      <alignment horizontal="right" wrapText="1"/>
    </xf>
    <xf numFmtId="0" fontId="7" fillId="0" borderId="37" xfId="0" applyFont="1" applyFill="1" applyBorder="1"/>
    <xf numFmtId="0" fontId="7" fillId="0" borderId="4" xfId="0" applyFont="1" applyFill="1" applyBorder="1"/>
    <xf numFmtId="0" fontId="7" fillId="0" borderId="38" xfId="0" applyFont="1" applyFill="1" applyBorder="1"/>
    <xf numFmtId="0" fontId="7" fillId="0" borderId="4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24" fillId="0" borderId="0" xfId="0" applyFont="1" applyFill="1"/>
    <xf numFmtId="0" fontId="2" fillId="0" borderId="0" xfId="0" applyFont="1" applyFill="1"/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16" fillId="0" borderId="52" xfId="3" applyFont="1" applyFill="1"/>
    <xf numFmtId="9" fontId="16" fillId="0" borderId="52" xfId="3" applyNumberFormat="1" applyFont="1" applyFill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right" wrapText="1"/>
    </xf>
    <xf numFmtId="0" fontId="7" fillId="0" borderId="35" xfId="0" applyFont="1" applyFill="1" applyBorder="1" applyAlignment="1">
      <alignment horizontal="right" wrapText="1"/>
    </xf>
    <xf numFmtId="0" fontId="7" fillId="0" borderId="34" xfId="0" applyFont="1" applyFill="1" applyBorder="1"/>
    <xf numFmtId="2" fontId="7" fillId="0" borderId="34" xfId="0" applyNumberFormat="1" applyFont="1" applyFill="1" applyBorder="1" applyAlignment="1">
      <alignment horizontal="right"/>
    </xf>
    <xf numFmtId="0" fontId="7" fillId="0" borderId="18" xfId="0" applyFont="1" applyFill="1" applyBorder="1" applyAlignment="1">
      <alignment horizontal="center" wrapText="1"/>
    </xf>
    <xf numFmtId="165" fontId="7" fillId="0" borderId="36" xfId="0" applyNumberFormat="1" applyFont="1" applyFill="1" applyBorder="1" applyAlignment="1">
      <alignment horizontal="center" wrapText="1"/>
    </xf>
    <xf numFmtId="0" fontId="7" fillId="0" borderId="23" xfId="0" applyFont="1" applyFill="1" applyBorder="1"/>
    <xf numFmtId="164" fontId="7" fillId="0" borderId="0" xfId="0" applyNumberFormat="1" applyFont="1" applyFill="1" applyBorder="1" applyAlignment="1">
      <alignment horizontal="center" wrapText="1"/>
    </xf>
    <xf numFmtId="0" fontId="7" fillId="0" borderId="34" xfId="0" applyFont="1" applyFill="1" applyBorder="1" applyAlignment="1">
      <alignment horizontal="center"/>
    </xf>
    <xf numFmtId="169" fontId="7" fillId="0" borderId="34" xfId="0" applyNumberFormat="1" applyFont="1" applyFill="1" applyBorder="1" applyAlignment="1">
      <alignment horizontal="center"/>
    </xf>
    <xf numFmtId="2" fontId="7" fillId="0" borderId="0" xfId="0" applyNumberFormat="1" applyFont="1" applyFill="1" applyAlignment="1">
      <alignment horizontal="center"/>
    </xf>
    <xf numFmtId="169" fontId="7" fillId="0" borderId="0" xfId="0" applyNumberFormat="1" applyFont="1" applyFill="1" applyBorder="1" applyAlignment="1">
      <alignment horizontal="center"/>
    </xf>
    <xf numFmtId="164" fontId="7" fillId="0" borderId="46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9" fontId="7" fillId="0" borderId="4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0" fontId="7" fillId="0" borderId="5" xfId="0" applyFont="1" applyFill="1" applyBorder="1"/>
    <xf numFmtId="2" fontId="7" fillId="0" borderId="0" xfId="0" applyNumberFormat="1" applyFont="1" applyFill="1" applyBorder="1" applyAlignment="1">
      <alignment horizontal="right"/>
    </xf>
    <xf numFmtId="2" fontId="7" fillId="0" borderId="4" xfId="0" applyNumberFormat="1" applyFont="1" applyFill="1" applyBorder="1" applyAlignment="1">
      <alignment horizontal="right"/>
    </xf>
    <xf numFmtId="170" fontId="7" fillId="0" borderId="4" xfId="0" applyNumberFormat="1" applyFont="1" applyFill="1" applyBorder="1" applyAlignment="1">
      <alignment horizontal="center"/>
    </xf>
    <xf numFmtId="1" fontId="7" fillId="0" borderId="4" xfId="0" applyNumberFormat="1" applyFont="1" applyFill="1" applyBorder="1"/>
    <xf numFmtId="2" fontId="7" fillId="0" borderId="4" xfId="0" applyNumberFormat="1" applyFont="1" applyFill="1" applyBorder="1"/>
    <xf numFmtId="2" fontId="8" fillId="0" borderId="4" xfId="0" applyNumberFormat="1" applyFont="1" applyFill="1" applyBorder="1" applyAlignment="1">
      <alignment horizontal="center"/>
    </xf>
    <xf numFmtId="1" fontId="7" fillId="0" borderId="34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 wrapText="1"/>
    </xf>
    <xf numFmtId="1" fontId="7" fillId="0" borderId="4" xfId="0" applyNumberFormat="1" applyFont="1" applyFill="1" applyBorder="1" applyAlignment="1">
      <alignment horizontal="center" wrapText="1"/>
    </xf>
    <xf numFmtId="0" fontId="7" fillId="0" borderId="20" xfId="0" applyFont="1" applyFill="1" applyBorder="1"/>
    <xf numFmtId="2" fontId="7" fillId="0" borderId="5" xfId="0" applyNumberFormat="1" applyFont="1" applyFill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9" fontId="7" fillId="0" borderId="5" xfId="0" applyNumberFormat="1" applyFont="1" applyFill="1" applyBorder="1" applyAlignment="1">
      <alignment horizontal="center"/>
    </xf>
    <xf numFmtId="170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170" fontId="7" fillId="0" borderId="0" xfId="0" applyNumberFormat="1" applyFont="1" applyFill="1" applyBorder="1" applyAlignment="1">
      <alignment horizontal="center" wrapText="1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0" xfId="0" applyNumberFormat="1" applyFont="1" applyFill="1" applyBorder="1" applyAlignment="1">
      <alignment horizontal="right"/>
    </xf>
    <xf numFmtId="0" fontId="7" fillId="0" borderId="0" xfId="0" applyFont="1" applyFill="1" applyAlignment="1"/>
    <xf numFmtId="164" fontId="7" fillId="0" borderId="0" xfId="0" applyNumberFormat="1" applyFont="1" applyFill="1" applyBorder="1" applyAlignment="1">
      <alignment wrapText="1"/>
    </xf>
    <xf numFmtId="169" fontId="7" fillId="0" borderId="0" xfId="0" applyNumberFormat="1" applyFont="1" applyFill="1" applyAlignment="1">
      <alignment horizontal="center"/>
    </xf>
    <xf numFmtId="164" fontId="7" fillId="0" borderId="46" xfId="0" applyNumberFormat="1" applyFont="1" applyFill="1" applyBorder="1" applyAlignment="1">
      <alignment wrapText="1"/>
    </xf>
    <xf numFmtId="164" fontId="7" fillId="0" borderId="4" xfId="0" applyNumberFormat="1" applyFont="1" applyFill="1" applyBorder="1" applyAlignment="1">
      <alignment wrapText="1"/>
    </xf>
    <xf numFmtId="2" fontId="8" fillId="0" borderId="0" xfId="0" applyNumberFormat="1" applyFont="1" applyFill="1" applyAlignment="1">
      <alignment horizontal="center"/>
    </xf>
    <xf numFmtId="170" fontId="8" fillId="0" borderId="0" xfId="0" applyNumberFormat="1" applyFont="1" applyFill="1" applyAlignment="1">
      <alignment horizontal="center"/>
    </xf>
    <xf numFmtId="0" fontId="7" fillId="0" borderId="18" xfId="0" applyFont="1" applyFill="1" applyBorder="1" applyAlignment="1">
      <alignment horizontal="left" wrapText="1"/>
    </xf>
    <xf numFmtId="2" fontId="2" fillId="0" borderId="0" xfId="0" applyNumberFormat="1" applyFont="1" applyFill="1"/>
    <xf numFmtId="0" fontId="2" fillId="0" borderId="0" xfId="5" applyFont="1" applyFill="1"/>
    <xf numFmtId="0" fontId="1" fillId="0" borderId="0" xfId="6" applyFont="1" applyFill="1" applyAlignment="1">
      <alignment horizontal="right"/>
    </xf>
    <xf numFmtId="0" fontId="1" fillId="0" borderId="0" xfId="6" applyFont="1" applyFill="1" applyAlignment="1">
      <alignment horizontal="left"/>
    </xf>
    <xf numFmtId="2" fontId="2" fillId="0" borderId="0" xfId="5" applyNumberFormat="1" applyFont="1" applyFill="1"/>
    <xf numFmtId="0" fontId="2" fillId="0" borderId="37" xfId="5" applyFont="1" applyFill="1" applyBorder="1" applyAlignment="1">
      <alignment horizontal="center"/>
    </xf>
    <xf numFmtId="0" fontId="2" fillId="0" borderId="0" xfId="5" applyFont="1" applyFill="1" applyAlignment="1">
      <alignment horizontal="center"/>
    </xf>
    <xf numFmtId="0" fontId="25" fillId="0" borderId="3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centerContinuous" vertical="center" wrapText="1"/>
    </xf>
    <xf numFmtId="0" fontId="2" fillId="0" borderId="4" xfId="0" applyFont="1" applyFill="1" applyBorder="1" applyAlignment="1">
      <alignment horizontal="centerContinuous" vertical="center" wrapText="1"/>
    </xf>
    <xf numFmtId="0" fontId="25" fillId="0" borderId="4" xfId="0" applyFont="1" applyFill="1" applyBorder="1" applyAlignment="1">
      <alignment horizontal="center"/>
    </xf>
    <xf numFmtId="166" fontId="25" fillId="0" borderId="9" xfId="0" applyNumberFormat="1" applyFont="1" applyFill="1" applyBorder="1" applyAlignment="1">
      <alignment horizontal="right"/>
    </xf>
    <xf numFmtId="166" fontId="26" fillId="0" borderId="9" xfId="0" applyNumberFormat="1" applyFont="1" applyFill="1" applyBorder="1" applyAlignment="1">
      <alignment horizontal="right"/>
    </xf>
    <xf numFmtId="175" fontId="26" fillId="0" borderId="9" xfId="0" applyNumberFormat="1" applyFont="1" applyFill="1" applyBorder="1" applyAlignment="1">
      <alignment horizontal="right"/>
    </xf>
    <xf numFmtId="0" fontId="26" fillId="0" borderId="5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left"/>
    </xf>
    <xf numFmtId="0" fontId="27" fillId="0" borderId="4" xfId="0" applyFont="1" applyFill="1" applyBorder="1" applyAlignment="1">
      <alignment horizontal="center"/>
    </xf>
    <xf numFmtId="172" fontId="26" fillId="0" borderId="4" xfId="0" applyNumberFormat="1" applyFont="1" applyFill="1" applyBorder="1" applyAlignment="1">
      <alignment horizontal="right"/>
    </xf>
    <xf numFmtId="0" fontId="26" fillId="0" borderId="7" xfId="0" applyFont="1" applyFill="1" applyBorder="1" applyAlignment="1">
      <alignment horizontal="left"/>
    </xf>
    <xf numFmtId="0" fontId="27" fillId="0" borderId="7" xfId="0" applyFont="1" applyFill="1" applyBorder="1" applyAlignment="1">
      <alignment horizontal="center"/>
    </xf>
    <xf numFmtId="172" fontId="26" fillId="0" borderId="7" xfId="0" applyNumberFormat="1" applyFont="1" applyFill="1" applyBorder="1" applyAlignment="1">
      <alignment horizontal="right"/>
    </xf>
    <xf numFmtId="0" fontId="26" fillId="0" borderId="8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left"/>
    </xf>
    <xf numFmtId="0" fontId="27" fillId="0" borderId="8" xfId="0" applyFont="1" applyFill="1" applyBorder="1" applyAlignment="1">
      <alignment horizontal="center"/>
    </xf>
    <xf numFmtId="164" fontId="26" fillId="0" borderId="5" xfId="0" applyNumberFormat="1" applyFont="1" applyFill="1" applyBorder="1" applyAlignment="1">
      <alignment horizontal="center" vertical="center"/>
    </xf>
    <xf numFmtId="172" fontId="25" fillId="0" borderId="8" xfId="0" applyNumberFormat="1" applyFont="1" applyFill="1" applyBorder="1" applyAlignment="1">
      <alignment horizontal="right"/>
    </xf>
    <xf numFmtId="0" fontId="26" fillId="0" borderId="9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left"/>
    </xf>
    <xf numFmtId="0" fontId="27" fillId="0" borderId="9" xfId="0" applyFont="1" applyFill="1" applyBorder="1" applyAlignment="1">
      <alignment horizontal="center"/>
    </xf>
    <xf numFmtId="172" fontId="25" fillId="0" borderId="9" xfId="0" applyNumberFormat="1" applyFont="1" applyFill="1" applyBorder="1" applyAlignment="1">
      <alignment horizontal="right"/>
    </xf>
    <xf numFmtId="0" fontId="28" fillId="0" borderId="9" xfId="0" applyFont="1" applyFill="1" applyBorder="1" applyAlignment="1">
      <alignment horizontal="center"/>
    </xf>
    <xf numFmtId="0" fontId="29" fillId="0" borderId="9" xfId="0" applyFont="1" applyFill="1" applyBorder="1" applyAlignment="1">
      <alignment horizontal="left"/>
    </xf>
    <xf numFmtId="0" fontId="30" fillId="0" borderId="9" xfId="0" applyFont="1" applyFill="1" applyBorder="1" applyAlignment="1">
      <alignment horizontal="center"/>
    </xf>
    <xf numFmtId="172" fontId="29" fillId="0" borderId="9" xfId="0" applyNumberFormat="1" applyFont="1" applyFill="1" applyBorder="1" applyAlignment="1">
      <alignment horizontal="right"/>
    </xf>
    <xf numFmtId="0" fontId="2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left"/>
    </xf>
    <xf numFmtId="0" fontId="27" fillId="0" borderId="10" xfId="0" applyFont="1" applyFill="1" applyBorder="1" applyAlignment="1">
      <alignment horizontal="center"/>
    </xf>
    <xf numFmtId="172" fontId="25" fillId="0" borderId="10" xfId="0" applyNumberFormat="1" applyFont="1" applyFill="1" applyBorder="1" applyAlignment="1">
      <alignment horizontal="right"/>
    </xf>
    <xf numFmtId="167" fontId="26" fillId="0" borderId="7" xfId="0" applyNumberFormat="1" applyFont="1" applyFill="1" applyBorder="1" applyAlignment="1">
      <alignment horizontal="right"/>
    </xf>
    <xf numFmtId="0" fontId="25" fillId="0" borderId="9" xfId="0" applyFont="1" applyFill="1" applyBorder="1"/>
    <xf numFmtId="171" fontId="26" fillId="0" borderId="5" xfId="0" applyNumberFormat="1" applyFont="1" applyFill="1" applyBorder="1" applyAlignment="1">
      <alignment horizontal="center" vertical="center"/>
    </xf>
    <xf numFmtId="171" fontId="25" fillId="0" borderId="9" xfId="0" applyNumberFormat="1" applyFont="1" applyFill="1" applyBorder="1" applyAlignment="1">
      <alignment horizontal="right"/>
    </xf>
    <xf numFmtId="171" fontId="29" fillId="0" borderId="9" xfId="0" applyNumberFormat="1" applyFont="1" applyFill="1" applyBorder="1" applyAlignment="1">
      <alignment horizontal="right"/>
    </xf>
    <xf numFmtId="172" fontId="2" fillId="0" borderId="0" xfId="0" applyNumberFormat="1" applyFont="1" applyFill="1"/>
    <xf numFmtId="171" fontId="25" fillId="0" borderId="9" xfId="0" applyNumberFormat="1" applyFont="1" applyFill="1" applyBorder="1" applyAlignment="1">
      <alignment horizontal="center"/>
    </xf>
    <xf numFmtId="0" fontId="25" fillId="0" borderId="11" xfId="0" applyFont="1" applyFill="1" applyBorder="1"/>
    <xf numFmtId="0" fontId="26" fillId="0" borderId="1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left"/>
    </xf>
    <xf numFmtId="0" fontId="27" fillId="0" borderId="11" xfId="0" applyFont="1" applyFill="1" applyBorder="1" applyAlignment="1">
      <alignment horizontal="center"/>
    </xf>
    <xf numFmtId="171" fontId="25" fillId="0" borderId="11" xfId="0" applyNumberFormat="1" applyFont="1" applyFill="1" applyBorder="1" applyAlignment="1">
      <alignment horizontal="right"/>
    </xf>
    <xf numFmtId="171" fontId="26" fillId="0" borderId="7" xfId="0" applyNumberFormat="1" applyFont="1" applyFill="1" applyBorder="1" applyAlignment="1">
      <alignment horizontal="right"/>
    </xf>
    <xf numFmtId="173" fontId="25" fillId="0" borderId="9" xfId="0" applyNumberFormat="1" applyFont="1" applyFill="1" applyBorder="1" applyAlignment="1">
      <alignment horizontal="right"/>
    </xf>
    <xf numFmtId="171" fontId="26" fillId="0" borderId="9" xfId="0" applyNumberFormat="1" applyFont="1" applyFill="1" applyBorder="1" applyAlignment="1">
      <alignment horizontal="right"/>
    </xf>
    <xf numFmtId="0" fontId="1" fillId="0" borderId="0" xfId="0" applyFont="1" applyFill="1"/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1" fillId="0" borderId="28" xfId="0" applyFont="1" applyFill="1" applyBorder="1" applyAlignment="1">
      <alignment horizontal="right" wrapText="1"/>
    </xf>
    <xf numFmtId="0" fontId="1" fillId="0" borderId="0" xfId="0" applyFont="1" applyFill="1" applyAlignment="1"/>
    <xf numFmtId="168" fontId="1" fillId="0" borderId="2" xfId="0" applyNumberFormat="1" applyFont="1" applyFill="1" applyBorder="1" applyProtection="1">
      <protection locked="0"/>
    </xf>
    <xf numFmtId="166" fontId="1" fillId="0" borderId="2" xfId="0" applyNumberFormat="1" applyFont="1" applyFill="1" applyBorder="1" applyAlignment="1" applyProtection="1">
      <alignment horizontal="center"/>
      <protection locked="0"/>
    </xf>
    <xf numFmtId="166" fontId="1" fillId="0" borderId="28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58" xfId="0" applyFont="1" applyFill="1" applyBorder="1" applyAlignment="1">
      <alignment horizontal="left"/>
    </xf>
    <xf numFmtId="0" fontId="1" fillId="0" borderId="35" xfId="0" applyFont="1" applyFill="1" applyBorder="1" applyAlignment="1">
      <alignment horizontal="center"/>
    </xf>
    <xf numFmtId="0" fontId="1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36" xfId="0" applyFont="1" applyFill="1" applyBorder="1" applyAlignment="1"/>
    <xf numFmtId="0" fontId="1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13" xfId="0" applyFont="1" applyFill="1" applyBorder="1" applyAlignment="1" applyProtection="1">
      <alignment horizontal="center"/>
      <protection locked="0"/>
    </xf>
    <xf numFmtId="0" fontId="1" fillId="0" borderId="1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Fill="1" applyBorder="1" applyAlignment="1" applyProtection="1">
      <alignment horizontal="left"/>
      <protection locked="0"/>
    </xf>
    <xf numFmtId="0" fontId="1" fillId="0" borderId="31" xfId="0" applyFont="1" applyFill="1" applyBorder="1" applyAlignment="1" applyProtection="1">
      <alignment horizontal="left"/>
      <protection locked="0"/>
    </xf>
    <xf numFmtId="0" fontId="1" fillId="0" borderId="32" xfId="0" applyFont="1" applyFill="1" applyBorder="1" applyAlignment="1" applyProtection="1">
      <alignment horizontal="left"/>
      <protection locked="0"/>
    </xf>
    <xf numFmtId="2" fontId="1" fillId="0" borderId="0" xfId="0" applyNumberFormat="1" applyFont="1" applyFill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5" xfId="0" applyFont="1" applyFill="1" applyBorder="1" applyAlignment="1">
      <alignment horizontal="left"/>
    </xf>
    <xf numFmtId="0" fontId="2" fillId="0" borderId="31" xfId="0" applyFont="1" applyFill="1" applyBorder="1" applyAlignment="1" applyProtection="1">
      <alignment horizontal="left"/>
      <protection locked="0"/>
    </xf>
    <xf numFmtId="0" fontId="2" fillId="0" borderId="32" xfId="0" applyFont="1" applyFill="1" applyBorder="1" applyAlignment="1" applyProtection="1">
      <alignment horizontal="left"/>
      <protection locked="0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left"/>
    </xf>
    <xf numFmtId="0" fontId="1" fillId="0" borderId="31" xfId="0" applyFont="1" applyFill="1" applyBorder="1" applyAlignment="1"/>
    <xf numFmtId="0" fontId="2" fillId="0" borderId="16" xfId="0" applyFont="1" applyFill="1" applyBorder="1" applyAlignment="1">
      <alignment horizontal="right"/>
    </xf>
    <xf numFmtId="0" fontId="1" fillId="0" borderId="32" xfId="0" applyFont="1" applyFill="1" applyBorder="1" applyAlignment="1"/>
    <xf numFmtId="0" fontId="2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/>
    <xf numFmtId="166" fontId="2" fillId="0" borderId="9" xfId="0" applyNumberFormat="1" applyFont="1" applyFill="1" applyBorder="1" applyAlignment="1">
      <alignment horizontal="center"/>
    </xf>
    <xf numFmtId="166" fontId="2" fillId="0" borderId="29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Protection="1">
      <protection locked="0"/>
    </xf>
    <xf numFmtId="0" fontId="2" fillId="0" borderId="4" xfId="0" applyFont="1" applyFill="1" applyBorder="1"/>
    <xf numFmtId="166" fontId="2" fillId="0" borderId="3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6" fontId="2" fillId="0" borderId="0" xfId="0" applyNumberFormat="1" applyFont="1" applyFill="1"/>
    <xf numFmtId="170" fontId="2" fillId="0" borderId="0" xfId="0" applyNumberFormat="1" applyFont="1" applyFill="1"/>
    <xf numFmtId="171" fontId="2" fillId="0" borderId="0" xfId="0" applyNumberFormat="1" applyFont="1" applyFill="1" applyBorder="1" applyProtection="1">
      <protection locked="0"/>
    </xf>
    <xf numFmtId="1" fontId="2" fillId="0" borderId="0" xfId="0" applyNumberFormat="1" applyFont="1" applyFill="1"/>
    <xf numFmtId="172" fontId="2" fillId="0" borderId="9" xfId="0" applyNumberFormat="1" applyFont="1" applyFill="1" applyBorder="1" applyAlignment="1">
      <alignment horizontal="right"/>
    </xf>
    <xf numFmtId="167" fontId="2" fillId="0" borderId="39" xfId="0" applyNumberFormat="1" applyFont="1" applyFill="1" applyBorder="1" applyAlignment="1">
      <alignment horizontal="left"/>
    </xf>
    <xf numFmtId="171" fontId="2" fillId="0" borderId="47" xfId="0" applyNumberFormat="1" applyFont="1" applyFill="1" applyBorder="1" applyAlignment="1">
      <alignment horizontal="right"/>
    </xf>
    <xf numFmtId="171" fontId="2" fillId="0" borderId="51" xfId="0" applyNumberFormat="1" applyFont="1" applyFill="1" applyBorder="1" applyAlignment="1">
      <alignment horizontal="right"/>
    </xf>
    <xf numFmtId="167" fontId="2" fillId="0" borderId="59" xfId="0" applyNumberFormat="1" applyFont="1" applyFill="1" applyBorder="1" applyAlignment="1">
      <alignment horizontal="left"/>
    </xf>
    <xf numFmtId="172" fontId="2" fillId="0" borderId="47" xfId="0" applyNumberFormat="1" applyFont="1" applyFill="1" applyBorder="1" applyAlignment="1">
      <alignment horizontal="center"/>
    </xf>
    <xf numFmtId="171" fontId="2" fillId="0" borderId="47" xfId="0" applyNumberFormat="1" applyFont="1" applyFill="1" applyBorder="1" applyAlignment="1">
      <alignment horizontal="center"/>
    </xf>
    <xf numFmtId="172" fontId="2" fillId="0" borderId="51" xfId="0" applyNumberFormat="1" applyFont="1" applyFill="1" applyBorder="1" applyAlignment="1">
      <alignment horizontal="center"/>
    </xf>
    <xf numFmtId="167" fontId="2" fillId="0" borderId="41" xfId="0" applyNumberFormat="1" applyFont="1" applyFill="1" applyBorder="1" applyAlignment="1">
      <alignment horizontal="left"/>
    </xf>
    <xf numFmtId="171" fontId="2" fillId="0" borderId="9" xfId="0" applyNumberFormat="1" applyFont="1" applyFill="1" applyBorder="1" applyAlignment="1">
      <alignment horizontal="right"/>
    </xf>
    <xf numFmtId="171" fontId="2" fillId="0" borderId="48" xfId="0" applyNumberFormat="1" applyFont="1" applyFill="1" applyBorder="1" applyAlignment="1">
      <alignment horizontal="right"/>
    </xf>
    <xf numFmtId="172" fontId="2" fillId="0" borderId="9" xfId="0" applyNumberFormat="1" applyFont="1" applyFill="1" applyBorder="1" applyAlignment="1">
      <alignment horizontal="center"/>
    </xf>
    <xf numFmtId="172" fontId="2" fillId="0" borderId="48" xfId="0" applyNumberFormat="1" applyFont="1" applyFill="1" applyBorder="1" applyAlignment="1">
      <alignment horizontal="center"/>
    </xf>
    <xf numFmtId="171" fontId="2" fillId="0" borderId="9" xfId="0" applyNumberFormat="1" applyFont="1" applyFill="1" applyBorder="1" applyAlignment="1">
      <alignment horizontal="center"/>
    </xf>
    <xf numFmtId="175" fontId="2" fillId="0" borderId="9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left"/>
    </xf>
    <xf numFmtId="172" fontId="2" fillId="0" borderId="0" xfId="0" applyNumberFormat="1" applyFont="1" applyFill="1" applyBorder="1" applyAlignment="1">
      <alignment horizontal="right"/>
    </xf>
    <xf numFmtId="174" fontId="2" fillId="0" borderId="0" xfId="4" applyNumberFormat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left"/>
    </xf>
    <xf numFmtId="167" fontId="1" fillId="0" borderId="42" xfId="0" applyNumberFormat="1" applyFont="1" applyFill="1" applyBorder="1" applyAlignment="1">
      <alignment horizontal="left"/>
    </xf>
    <xf numFmtId="171" fontId="2" fillId="0" borderId="43" xfId="0" applyNumberFormat="1" applyFont="1" applyFill="1" applyBorder="1" applyAlignment="1">
      <alignment horizontal="right"/>
    </xf>
    <xf numFmtId="171" fontId="2" fillId="0" borderId="49" xfId="0" applyNumberFormat="1" applyFont="1" applyFill="1" applyBorder="1" applyAlignment="1">
      <alignment horizontal="right"/>
    </xf>
    <xf numFmtId="172" fontId="2" fillId="0" borderId="43" xfId="0" applyNumberFormat="1" applyFont="1" applyFill="1" applyBorder="1" applyAlignment="1">
      <alignment horizontal="center"/>
    </xf>
    <xf numFmtId="172" fontId="2" fillId="0" borderId="49" xfId="0" applyNumberFormat="1" applyFont="1" applyFill="1" applyBorder="1" applyAlignment="1">
      <alignment horizontal="right"/>
    </xf>
    <xf numFmtId="171" fontId="2" fillId="0" borderId="43" xfId="0" applyNumberFormat="1" applyFont="1" applyFill="1" applyBorder="1" applyAlignment="1">
      <alignment horizontal="center"/>
    </xf>
    <xf numFmtId="172" fontId="2" fillId="0" borderId="49" xfId="0" applyNumberFormat="1" applyFont="1" applyFill="1" applyBorder="1" applyAlignment="1">
      <alignment horizontal="center"/>
    </xf>
    <xf numFmtId="167" fontId="2" fillId="0" borderId="43" xfId="0" applyNumberFormat="1" applyFont="1" applyFill="1" applyBorder="1" applyAlignment="1">
      <alignment horizontal="center"/>
    </xf>
    <xf numFmtId="0" fontId="2" fillId="0" borderId="12" xfId="0" applyFont="1" applyFill="1" applyBorder="1"/>
    <xf numFmtId="167" fontId="2" fillId="0" borderId="40" xfId="0" applyNumberFormat="1" applyFont="1" applyFill="1" applyBorder="1" applyAlignment="1">
      <alignment horizontal="right"/>
    </xf>
    <xf numFmtId="167" fontId="2" fillId="0" borderId="50" xfId="0" applyNumberFormat="1" applyFont="1" applyFill="1" applyBorder="1" applyAlignment="1">
      <alignment horizontal="right"/>
    </xf>
    <xf numFmtId="2" fontId="2" fillId="0" borderId="13" xfId="0" applyNumberFormat="1" applyFont="1" applyFill="1" applyBorder="1" applyAlignment="1">
      <alignment horizontal="center"/>
    </xf>
    <xf numFmtId="2" fontId="2" fillId="0" borderId="14" xfId="0" applyNumberFormat="1" applyFont="1" applyFill="1" applyBorder="1" applyAlignment="1">
      <alignment horizontal="center"/>
    </xf>
    <xf numFmtId="164" fontId="2" fillId="0" borderId="17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right"/>
    </xf>
    <xf numFmtId="167" fontId="2" fillId="0" borderId="48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164" fontId="2" fillId="0" borderId="44" xfId="0" applyNumberFormat="1" applyFont="1" applyFill="1" applyBorder="1" applyAlignment="1">
      <alignment horizontal="center"/>
    </xf>
    <xf numFmtId="164" fontId="2" fillId="0" borderId="19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44" xfId="0" applyNumberFormat="1" applyFont="1" applyFill="1" applyBorder="1" applyAlignment="1">
      <alignment horizontal="center"/>
    </xf>
    <xf numFmtId="176" fontId="2" fillId="0" borderId="9" xfId="0" applyNumberFormat="1" applyFont="1" applyFill="1" applyBorder="1" applyAlignment="1">
      <alignment horizontal="right"/>
    </xf>
    <xf numFmtId="176" fontId="2" fillId="0" borderId="48" xfId="0" applyNumberFormat="1" applyFont="1" applyFill="1" applyBorder="1" applyAlignment="1">
      <alignment horizontal="right"/>
    </xf>
    <xf numFmtId="2" fontId="2" fillId="0" borderId="36" xfId="0" applyNumberFormat="1" applyFont="1" applyFill="1" applyBorder="1" applyAlignment="1">
      <alignment horizontal="center"/>
    </xf>
    <xf numFmtId="2" fontId="2" fillId="0" borderId="45" xfId="0" applyNumberFormat="1" applyFont="1" applyFill="1" applyBorder="1" applyAlignment="1">
      <alignment horizontal="center"/>
    </xf>
    <xf numFmtId="164" fontId="2" fillId="0" borderId="24" xfId="0" applyNumberFormat="1" applyFont="1" applyFill="1" applyBorder="1" applyAlignment="1">
      <alignment horizontal="center"/>
    </xf>
    <xf numFmtId="167" fontId="2" fillId="0" borderId="43" xfId="0" applyNumberFormat="1" applyFont="1" applyFill="1" applyBorder="1" applyAlignment="1">
      <alignment horizontal="right"/>
    </xf>
    <xf numFmtId="167" fontId="2" fillId="0" borderId="49" xfId="0" applyNumberFormat="1" applyFont="1" applyFill="1" applyBorder="1" applyAlignment="1">
      <alignment horizontal="right"/>
    </xf>
    <xf numFmtId="171" fontId="2" fillId="0" borderId="40" xfId="0" applyNumberFormat="1" applyFont="1" applyFill="1" applyBorder="1" applyAlignment="1">
      <alignment horizontal="right"/>
    </xf>
    <xf numFmtId="171" fontId="2" fillId="0" borderId="50" xfId="0" applyNumberFormat="1" applyFont="1" applyFill="1" applyBorder="1" applyAlignment="1">
      <alignment horizontal="right"/>
    </xf>
    <xf numFmtId="167" fontId="2" fillId="0" borderId="9" xfId="0" applyNumberFormat="1" applyFont="1" applyFill="1" applyBorder="1" applyAlignment="1">
      <alignment horizontal="center" vertical="center"/>
    </xf>
    <xf numFmtId="172" fontId="2" fillId="0" borderId="9" xfId="0" applyNumberFormat="1" applyFont="1" applyFill="1" applyBorder="1" applyAlignment="1">
      <alignment horizontal="center" vertical="center"/>
    </xf>
    <xf numFmtId="171" fontId="2" fillId="0" borderId="48" xfId="0" applyNumberFormat="1" applyFont="1" applyFill="1" applyBorder="1" applyAlignment="1">
      <alignment horizontal="center" vertical="center"/>
    </xf>
    <xf numFmtId="0" fontId="2" fillId="0" borderId="31" xfId="0" applyFont="1" applyFill="1" applyBorder="1"/>
    <xf numFmtId="164" fontId="2" fillId="0" borderId="0" xfId="0" applyNumberFormat="1" applyFont="1" applyFill="1" applyBorder="1"/>
    <xf numFmtId="166" fontId="2" fillId="0" borderId="0" xfId="0" applyNumberFormat="1" applyFont="1" applyFill="1" applyBorder="1"/>
    <xf numFmtId="0" fontId="2" fillId="0" borderId="44" xfId="0" applyFont="1" applyFill="1" applyBorder="1"/>
    <xf numFmtId="0" fontId="2" fillId="0" borderId="16" xfId="0" applyFont="1" applyFill="1" applyBorder="1"/>
    <xf numFmtId="9" fontId="2" fillId="0" borderId="15" xfId="4" applyFont="1" applyFill="1" applyBorder="1" applyAlignment="1">
      <alignment horizontal="center" vertical="center"/>
    </xf>
    <xf numFmtId="0" fontId="2" fillId="0" borderId="32" xfId="0" applyFont="1" applyFill="1" applyBorder="1"/>
    <xf numFmtId="164" fontId="2" fillId="0" borderId="36" xfId="0" applyNumberFormat="1" applyFont="1" applyFill="1" applyBorder="1"/>
    <xf numFmtId="166" fontId="2" fillId="0" borderId="36" xfId="0" applyNumberFormat="1" applyFont="1" applyFill="1" applyBorder="1"/>
    <xf numFmtId="0" fontId="2" fillId="0" borderId="45" xfId="0" applyFont="1" applyFill="1" applyBorder="1"/>
    <xf numFmtId="167" fontId="2" fillId="0" borderId="43" xfId="0" applyNumberFormat="1" applyFont="1" applyFill="1" applyBorder="1" applyAlignment="1">
      <alignment horizontal="center" vertical="center"/>
    </xf>
    <xf numFmtId="172" fontId="2" fillId="0" borderId="43" xfId="0" applyNumberFormat="1" applyFont="1" applyFill="1" applyBorder="1" applyAlignment="1">
      <alignment horizontal="center" vertical="center"/>
    </xf>
    <xf numFmtId="171" fontId="2" fillId="0" borderId="49" xfId="0" applyNumberFormat="1" applyFont="1" applyFill="1" applyBorder="1" applyAlignment="1">
      <alignment horizontal="center" vertical="center"/>
    </xf>
    <xf numFmtId="171" fontId="2" fillId="0" borderId="0" xfId="0" applyNumberFormat="1" applyFont="1" applyFill="1"/>
    <xf numFmtId="172" fontId="2" fillId="0" borderId="0" xfId="0" applyNumberFormat="1" applyFont="1" applyFill="1" applyBorder="1" applyAlignment="1">
      <alignment horizontal="center" vertical="center"/>
    </xf>
  </cellXfs>
  <cellStyles count="7">
    <cellStyle name="Accent2" xfId="1" builtinId="33"/>
    <cellStyle name="Good" xfId="2" builtinId="26"/>
    <cellStyle name="Input" xfId="3" builtinId="20"/>
    <cellStyle name="Normal" xfId="0" builtinId="0"/>
    <cellStyle name="Normal 10" xfId="5" xr:uid="{FC1B4592-8812-467C-990C-50302D013572}"/>
    <cellStyle name="Normal 4" xfId="6" xr:uid="{7915E259-2580-4CAE-A0C3-AECDA7DF6361}"/>
    <cellStyle name="Percent" xfId="4" builtinId="5"/>
  </cellStyles>
  <dxfs count="0"/>
  <tableStyles count="0" defaultTableStyle="TableStyleMedium9" defaultPivotStyle="PivotStyleLight16"/>
  <colors>
    <mruColors>
      <color rgb="FFF8F8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57"/>
  <sheetViews>
    <sheetView tabSelected="1" topLeftCell="A3" zoomScale="70" zoomScaleNormal="70" workbookViewId="0">
      <selection activeCell="A3" sqref="A1:XFD1048576"/>
    </sheetView>
  </sheetViews>
  <sheetFormatPr defaultRowHeight="13.2"/>
  <cols>
    <col min="1" max="1" width="3.6640625" style="119" customWidth="1"/>
    <col min="2" max="2" width="20.44140625" style="119" customWidth="1"/>
    <col min="3" max="3" width="31.6640625" style="119" customWidth="1"/>
    <col min="4" max="4" width="14.5546875" style="119" customWidth="1"/>
    <col min="5" max="5" width="30.109375" style="119" customWidth="1"/>
    <col min="6" max="6" width="19.5546875" style="119" customWidth="1"/>
    <col min="7" max="7" width="27.33203125" style="119" customWidth="1"/>
    <col min="8" max="8" width="19.33203125" style="119" customWidth="1"/>
    <col min="9" max="9" width="20" style="119" customWidth="1"/>
    <col min="10" max="10" width="16.33203125" style="119" customWidth="1"/>
    <col min="11" max="11" width="17.6640625" style="119" customWidth="1"/>
    <col min="12" max="12" width="13.5546875" style="119" customWidth="1"/>
    <col min="13" max="13" width="12.44140625" style="119" customWidth="1"/>
    <col min="14" max="14" width="20.44140625" style="278" customWidth="1"/>
    <col min="15" max="15" width="15.44140625" style="119" customWidth="1"/>
    <col min="16" max="16" width="18.44140625" style="119" customWidth="1"/>
    <col min="17" max="17" width="17" style="119" customWidth="1"/>
    <col min="18" max="18" width="15.5546875" style="119" customWidth="1"/>
    <col min="19" max="19" width="7.33203125" style="119" bestFit="1" customWidth="1"/>
    <col min="20" max="20" width="4.33203125" style="119" customWidth="1"/>
    <col min="21" max="21" width="23.109375" style="119" bestFit="1" customWidth="1"/>
    <col min="22" max="22" width="26.44140625" style="119" customWidth="1"/>
    <col min="23" max="23" width="10.109375" style="119" bestFit="1" customWidth="1"/>
    <col min="24" max="24" width="11" style="119" bestFit="1" customWidth="1"/>
    <col min="25" max="25" width="9.5546875" style="119" bestFit="1" customWidth="1"/>
    <col min="26" max="28" width="8.88671875" style="119"/>
    <col min="29" max="29" width="28" style="119" customWidth="1"/>
    <col min="30" max="30" width="12.109375" style="119" bestFit="1" customWidth="1"/>
    <col min="31" max="31" width="13.88671875" style="119" customWidth="1"/>
    <col min="32" max="32" width="8.88671875" style="119"/>
    <col min="33" max="33" width="12.5546875" style="119" customWidth="1"/>
    <col min="34" max="34" width="11.88671875" style="119" customWidth="1"/>
    <col min="35" max="16384" width="8.88671875" style="119"/>
  </cols>
  <sheetData>
    <row r="1" spans="1:16" s="270" customFormat="1" ht="15.6">
      <c r="A1" s="91"/>
      <c r="B1" s="91" t="s">
        <v>254</v>
      </c>
      <c r="C1" s="91"/>
      <c r="M1" s="271"/>
    </row>
    <row r="2" spans="1:16" s="270" customFormat="1" ht="15.6">
      <c r="A2" s="91"/>
      <c r="B2" s="91"/>
      <c r="L2" s="271"/>
    </row>
    <row r="3" spans="1:16" s="270" customFormat="1" ht="15.6">
      <c r="A3" s="91"/>
      <c r="B3" s="91"/>
      <c r="C3" s="183">
        <v>3220</v>
      </c>
      <c r="D3" s="183">
        <v>3234</v>
      </c>
      <c r="E3" s="183">
        <v>3235</v>
      </c>
      <c r="F3" s="183">
        <v>3247</v>
      </c>
      <c r="G3" s="183">
        <v>3260</v>
      </c>
      <c r="H3" s="183" t="s">
        <v>135</v>
      </c>
      <c r="I3" s="183">
        <v>3282</v>
      </c>
      <c r="J3" s="183">
        <v>4100</v>
      </c>
      <c r="K3" s="183">
        <v>6000</v>
      </c>
      <c r="L3" s="271"/>
    </row>
    <row r="4" spans="1:16" s="233" customFormat="1" ht="30" customHeight="1" thickBot="1">
      <c r="A4" s="229">
        <v>45</v>
      </c>
      <c r="B4" s="230" t="s">
        <v>253</v>
      </c>
      <c r="C4" s="231" t="s">
        <v>146</v>
      </c>
      <c r="D4" s="231" t="s">
        <v>147</v>
      </c>
      <c r="E4" s="231" t="s">
        <v>66</v>
      </c>
      <c r="F4" s="231" t="s">
        <v>149</v>
      </c>
      <c r="G4" s="231" t="s">
        <v>151</v>
      </c>
      <c r="H4" s="231" t="s">
        <v>152</v>
      </c>
      <c r="I4" s="231" t="s">
        <v>75</v>
      </c>
      <c r="J4" s="231" t="s">
        <v>157</v>
      </c>
      <c r="K4" s="231" t="s">
        <v>173</v>
      </c>
      <c r="L4" s="232" t="s">
        <v>255</v>
      </c>
    </row>
    <row r="5" spans="1:16" s="270" customFormat="1">
      <c r="A5" s="119">
        <v>0</v>
      </c>
      <c r="B5" s="272" t="s">
        <v>225</v>
      </c>
      <c r="C5" s="273" cm="1">
        <f t="array" ref="C5">HLOOKUP(C$3,'En.Bal-Final_Energy'!$H$1:$BT$52,_xlfn.SINGLE($A$4)+$A5,FALSE)</f>
        <v>0</v>
      </c>
      <c r="D5" s="273" cm="1">
        <f t="array" ref="D5">HLOOKUP(D$3,'En.Bal-Final_Energy'!$H$1:$BT$52,_xlfn.SINGLE($A$4)+$A5,FALSE)</f>
        <v>0</v>
      </c>
      <c r="E5" s="273" cm="1">
        <f t="array" ref="E5">HLOOKUP(E$3,'En.Bal-Final_Energy'!$H$1:$BT$52,_xlfn.SINGLE($A$4)+$A5,FALSE)</f>
        <v>0</v>
      </c>
      <c r="F5" s="273" cm="1">
        <f t="array" ref="F5">HLOOKUP(F$3,'En.Bal-Final_Energy'!$H$1:$BT$52,_xlfn.SINGLE($A$4)+$A5,FALSE)</f>
        <v>0</v>
      </c>
      <c r="G5" s="273" cm="1">
        <f t="array" ref="G5">HLOOKUP(G$3,'En.Bal-Final_Energy'!$H$1:$BT$52,_xlfn.SINGLE($A$4)+$A5,FALSE)</f>
        <v>3.7681200000000001</v>
      </c>
      <c r="H5" s="273" cm="1">
        <f t="array" ref="H5">HLOOKUP(H$3,'En.Bal-Final_Energy'!$H$1:$BT$52,_xlfn.SINGLE($A$4)+$A5,FALSE)</f>
        <v>0</v>
      </c>
      <c r="I5" s="273" cm="1">
        <f t="array" ref="I5">HLOOKUP(I$3,'En.Bal-Final_Energy'!$H$1:$BT$52,_xlfn.SINGLE($A$4)+$A5,FALSE)</f>
        <v>0</v>
      </c>
      <c r="J5" s="273" cm="1">
        <f t="array" ref="J5">HLOOKUP(J$3,'En.Bal-Final_Energy'!$H$1:$BT$52,_xlfn.SINGLE($A$4)+$A5,FALSE)</f>
        <v>0</v>
      </c>
      <c r="K5" s="273" cm="1">
        <f t="array" ref="K5">HLOOKUP(K$3,'En.Bal-Final_Energy'!$H$1:$BT$52,_xlfn.SINGLE($A$4)+$A5,FALSE)</f>
        <v>1.172304</v>
      </c>
      <c r="L5" s="274">
        <f t="shared" ref="L5:L10" si="0">SUM(C5:K5)</f>
        <v>4.9404240000000001</v>
      </c>
      <c r="M5" s="275"/>
    </row>
    <row r="6" spans="1:16" ht="13.5" customHeight="1">
      <c r="A6" s="119">
        <f>A5+1</f>
        <v>1</v>
      </c>
      <c r="B6" s="272" t="s">
        <v>227</v>
      </c>
      <c r="C6" s="273" cm="1">
        <f t="array" ref="C6">HLOOKUP(C$3,'En.Bal-Final_Energy'!$H$1:$BT$52,_xlfn.SINGLE($A$4)+$A6,FALSE)</f>
        <v>0</v>
      </c>
      <c r="D6" s="273" cm="1">
        <f t="array" ref="D6">HLOOKUP(D$3,'En.Bal-Final_Energy'!$H$1:$BT$52,_xlfn.SINGLE($A$4)+$A6,FALSE)</f>
        <v>62.802000000000007</v>
      </c>
      <c r="E6" s="273" cm="1">
        <f t="array" ref="E6">HLOOKUP(E$3,'En.Bal-Final_Energy'!$H$1:$BT$52,_xlfn.SINGLE($A$4)+$A6,FALSE)</f>
        <v>0</v>
      </c>
      <c r="F6" s="273" cm="1">
        <f t="array" ref="F6">HLOOKUP(F$3,'En.Bal-Final_Energy'!$H$1:$BT$52,_xlfn.SINGLE($A$4)+$A6,FALSE)</f>
        <v>0</v>
      </c>
      <c r="G6" s="273" cm="1">
        <f t="array" ref="G6">HLOOKUP(G$3,'En.Bal-Final_Energy'!$H$1:$BT$52,_xlfn.SINGLE($A$4)+$A6,FALSE)</f>
        <v>39.7746</v>
      </c>
      <c r="H6" s="273" cm="1">
        <f t="array" ref="H6">HLOOKUP(H$3,'En.Bal-Final_Energy'!$H$1:$BT$52,_xlfn.SINGLE($A$4)+$A6,FALSE)</f>
        <v>0</v>
      </c>
      <c r="I6" s="273" cm="1">
        <f t="array" ref="I6">HLOOKUP(I$3,'En.Bal-Final_Energy'!$H$1:$BT$52,_xlfn.SINGLE($A$4)+$A6,FALSE)</f>
        <v>0</v>
      </c>
      <c r="J6" s="273" cm="1">
        <f t="array" ref="J6">HLOOKUP(J$3,'En.Bal-Final_Energy'!$H$1:$BT$52,_xlfn.SINGLE($A$4)+$A6,FALSE)</f>
        <v>0</v>
      </c>
      <c r="K6" s="273" cm="1">
        <f t="array" ref="K6">HLOOKUP(K$3,'En.Bal-Final_Energy'!$H$1:$BT$52,_xlfn.SINGLE($A$4)+$A6,FALSE)</f>
        <v>0</v>
      </c>
      <c r="L6" s="274">
        <f t="shared" si="0"/>
        <v>102.57660000000001</v>
      </c>
      <c r="N6" s="119"/>
    </row>
    <row r="7" spans="1:16">
      <c r="A7" s="119">
        <f>A6+1</f>
        <v>2</v>
      </c>
      <c r="B7" s="272" t="s">
        <v>229</v>
      </c>
      <c r="C7" s="273" cm="1">
        <f t="array" ref="C7">HLOOKUP(C$3,'En.Bal-Final_Energy'!$H$1:$BT$52,_xlfn.SINGLE($A$4)+$A7,FALSE)</f>
        <v>0</v>
      </c>
      <c r="D7" s="273" cm="1">
        <f t="array" ref="D7">HLOOKUP(D$3,'En.Bal-Final_Energy'!$H$1:$BT$52,_xlfn.SINGLE($A$4)+$A7,FALSE)</f>
        <v>0</v>
      </c>
      <c r="E7" s="273" cm="1">
        <f t="array" ref="E7">HLOOKUP(E$3,'En.Bal-Final_Energy'!$H$1:$BT$52,_xlfn.SINGLE($A$4)+$A7,FALSE)</f>
        <v>0</v>
      </c>
      <c r="F7" s="273" cm="1">
        <f t="array" ref="F7">HLOOKUP(F$3,'En.Bal-Final_Energy'!$H$1:$BT$52,_xlfn.SINGLE($A$4)+$A7,FALSE)</f>
        <v>0</v>
      </c>
      <c r="G7" s="273" cm="1">
        <f t="array" ref="G7">HLOOKUP(G$3,'En.Bal-Final_Energy'!$H$1:$BT$52,_xlfn.SINGLE($A$4)+$A7,FALSE)</f>
        <v>0</v>
      </c>
      <c r="H7" s="273" cm="1">
        <f t="array" ref="H7">HLOOKUP(H$3,'En.Bal-Final_Energy'!$H$1:$BT$52,_xlfn.SINGLE($A$4)+$A7,FALSE)</f>
        <v>0</v>
      </c>
      <c r="I7" s="273" cm="1">
        <f t="array" ref="I7">HLOOKUP(I$3,'En.Bal-Final_Energy'!$H$1:$BT$52,_xlfn.SINGLE($A$4)+$A7,FALSE)</f>
        <v>0</v>
      </c>
      <c r="J7" s="273" cm="1">
        <f t="array" ref="J7">HLOOKUP(J$3,'En.Bal-Final_Energy'!$H$1:$BT$52,_xlfn.SINGLE($A$4)+$A7,FALSE)</f>
        <v>0</v>
      </c>
      <c r="K7" s="273" cm="1">
        <f t="array" ref="K7">HLOOKUP(K$3,'En.Bal-Final_Energy'!$H$1:$BT$52,_xlfn.SINGLE($A$4)+$A7,FALSE)</f>
        <v>0</v>
      </c>
      <c r="L7" s="274">
        <f t="shared" si="0"/>
        <v>0</v>
      </c>
      <c r="N7" s="119"/>
    </row>
    <row r="8" spans="1:16">
      <c r="A8" s="119">
        <f>A7+1</f>
        <v>3</v>
      </c>
      <c r="B8" s="272" t="s">
        <v>231</v>
      </c>
      <c r="C8" s="273" cm="1">
        <f t="array" ref="C8">HLOOKUP(C$3,'En.Bal-Final_Energy'!$H$1:$BT$52,_xlfn.SINGLE($A$4)+$A8,FALSE)</f>
        <v>0</v>
      </c>
      <c r="D8" s="273" cm="1">
        <f t="array" ref="D8">HLOOKUP(D$3,'En.Bal-Final_Energy'!$H$1:$BT$52,_xlfn.SINGLE($A$4)+$A8,FALSE)</f>
        <v>0</v>
      </c>
      <c r="E8" s="273" cm="1">
        <f t="array" ref="E8">HLOOKUP(E$3,'En.Bal-Final_Energy'!$H$1:$BT$52,_xlfn.SINGLE($A$4)+$A8,FALSE)</f>
        <v>0</v>
      </c>
      <c r="F8" s="273" cm="1">
        <f t="array" ref="F8">HLOOKUP(F$3,'En.Bal-Final_Energy'!$H$1:$BT$52,_xlfn.SINGLE($A$4)+$A8,FALSE)</f>
        <v>6.2801999999999998</v>
      </c>
      <c r="G8" s="273" cm="1">
        <f t="array" ref="G8">HLOOKUP(G$3,'En.Bal-Final_Energy'!$H$1:$BT$52,_xlfn.SINGLE($A$4)+$A8,FALSE)</f>
        <v>0</v>
      </c>
      <c r="H8" s="273" cm="1">
        <f t="array" ref="H8">HLOOKUP(H$3,'En.Bal-Final_Energy'!$H$1:$BT$52,_xlfn.SINGLE($A$4)+$A8,FALSE)</f>
        <v>0</v>
      </c>
      <c r="I8" s="273" cm="1">
        <f t="array" ref="I8">HLOOKUP(I$3,'En.Bal-Final_Energy'!$H$1:$BT$52,_xlfn.SINGLE($A$4)+$A8,FALSE)</f>
        <v>0</v>
      </c>
      <c r="J8" s="273" cm="1">
        <f t="array" ref="J8">HLOOKUP(J$3,'En.Bal-Final_Energy'!$H$1:$BT$52,_xlfn.SINGLE($A$4)+$A8,FALSE)</f>
        <v>0</v>
      </c>
      <c r="K8" s="273" cm="1">
        <f t="array" ref="K8">HLOOKUP(K$3,'En.Bal-Final_Energy'!$H$1:$BT$52,_xlfn.SINGLE($A$4)+$A8,FALSE)</f>
        <v>0</v>
      </c>
      <c r="L8" s="274">
        <f t="shared" si="0"/>
        <v>6.2801999999999998</v>
      </c>
      <c r="N8" s="119"/>
    </row>
    <row r="9" spans="1:16">
      <c r="A9" s="119">
        <f>A8+1</f>
        <v>4</v>
      </c>
      <c r="B9" s="276" t="s">
        <v>233</v>
      </c>
      <c r="C9" s="273" cm="1">
        <f t="array" ref="C9">HLOOKUP(C$3,'En.Bal-Final_Energy'!$H$1:$BT$52,_xlfn.SINGLE($A$4)+$A9,FALSE)</f>
        <v>0</v>
      </c>
      <c r="D9" s="273" cm="1">
        <f t="array" ref="D9">HLOOKUP(D$3,'En.Bal-Final_Energy'!$H$1:$BT$52,_xlfn.SINGLE($A$4)+$A9,FALSE)</f>
        <v>0</v>
      </c>
      <c r="E9" s="273" cm="1">
        <f t="array" ref="E9">HLOOKUP(E$3,'En.Bal-Final_Energy'!$H$1:$BT$52,_xlfn.SINGLE($A$4)+$A9,FALSE)</f>
        <v>0</v>
      </c>
      <c r="F9" s="273" cm="1">
        <f t="array" ref="F9">HLOOKUP(F$3,'En.Bal-Final_Energy'!$H$1:$BT$52,_xlfn.SINGLE($A$4)+$A9,FALSE)</f>
        <v>0</v>
      </c>
      <c r="G9" s="273" cm="1">
        <f t="array" ref="G9">HLOOKUP(G$3,'En.Bal-Final_Energy'!$H$1:$BT$52,_xlfn.SINGLE($A$4)+$A9,FALSE)</f>
        <v>0.41868000000000005</v>
      </c>
      <c r="H9" s="273" cm="1">
        <f t="array" ref="H9">HLOOKUP(H$3,'En.Bal-Final_Energy'!$H$1:$BT$52,_xlfn.SINGLE($A$4)+$A9,FALSE)</f>
        <v>0</v>
      </c>
      <c r="I9" s="273" cm="1">
        <f t="array" ref="I9">HLOOKUP(I$3,'En.Bal-Final_Energy'!$H$1:$BT$52,_xlfn.SINGLE($A$4)+$A9,FALSE)</f>
        <v>0</v>
      </c>
      <c r="J9" s="273" cm="1">
        <f t="array" ref="J9">HLOOKUP(J$3,'En.Bal-Final_Energy'!$H$1:$BT$52,_xlfn.SINGLE($A$4)+$A9,FALSE)</f>
        <v>0</v>
      </c>
      <c r="K9" s="273" cm="1">
        <f t="array" ref="K9">HLOOKUP(K$3,'En.Bal-Final_Energy'!$H$1:$BT$52,_xlfn.SINGLE($A$4)+$A9,FALSE)</f>
        <v>0</v>
      </c>
      <c r="L9" s="277">
        <f t="shared" si="0"/>
        <v>0.41868000000000005</v>
      </c>
      <c r="N9" s="119"/>
    </row>
    <row r="10" spans="1:16" ht="13.8" thickBot="1">
      <c r="B10" s="234" t="s">
        <v>255</v>
      </c>
      <c r="C10" s="235">
        <f t="shared" ref="C10:K10" si="1">SUM(C5:C9)</f>
        <v>0</v>
      </c>
      <c r="D10" s="235">
        <f t="shared" si="1"/>
        <v>62.802000000000007</v>
      </c>
      <c r="E10" s="235">
        <f t="shared" si="1"/>
        <v>0</v>
      </c>
      <c r="F10" s="235">
        <f t="shared" si="1"/>
        <v>6.2801999999999998</v>
      </c>
      <c r="G10" s="235">
        <f t="shared" si="1"/>
        <v>43.961400000000005</v>
      </c>
      <c r="H10" s="235">
        <f t="shared" si="1"/>
        <v>0</v>
      </c>
      <c r="I10" s="235">
        <f t="shared" si="1"/>
        <v>0</v>
      </c>
      <c r="J10" s="235">
        <f t="shared" si="1"/>
        <v>0</v>
      </c>
      <c r="K10" s="235">
        <f t="shared" si="1"/>
        <v>1.172304</v>
      </c>
      <c r="L10" s="236">
        <f t="shared" si="0"/>
        <v>114.21590399999999</v>
      </c>
      <c r="N10" s="119"/>
    </row>
    <row r="11" spans="1:16" ht="13.8" thickBot="1">
      <c r="C11" s="237" t="str">
        <f>Commodities!D24</f>
        <v>TRAOILLPG</v>
      </c>
      <c r="D11" s="237" t="str">
        <f>Commodities!D22</f>
        <v>TRAOILGSL</v>
      </c>
      <c r="E11" s="237" t="str">
        <f>Commodities!D23</f>
        <v>TRAOILGSA</v>
      </c>
      <c r="F11" s="237" t="str">
        <f>Commodities!D26</f>
        <v>TRAOILKER</v>
      </c>
      <c r="G11" s="237" t="str">
        <f>Commodities!D21</f>
        <v>TRAOILDSL</v>
      </c>
      <c r="H11" s="237" t="str">
        <f>Commodities!D25</f>
        <v>TRAOILHFO</v>
      </c>
      <c r="I11" s="237" t="str">
        <f>Commodities!D36</f>
        <v>TRAOILLUB</v>
      </c>
      <c r="J11" s="237" t="str">
        <f>Commodities!D29</f>
        <v>TRAGASNAT</v>
      </c>
      <c r="K11" s="237" t="str">
        <f>Commodities!D35</f>
        <v>TRAELC</v>
      </c>
      <c r="L11" s="278"/>
      <c r="N11" s="119"/>
    </row>
    <row r="12" spans="1:16">
      <c r="L12" s="278"/>
      <c r="N12" s="119"/>
    </row>
    <row r="13" spans="1:16">
      <c r="L13" s="278"/>
      <c r="N13" s="119"/>
    </row>
    <row r="14" spans="1:16">
      <c r="F14" s="119" t="s">
        <v>555</v>
      </c>
      <c r="G14" s="119">
        <f>5.8</f>
        <v>5.8</v>
      </c>
      <c r="L14" s="279"/>
      <c r="M14" s="278"/>
      <c r="N14" s="119"/>
    </row>
    <row r="15" spans="1:16">
      <c r="F15" s="119" t="s">
        <v>554</v>
      </c>
      <c r="G15" s="280">
        <f>G17/(G14)</f>
        <v>153.44827586206898</v>
      </c>
      <c r="N15" s="119"/>
      <c r="P15" s="278"/>
    </row>
    <row r="16" spans="1:16">
      <c r="E16" s="119" t="s">
        <v>451</v>
      </c>
      <c r="G16" s="119" t="s">
        <v>553</v>
      </c>
      <c r="M16" s="278"/>
      <c r="N16" s="119"/>
    </row>
    <row r="17" spans="2:34">
      <c r="B17" s="229" t="s">
        <v>357</v>
      </c>
      <c r="C17" s="229"/>
      <c r="D17" s="272"/>
      <c r="E17" s="270"/>
      <c r="F17" s="270"/>
      <c r="G17" s="281">
        <f>SUM(G20:G25)</f>
        <v>890</v>
      </c>
      <c r="H17" s="281">
        <f t="shared" ref="H17:K17" si="2">SUM(H20:H25)</f>
        <v>0</v>
      </c>
      <c r="I17" s="281">
        <f t="shared" si="2"/>
        <v>55</v>
      </c>
      <c r="J17" s="281">
        <f t="shared" si="2"/>
        <v>70</v>
      </c>
      <c r="K17" s="281">
        <f t="shared" si="2"/>
        <v>270</v>
      </c>
      <c r="M17" s="278"/>
      <c r="N17" s="119"/>
    </row>
    <row r="18" spans="2:34" ht="13.8" thickBot="1">
      <c r="B18" s="238"/>
      <c r="C18" s="238" t="s">
        <v>357</v>
      </c>
      <c r="D18" s="282"/>
      <c r="M18" s="278"/>
      <c r="N18" s="119"/>
      <c r="AC18" s="229" t="s">
        <v>497</v>
      </c>
    </row>
    <row r="19" spans="2:34" ht="13.8" thickBot="1">
      <c r="B19" s="239" t="s">
        <v>91</v>
      </c>
      <c r="C19" s="283">
        <v>26833602.587068412</v>
      </c>
      <c r="D19" s="282" t="s">
        <v>365</v>
      </c>
      <c r="E19" s="240" t="s">
        <v>358</v>
      </c>
      <c r="F19" s="241"/>
      <c r="G19" s="241" t="s">
        <v>354</v>
      </c>
      <c r="H19" s="241" t="s">
        <v>355</v>
      </c>
      <c r="I19" s="241" t="s">
        <v>356</v>
      </c>
      <c r="J19" s="241" t="s">
        <v>376</v>
      </c>
      <c r="K19" s="242" t="s">
        <v>375</v>
      </c>
      <c r="M19" s="243" t="s">
        <v>359</v>
      </c>
      <c r="N19" s="244"/>
      <c r="O19" s="241" t="s">
        <v>354</v>
      </c>
      <c r="P19" s="241" t="s">
        <v>355</v>
      </c>
      <c r="Q19" s="241" t="s">
        <v>356</v>
      </c>
      <c r="R19" s="241" t="s">
        <v>376</v>
      </c>
      <c r="S19" s="242" t="s">
        <v>375</v>
      </c>
      <c r="U19" s="240" t="s">
        <v>446</v>
      </c>
      <c r="V19" s="241"/>
      <c r="W19" s="241" t="s">
        <v>354</v>
      </c>
      <c r="X19" s="241" t="s">
        <v>355</v>
      </c>
      <c r="Y19" s="241" t="s">
        <v>356</v>
      </c>
      <c r="Z19" s="241" t="s">
        <v>376</v>
      </c>
      <c r="AA19" s="242" t="s">
        <v>375</v>
      </c>
      <c r="AC19" s="240" t="s">
        <v>496</v>
      </c>
      <c r="AD19" s="241"/>
      <c r="AE19" s="241" t="s">
        <v>354</v>
      </c>
      <c r="AF19" s="241" t="s">
        <v>355</v>
      </c>
      <c r="AG19" s="241" t="s">
        <v>356</v>
      </c>
      <c r="AH19" s="241" t="s">
        <v>498</v>
      </c>
    </row>
    <row r="20" spans="2:34" ht="18" customHeight="1" thickBot="1">
      <c r="B20" s="239" t="s">
        <v>93</v>
      </c>
      <c r="C20" s="283">
        <v>28618008.222800847</v>
      </c>
      <c r="D20" s="282" t="s">
        <v>365</v>
      </c>
      <c r="E20" s="284"/>
      <c r="F20" s="245" t="s">
        <v>146</v>
      </c>
      <c r="G20" s="285">
        <v>0</v>
      </c>
      <c r="H20" s="285"/>
      <c r="I20" s="285">
        <v>0</v>
      </c>
      <c r="J20" s="285">
        <v>0</v>
      </c>
      <c r="K20" s="286"/>
      <c r="M20" s="287"/>
      <c r="N20" s="246" t="s">
        <v>146</v>
      </c>
      <c r="O20" s="288">
        <f>O23</f>
        <v>28000</v>
      </c>
      <c r="P20" s="289"/>
      <c r="Q20" s="288">
        <f>Q23</f>
        <v>25000</v>
      </c>
      <c r="R20" s="288"/>
      <c r="S20" s="290"/>
      <c r="U20" s="284"/>
      <c r="V20" s="245" t="s">
        <v>146</v>
      </c>
      <c r="W20" s="289">
        <v>2.2000000000000002</v>
      </c>
      <c r="X20" s="288">
        <v>1</v>
      </c>
      <c r="Y20" s="288">
        <v>15</v>
      </c>
      <c r="Z20" s="288">
        <v>18</v>
      </c>
      <c r="AA20" s="290">
        <v>3</v>
      </c>
      <c r="AC20" s="284"/>
      <c r="AD20" s="245" t="s">
        <v>495</v>
      </c>
      <c r="AE20" s="289"/>
      <c r="AF20" s="289"/>
      <c r="AG20" s="288"/>
      <c r="AH20" s="288"/>
    </row>
    <row r="21" spans="2:34" ht="13.8" thickBot="1">
      <c r="B21" s="239" t="s">
        <v>97</v>
      </c>
      <c r="C21" s="283">
        <v>38976268.440805525</v>
      </c>
      <c r="D21" s="282" t="s">
        <v>365</v>
      </c>
      <c r="E21" s="291"/>
      <c r="F21" s="246" t="s">
        <v>64</v>
      </c>
      <c r="G21" s="292">
        <v>850</v>
      </c>
      <c r="H21" s="292">
        <v>0</v>
      </c>
      <c r="I21" s="292">
        <v>40</v>
      </c>
      <c r="J21" s="292">
        <v>30</v>
      </c>
      <c r="K21" s="293">
        <v>250</v>
      </c>
      <c r="M21" s="291"/>
      <c r="N21" s="246" t="s">
        <v>64</v>
      </c>
      <c r="O21" s="294">
        <f>MIN(ROUNDUP(24356,-3),14000)</f>
        <v>14000</v>
      </c>
      <c r="P21" s="294">
        <f>MIN(ROUNDUP(12476,-3),8000)</f>
        <v>8000</v>
      </c>
      <c r="Q21" s="294">
        <f>MIN(20000,15000)</f>
        <v>15000</v>
      </c>
      <c r="R21" s="294">
        <f>MIN(ROUNDUP(22783,-3),18000)</f>
        <v>18000</v>
      </c>
      <c r="S21" s="295">
        <f>ROUNDUP(R21*0.7,-3)</f>
        <v>13000</v>
      </c>
      <c r="U21" s="291"/>
      <c r="V21" s="246" t="s">
        <v>64</v>
      </c>
      <c r="W21" s="296">
        <v>2.2000000000000002</v>
      </c>
      <c r="X21" s="294">
        <v>1</v>
      </c>
      <c r="Y21" s="294">
        <v>15</v>
      </c>
      <c r="Z21" s="294">
        <v>18</v>
      </c>
      <c r="AA21" s="295">
        <v>3</v>
      </c>
      <c r="AC21" s="291"/>
      <c r="AD21" s="246" t="s">
        <v>540</v>
      </c>
      <c r="AE21" s="297">
        <f>SUMPRODUCT(G20:G25,O20:O25,W20:W25)/1000</f>
        <v>28644.000000000004</v>
      </c>
      <c r="AF21" s="297">
        <f>SUMPRODUCT(H20:H25,P20:P25,X20:X25)/1000</f>
        <v>0</v>
      </c>
      <c r="AG21" s="297">
        <f>SUMPRODUCT(I20:I25,Q20:Q25,Y20:Y25)/1000</f>
        <v>14625</v>
      </c>
      <c r="AH21" s="297">
        <f>(SUMPRODUCT(J20:J25,R20:R25,Z20:Z25)+SUMPRODUCT(K20:K25,S20:S25,AA20:AA25))/1000</f>
        <v>79470</v>
      </c>
    </row>
    <row r="22" spans="2:34" ht="13.8" thickBot="1">
      <c r="B22" s="239" t="s">
        <v>119</v>
      </c>
      <c r="C22" s="283">
        <f>1/0.00000000361</f>
        <v>277008310.24930745</v>
      </c>
      <c r="D22" s="282" t="s">
        <v>364</v>
      </c>
      <c r="E22" s="291"/>
      <c r="F22" s="246" t="s">
        <v>445</v>
      </c>
      <c r="G22" s="292">
        <v>0</v>
      </c>
      <c r="H22" s="292"/>
      <c r="I22" s="292">
        <v>0</v>
      </c>
      <c r="J22" s="292">
        <v>0</v>
      </c>
      <c r="K22" s="293"/>
      <c r="M22" s="291"/>
      <c r="N22" s="246" t="s">
        <v>445</v>
      </c>
      <c r="O22" s="294">
        <f>O21</f>
        <v>14000</v>
      </c>
      <c r="P22" s="294"/>
      <c r="Q22" s="294">
        <f>Q21</f>
        <v>15000</v>
      </c>
      <c r="R22" s="294"/>
      <c r="S22" s="295"/>
      <c r="U22" s="291"/>
      <c r="V22" s="246" t="s">
        <v>445</v>
      </c>
      <c r="W22" s="296">
        <v>2.2000000000000002</v>
      </c>
      <c r="X22" s="294">
        <v>1</v>
      </c>
      <c r="Y22" s="294">
        <v>15</v>
      </c>
      <c r="Z22" s="294">
        <v>18</v>
      </c>
      <c r="AA22" s="295">
        <v>3</v>
      </c>
      <c r="AC22" s="291"/>
      <c r="AD22" s="246"/>
      <c r="AE22" s="296"/>
      <c r="AF22" s="298"/>
      <c r="AG22" s="294"/>
      <c r="AH22" s="294"/>
    </row>
    <row r="23" spans="2:34">
      <c r="B23" s="299"/>
      <c r="C23" s="300"/>
      <c r="D23" s="301"/>
      <c r="E23" s="291"/>
      <c r="F23" s="246" t="s">
        <v>62</v>
      </c>
      <c r="G23" s="292">
        <v>40</v>
      </c>
      <c r="H23" s="292"/>
      <c r="I23" s="292">
        <v>15</v>
      </c>
      <c r="J23" s="292">
        <v>40</v>
      </c>
      <c r="K23" s="293">
        <v>20</v>
      </c>
      <c r="M23" s="291"/>
      <c r="N23" s="246" t="s">
        <v>62</v>
      </c>
      <c r="O23" s="294">
        <v>28000</v>
      </c>
      <c r="P23" s="294"/>
      <c r="Q23" s="294">
        <v>25000</v>
      </c>
      <c r="R23" s="294">
        <f>MAX(ROUNDUP(23316,-3),80000)</f>
        <v>80000</v>
      </c>
      <c r="S23" s="295">
        <f>ROUNDUP(R23*0.5,-3)</f>
        <v>40000</v>
      </c>
      <c r="U23" s="291"/>
      <c r="V23" s="246" t="s">
        <v>62</v>
      </c>
      <c r="W23" s="296">
        <v>2.2000000000000002</v>
      </c>
      <c r="X23" s="294">
        <v>1</v>
      </c>
      <c r="Y23" s="294">
        <v>15</v>
      </c>
      <c r="Z23" s="294">
        <v>18</v>
      </c>
      <c r="AA23" s="295">
        <v>3</v>
      </c>
      <c r="AC23" s="291"/>
      <c r="AD23" s="246"/>
      <c r="AE23" s="296"/>
      <c r="AF23" s="298"/>
      <c r="AG23" s="294"/>
      <c r="AH23" s="294"/>
    </row>
    <row r="24" spans="2:34">
      <c r="B24" s="299"/>
      <c r="C24" s="300"/>
      <c r="D24" s="301"/>
      <c r="E24" s="291"/>
      <c r="F24" s="246" t="s">
        <v>156</v>
      </c>
      <c r="G24" s="292">
        <v>0</v>
      </c>
      <c r="H24" s="292"/>
      <c r="I24" s="292">
        <v>0</v>
      </c>
      <c r="J24" s="292">
        <v>0</v>
      </c>
      <c r="K24" s="293">
        <v>0</v>
      </c>
      <c r="M24" s="291"/>
      <c r="N24" s="246" t="s">
        <v>156</v>
      </c>
      <c r="O24" s="294">
        <f>ROUNDUP(21747,-3)</f>
        <v>22000</v>
      </c>
      <c r="P24" s="294"/>
      <c r="Q24" s="294">
        <v>20000</v>
      </c>
      <c r="R24" s="294">
        <f>ROUNDUP(35493,-3)</f>
        <v>36000</v>
      </c>
      <c r="S24" s="295">
        <f>ROUNDUP(R24*0.5,-3)</f>
        <v>18000</v>
      </c>
      <c r="U24" s="291"/>
      <c r="V24" s="246" t="s">
        <v>156</v>
      </c>
      <c r="W24" s="296">
        <v>2.2000000000000002</v>
      </c>
      <c r="X24" s="294">
        <v>1</v>
      </c>
      <c r="Y24" s="294">
        <v>15</v>
      </c>
      <c r="Z24" s="294">
        <v>18</v>
      </c>
      <c r="AA24" s="295">
        <v>3</v>
      </c>
      <c r="AC24" s="291"/>
      <c r="AD24" s="246"/>
      <c r="AE24" s="296"/>
      <c r="AF24" s="298"/>
      <c r="AG24" s="294"/>
      <c r="AH24" s="294"/>
    </row>
    <row r="25" spans="2:34" ht="13.8" thickBot="1">
      <c r="B25" s="302"/>
      <c r="C25" s="24"/>
      <c r="D25" s="25"/>
      <c r="E25" s="303"/>
      <c r="F25" s="247" t="s">
        <v>173</v>
      </c>
      <c r="G25" s="304">
        <v>0</v>
      </c>
      <c r="H25" s="304"/>
      <c r="I25" s="304">
        <v>0</v>
      </c>
      <c r="J25" s="304">
        <v>0</v>
      </c>
      <c r="K25" s="305"/>
      <c r="M25" s="303"/>
      <c r="N25" s="247" t="s">
        <v>173</v>
      </c>
      <c r="O25" s="306">
        <f>O24*1/2</f>
        <v>11000</v>
      </c>
      <c r="P25" s="306"/>
      <c r="Q25" s="306">
        <f>Q24/2</f>
        <v>10000</v>
      </c>
      <c r="R25" s="306"/>
      <c r="S25" s="307"/>
      <c r="U25" s="303"/>
      <c r="V25" s="247" t="s">
        <v>173</v>
      </c>
      <c r="W25" s="308">
        <v>2.2000000000000002</v>
      </c>
      <c r="X25" s="306">
        <v>1</v>
      </c>
      <c r="Y25" s="306">
        <v>15</v>
      </c>
      <c r="Z25" s="306">
        <v>18</v>
      </c>
      <c r="AA25" s="309">
        <v>3</v>
      </c>
      <c r="AC25" s="303"/>
      <c r="AD25" s="247"/>
      <c r="AE25" s="308"/>
      <c r="AF25" s="310"/>
      <c r="AG25" s="306"/>
      <c r="AH25" s="306"/>
    </row>
    <row r="26" spans="2:34">
      <c r="M26" s="278"/>
      <c r="N26" s="119"/>
    </row>
    <row r="27" spans="2:34" ht="13.8" thickBot="1">
      <c r="M27" s="278"/>
      <c r="N27" s="119"/>
    </row>
    <row r="28" spans="2:34" ht="13.8" thickBot="1">
      <c r="E28" s="248" t="s">
        <v>541</v>
      </c>
      <c r="F28" s="249"/>
      <c r="G28" s="249"/>
      <c r="H28" s="249"/>
      <c r="I28" s="249"/>
      <c r="J28" s="249"/>
      <c r="K28" s="250"/>
      <c r="M28" s="251" t="s">
        <v>542</v>
      </c>
      <c r="N28" s="251"/>
      <c r="O28" s="251"/>
      <c r="P28" s="251"/>
      <c r="Q28" s="251"/>
    </row>
    <row r="29" spans="2:34" ht="13.8" thickBot="1">
      <c r="E29" s="248"/>
      <c r="F29" s="249"/>
      <c r="G29" s="252" t="s">
        <v>354</v>
      </c>
      <c r="H29" s="252" t="s">
        <v>355</v>
      </c>
      <c r="I29" s="252" t="s">
        <v>356</v>
      </c>
      <c r="J29" s="252" t="s">
        <v>376</v>
      </c>
      <c r="K29" s="242" t="s">
        <v>375</v>
      </c>
      <c r="M29" s="311"/>
      <c r="N29" s="253" t="s">
        <v>351</v>
      </c>
      <c r="O29" s="254" t="s">
        <v>540</v>
      </c>
      <c r="P29" s="249" t="s">
        <v>360</v>
      </c>
      <c r="Q29" s="255" t="s">
        <v>361</v>
      </c>
    </row>
    <row r="30" spans="2:34">
      <c r="E30" s="256" t="s">
        <v>383</v>
      </c>
      <c r="F30" s="245" t="s">
        <v>146</v>
      </c>
      <c r="G30" s="312">
        <f>G31*1.15</f>
        <v>9.1999999999999993</v>
      </c>
      <c r="H30" s="312"/>
      <c r="I30" s="312">
        <f>I31</f>
        <v>23</v>
      </c>
      <c r="J30" s="312">
        <v>28</v>
      </c>
      <c r="K30" s="313">
        <v>18</v>
      </c>
      <c r="M30" s="284"/>
      <c r="N30" s="245" t="s">
        <v>146</v>
      </c>
      <c r="O30" s="314">
        <f>SUMPRODUCT(G20:K20,O20:S20,G30:K30)*10/$C$21</f>
        <v>0</v>
      </c>
      <c r="P30" s="315">
        <f>C6</f>
        <v>0</v>
      </c>
      <c r="Q30" s="316">
        <f>O30-P30</f>
        <v>0</v>
      </c>
    </row>
    <row r="31" spans="2:34">
      <c r="E31" s="257" t="s">
        <v>383</v>
      </c>
      <c r="F31" s="246" t="s">
        <v>64</v>
      </c>
      <c r="G31" s="317">
        <v>8</v>
      </c>
      <c r="H31" s="317">
        <v>4.5</v>
      </c>
      <c r="I31" s="317">
        <f>(J31+K31)/2</f>
        <v>23</v>
      </c>
      <c r="J31" s="317">
        <v>28</v>
      </c>
      <c r="K31" s="318">
        <v>18</v>
      </c>
      <c r="M31" s="291"/>
      <c r="N31" s="246" t="s">
        <v>64</v>
      </c>
      <c r="O31" s="319">
        <f>(SUMPRODUCT(G21:K21,O21:S21,G31:K31)+SUMPRODUCT(G22:K22,O22:S22,G32:K32))*10/$C$20</f>
        <v>63.812966499360016</v>
      </c>
      <c r="P31" s="320">
        <f>D6</f>
        <v>62.802000000000007</v>
      </c>
      <c r="Q31" s="321">
        <f t="shared" ref="Q31:Q32" si="3">O31-P31</f>
        <v>1.0109664993600092</v>
      </c>
      <c r="R31" s="280"/>
      <c r="S31" s="280"/>
    </row>
    <row r="32" spans="2:34">
      <c r="E32" s="257"/>
      <c r="F32" s="246" t="s">
        <v>445</v>
      </c>
      <c r="G32" s="317">
        <f>G31*0.6</f>
        <v>4.8</v>
      </c>
      <c r="H32" s="317"/>
      <c r="I32" s="317"/>
      <c r="J32" s="317">
        <v>20</v>
      </c>
      <c r="K32" s="318">
        <v>11</v>
      </c>
      <c r="M32" s="291"/>
      <c r="N32" s="246" t="s">
        <v>62</v>
      </c>
      <c r="O32" s="322">
        <f>SUMPRODUCT(G23:K23,O23:S23,G33:K33)*10/$C$19</f>
        <v>37.954277540459998</v>
      </c>
      <c r="P32" s="323">
        <f>G6</f>
        <v>39.7746</v>
      </c>
      <c r="Q32" s="321">
        <f t="shared" si="3"/>
        <v>-1.8203224595400016</v>
      </c>
    </row>
    <row r="33" spans="5:18">
      <c r="E33" s="257" t="s">
        <v>383</v>
      </c>
      <c r="F33" s="246" t="s">
        <v>62</v>
      </c>
      <c r="G33" s="317">
        <v>6</v>
      </c>
      <c r="H33" s="317"/>
      <c r="I33" s="317">
        <f>(J33+K33)/2</f>
        <v>19</v>
      </c>
      <c r="J33" s="317">
        <v>24</v>
      </c>
      <c r="K33" s="318">
        <v>14</v>
      </c>
      <c r="M33" s="291"/>
      <c r="N33" s="246" t="s">
        <v>377</v>
      </c>
      <c r="O33" s="322">
        <f>SUMPRODUCT(G24:K24,O24:S24,G34:K34)*10</f>
        <v>0</v>
      </c>
      <c r="P33" s="323">
        <f>J6</f>
        <v>0</v>
      </c>
      <c r="Q33" s="321">
        <f>O33-P33</f>
        <v>0</v>
      </c>
    </row>
    <row r="34" spans="5:18" ht="13.8" thickBot="1">
      <c r="E34" s="257" t="s">
        <v>384</v>
      </c>
      <c r="F34" s="246" t="s">
        <v>156</v>
      </c>
      <c r="G34" s="324">
        <v>2.9999999999999999E-7</v>
      </c>
      <c r="H34" s="317"/>
      <c r="I34" s="324">
        <f>(J34+K34)/2</f>
        <v>4.2499999999999995E-7</v>
      </c>
      <c r="J34" s="324">
        <v>4.9999999999999998E-7</v>
      </c>
      <c r="K34" s="325">
        <v>3.4999999999999998E-7</v>
      </c>
      <c r="M34" s="303"/>
      <c r="N34" s="247" t="s">
        <v>173</v>
      </c>
      <c r="O34" s="326">
        <f>SUMPRODUCT(G25:K25,O25:S25,G35:K35)*10/$C$22</f>
        <v>0</v>
      </c>
      <c r="P34" s="327">
        <f>K6</f>
        <v>0</v>
      </c>
      <c r="Q34" s="328">
        <f>O34-P34</f>
        <v>0</v>
      </c>
    </row>
    <row r="35" spans="5:18" ht="13.8" thickBot="1">
      <c r="E35" s="258" t="s">
        <v>362</v>
      </c>
      <c r="F35" s="247" t="s">
        <v>173</v>
      </c>
      <c r="G35" s="329">
        <v>15</v>
      </c>
      <c r="H35" s="329"/>
      <c r="I35" s="329">
        <f>G35*2.5</f>
        <v>37.5</v>
      </c>
      <c r="J35" s="329"/>
      <c r="K35" s="330"/>
      <c r="M35" s="278"/>
      <c r="N35" s="119"/>
      <c r="Q35" s="259">
        <f>SUM(Q30:Q34)</f>
        <v>-0.80935596017999245</v>
      </c>
      <c r="R35" s="119" t="s">
        <v>378</v>
      </c>
    </row>
    <row r="36" spans="5:18" ht="13.8" thickBot="1">
      <c r="E36" s="248" t="s">
        <v>368</v>
      </c>
      <c r="F36" s="250"/>
      <c r="G36" s="249"/>
      <c r="H36" s="249"/>
      <c r="I36" s="249"/>
      <c r="J36" s="249"/>
      <c r="K36" s="250"/>
      <c r="M36" s="278"/>
      <c r="N36" s="119"/>
    </row>
    <row r="37" spans="5:18" ht="13.8" thickBot="1">
      <c r="E37" s="260" t="s">
        <v>367</v>
      </c>
      <c r="F37" s="261" t="s">
        <v>366</v>
      </c>
      <c r="G37" s="252" t="s">
        <v>354</v>
      </c>
      <c r="H37" s="252" t="s">
        <v>355</v>
      </c>
      <c r="I37" s="252" t="s">
        <v>356</v>
      </c>
      <c r="J37" s="252" t="s">
        <v>376</v>
      </c>
      <c r="K37" s="242" t="s">
        <v>375</v>
      </c>
      <c r="M37" s="278"/>
      <c r="N37" s="119"/>
    </row>
    <row r="38" spans="5:18">
      <c r="E38" s="257" t="s">
        <v>363</v>
      </c>
      <c r="F38" s="245" t="s">
        <v>146</v>
      </c>
      <c r="G38" s="331">
        <f>IF(G30=0,0,$C$21/G30/10000)</f>
        <v>423.6550917478861</v>
      </c>
      <c r="H38" s="331">
        <f t="shared" ref="H38:K38" si="4">IF(H30=0,0,$C$21/H30/10000)</f>
        <v>0</v>
      </c>
      <c r="I38" s="331">
        <f t="shared" si="4"/>
        <v>169.46203669915445</v>
      </c>
      <c r="J38" s="331">
        <f t="shared" si="4"/>
        <v>139.20095871716259</v>
      </c>
      <c r="K38" s="332">
        <f t="shared" si="4"/>
        <v>216.53482467114179</v>
      </c>
      <c r="M38" s="278"/>
      <c r="N38" s="119"/>
    </row>
    <row r="39" spans="5:18">
      <c r="E39" s="257"/>
      <c r="F39" s="246" t="s">
        <v>64</v>
      </c>
      <c r="G39" s="292">
        <f>IF(G31=0,0,$C$20/G31/10000)</f>
        <v>357.72510278501056</v>
      </c>
      <c r="H39" s="292">
        <f t="shared" ref="H39:K39" si="5">IF(H31=0,0,$C$20/H31/10000)</f>
        <v>635.95573828446322</v>
      </c>
      <c r="I39" s="292">
        <f t="shared" si="5"/>
        <v>124.42612270782976</v>
      </c>
      <c r="J39" s="292">
        <f t="shared" si="5"/>
        <v>102.20717222428874</v>
      </c>
      <c r="K39" s="293">
        <f t="shared" si="5"/>
        <v>158.98893457111581</v>
      </c>
      <c r="M39" s="278"/>
      <c r="N39" s="119"/>
    </row>
    <row r="40" spans="5:18">
      <c r="E40" s="257"/>
      <c r="F40" s="246" t="s">
        <v>445</v>
      </c>
      <c r="G40" s="292">
        <f>IF(G32=0,0,$C$20/G32/10000)</f>
        <v>596.20850464168439</v>
      </c>
      <c r="H40" s="292">
        <f t="shared" ref="H40:K40" si="6">IF(H32=0,0,$C$20/H32/10000)</f>
        <v>0</v>
      </c>
      <c r="I40" s="292">
        <f t="shared" si="6"/>
        <v>0</v>
      </c>
      <c r="J40" s="292">
        <f t="shared" si="6"/>
        <v>143.09004111400424</v>
      </c>
      <c r="K40" s="293">
        <f t="shared" si="6"/>
        <v>260.16371111637136</v>
      </c>
      <c r="M40" s="278"/>
      <c r="N40" s="119"/>
    </row>
    <row r="41" spans="5:18">
      <c r="E41" s="262"/>
      <c r="F41" s="246" t="s">
        <v>62</v>
      </c>
      <c r="G41" s="292">
        <f>IF(G33=0,0,$C$19/G33/10000)</f>
        <v>447.2267097844736</v>
      </c>
      <c r="H41" s="292">
        <f t="shared" ref="H41:K41" si="7">IF(H33=0,0,$C$19/H33/10000)</f>
        <v>0</v>
      </c>
      <c r="I41" s="292">
        <f t="shared" si="7"/>
        <v>141.22948730036006</v>
      </c>
      <c r="J41" s="292">
        <f t="shared" si="7"/>
        <v>111.8066774461184</v>
      </c>
      <c r="K41" s="293">
        <f t="shared" si="7"/>
        <v>191.66858990763151</v>
      </c>
      <c r="M41" s="278"/>
      <c r="N41" s="119"/>
    </row>
    <row r="42" spans="5:18">
      <c r="E42" s="262"/>
      <c r="F42" s="246" t="s">
        <v>156</v>
      </c>
      <c r="G42" s="292">
        <f>IF(G34=0,0,1/G34/10000)</f>
        <v>333.33333333333337</v>
      </c>
      <c r="H42" s="292">
        <f t="shared" ref="H42:K42" si="8">IF(H34=0,0,1/H34/10000)</f>
        <v>0</v>
      </c>
      <c r="I42" s="292">
        <f t="shared" si="8"/>
        <v>235.29411764705884</v>
      </c>
      <c r="J42" s="292">
        <f t="shared" si="8"/>
        <v>200</v>
      </c>
      <c r="K42" s="293">
        <f t="shared" si="8"/>
        <v>285.71428571428572</v>
      </c>
      <c r="M42" s="278"/>
      <c r="N42" s="119"/>
    </row>
    <row r="43" spans="5:18" ht="13.8" thickBot="1">
      <c r="E43" s="263"/>
      <c r="F43" s="247" t="s">
        <v>173</v>
      </c>
      <c r="G43" s="304">
        <f>IF(G35=0,0,1/G35*$C$22*0.0001)</f>
        <v>1846.7220683287164</v>
      </c>
      <c r="H43" s="304">
        <f>IF(H35=0,0,1/H35*$C$22*0.0001)</f>
        <v>0</v>
      </c>
      <c r="I43" s="304">
        <f t="shared" ref="I43:K43" si="9">IF(I35=0,0,1/I35*$C$22*0.0001)</f>
        <v>738.68882733148666</v>
      </c>
      <c r="J43" s="304">
        <f t="shared" si="9"/>
        <v>0</v>
      </c>
      <c r="K43" s="305">
        <f t="shared" si="9"/>
        <v>0</v>
      </c>
      <c r="M43" s="278"/>
      <c r="N43" s="119"/>
    </row>
    <row r="44" spans="5:18">
      <c r="M44" s="278"/>
      <c r="N44" s="119"/>
    </row>
    <row r="45" spans="5:18">
      <c r="M45" s="278"/>
      <c r="N45" s="119"/>
    </row>
    <row r="46" spans="5:18">
      <c r="E46" s="229" t="s">
        <v>452</v>
      </c>
      <c r="N46" s="119"/>
    </row>
    <row r="47" spans="5:18" ht="13.8" thickBot="1">
      <c r="M47" s="251" t="s">
        <v>369</v>
      </c>
      <c r="N47" s="251"/>
      <c r="O47" s="251"/>
      <c r="P47" s="251"/>
      <c r="Q47" s="251"/>
    </row>
    <row r="48" spans="5:18" ht="39.75" customHeight="1">
      <c r="E48" s="311"/>
      <c r="F48" s="264" t="s">
        <v>454</v>
      </c>
      <c r="G48" s="264" t="s">
        <v>292</v>
      </c>
      <c r="H48" s="264" t="s">
        <v>256</v>
      </c>
      <c r="I48" s="265" t="s">
        <v>455</v>
      </c>
      <c r="K48" s="278"/>
      <c r="M48" s="311"/>
      <c r="N48" s="253" t="s">
        <v>351</v>
      </c>
      <c r="O48" s="241" t="s">
        <v>540</v>
      </c>
      <c r="P48" s="266" t="s">
        <v>360</v>
      </c>
      <c r="Q48" s="242" t="s">
        <v>361</v>
      </c>
    </row>
    <row r="49" spans="5:17" ht="13.8" thickBot="1">
      <c r="E49" s="267" t="s">
        <v>293</v>
      </c>
      <c r="F49" s="333">
        <v>0.05</v>
      </c>
      <c r="G49" s="334">
        <v>200</v>
      </c>
      <c r="H49" s="334">
        <v>140000</v>
      </c>
      <c r="I49" s="335">
        <f>F49*H49/(K5*L50)/1000</f>
        <v>29.855737078436988</v>
      </c>
      <c r="K49" s="278"/>
      <c r="M49" s="336"/>
      <c r="N49" s="246" t="s">
        <v>173</v>
      </c>
      <c r="O49" s="337">
        <f>F49*H49/1000/I49+F51*H51/1000/I51</f>
        <v>1.1723040000000002</v>
      </c>
      <c r="P49" s="338">
        <f>K5</f>
        <v>1.172304</v>
      </c>
      <c r="Q49" s="339"/>
    </row>
    <row r="50" spans="5:17" ht="13.8" thickBot="1">
      <c r="E50" s="267" t="s">
        <v>294</v>
      </c>
      <c r="F50" s="333">
        <v>0.1</v>
      </c>
      <c r="G50" s="334">
        <v>200</v>
      </c>
      <c r="H50" s="334">
        <f>H49</f>
        <v>140000</v>
      </c>
      <c r="I50" s="335">
        <f>F50*H50/(G5*L50)/1000</f>
        <v>18.576903071027459</v>
      </c>
      <c r="J50" s="340"/>
      <c r="K50" s="268" t="s">
        <v>456</v>
      </c>
      <c r="L50" s="341">
        <v>0.2</v>
      </c>
      <c r="M50" s="342"/>
      <c r="N50" s="247" t="s">
        <v>62</v>
      </c>
      <c r="O50" s="343">
        <f>F50*H50/1000/I50+F52*H52/1000/I52</f>
        <v>3.7681200000000006</v>
      </c>
      <c r="P50" s="344">
        <f>G5</f>
        <v>3.7681200000000001</v>
      </c>
      <c r="Q50" s="345"/>
    </row>
    <row r="51" spans="5:17">
      <c r="E51" s="267" t="s">
        <v>295</v>
      </c>
      <c r="F51" s="333">
        <v>0.1</v>
      </c>
      <c r="G51" s="334">
        <v>150</v>
      </c>
      <c r="H51" s="334">
        <v>200000</v>
      </c>
      <c r="I51" s="335">
        <f>F51*H51/(K5*(1-L50))/1000</f>
        <v>21.325526484597848</v>
      </c>
    </row>
    <row r="52" spans="5:17" ht="13.8" thickBot="1">
      <c r="E52" s="269" t="s">
        <v>296</v>
      </c>
      <c r="F52" s="346">
        <v>0.15</v>
      </c>
      <c r="G52" s="347">
        <v>150</v>
      </c>
      <c r="H52" s="347">
        <v>200000</v>
      </c>
      <c r="I52" s="348">
        <f>F52*H52/(G5*(1-L50))/1000</f>
        <v>9.951912359478996</v>
      </c>
    </row>
    <row r="53" spans="5:17">
      <c r="I53" s="349"/>
    </row>
    <row r="54" spans="5:17">
      <c r="I54" s="349">
        <f>(41.868*(J54/1000*10)^-1)</f>
        <v>29.905714285714282</v>
      </c>
      <c r="J54" s="350">
        <v>140</v>
      </c>
      <c r="K54" s="119" t="s">
        <v>543</v>
      </c>
    </row>
    <row r="55" spans="5:17">
      <c r="I55" s="349">
        <f t="shared" ref="I55:I57" si="10">(41.868*(J55/1000*10)^-1)</f>
        <v>19.473488372093023</v>
      </c>
      <c r="J55" s="350">
        <v>215</v>
      </c>
      <c r="K55" s="119" t="s">
        <v>543</v>
      </c>
    </row>
    <row r="56" spans="5:17">
      <c r="I56" s="349">
        <f t="shared" si="10"/>
        <v>20.934000000000001</v>
      </c>
      <c r="J56" s="350">
        <v>200</v>
      </c>
      <c r="K56" s="119" t="s">
        <v>543</v>
      </c>
    </row>
    <row r="57" spans="5:17">
      <c r="I57" s="349">
        <f t="shared" si="10"/>
        <v>10.467000000000001</v>
      </c>
      <c r="J57" s="350">
        <v>400</v>
      </c>
      <c r="K57" s="119" t="s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XFD100"/>
  <sheetViews>
    <sheetView zoomScaleNormal="100" workbookViewId="0">
      <pane xSplit="7" ySplit="2" topLeftCell="H3" activePane="bottomRight" state="frozen"/>
      <selection activeCell="D44" activeCellId="1" sqref="F7 D44"/>
      <selection pane="topRight" activeCell="D44" activeCellId="1" sqref="F7 D44"/>
      <selection pane="bottomLeft" activeCell="D44" activeCellId="1" sqref="F7 D44"/>
      <selection pane="bottomRight" sqref="A1:XFD1048576"/>
    </sheetView>
  </sheetViews>
  <sheetFormatPr defaultRowHeight="13.2"/>
  <cols>
    <col min="1" max="5" width="8.88671875" style="119"/>
    <col min="6" max="6" width="9.109375" style="119" customWidth="1"/>
    <col min="7" max="7" width="0.109375" style="119" customWidth="1"/>
    <col min="8" max="8" width="14.6640625" style="119" bestFit="1" customWidth="1"/>
    <col min="9" max="72" width="8.88671875" style="119"/>
    <col min="73" max="73" width="10.109375" style="119" bestFit="1" customWidth="1"/>
    <col min="74" max="16384" width="8.88671875" style="119"/>
  </cols>
  <sheetData>
    <row r="1" spans="1:72" ht="16.5" customHeight="1" thickBot="1">
      <c r="A1" s="180"/>
      <c r="B1" s="180"/>
      <c r="C1" s="181"/>
      <c r="D1" s="181"/>
      <c r="E1" s="181" t="s">
        <v>521</v>
      </c>
      <c r="F1" s="182"/>
      <c r="G1" s="182"/>
      <c r="H1" s="183" t="s">
        <v>134</v>
      </c>
      <c r="I1" s="183">
        <v>2000</v>
      </c>
      <c r="J1" s="183">
        <v>2115</v>
      </c>
      <c r="K1" s="183">
        <v>2116</v>
      </c>
      <c r="L1" s="183">
        <v>2117</v>
      </c>
      <c r="M1" s="183">
        <v>2118</v>
      </c>
      <c r="N1" s="183">
        <v>2210</v>
      </c>
      <c r="O1" s="183">
        <v>2112</v>
      </c>
      <c r="P1" s="183">
        <v>2121</v>
      </c>
      <c r="Q1" s="183">
        <v>2122</v>
      </c>
      <c r="R1" s="183">
        <v>2130</v>
      </c>
      <c r="S1" s="183">
        <v>2230</v>
      </c>
      <c r="T1" s="183">
        <v>2310</v>
      </c>
      <c r="U1" s="183">
        <v>2330</v>
      </c>
      <c r="V1" s="183">
        <v>2410</v>
      </c>
      <c r="W1" s="183">
        <v>3000</v>
      </c>
      <c r="X1" s="183">
        <v>3105</v>
      </c>
      <c r="Y1" s="183">
        <v>3106</v>
      </c>
      <c r="Z1" s="183">
        <v>3191</v>
      </c>
      <c r="AA1" s="183">
        <v>3192</v>
      </c>
      <c r="AB1" s="183">
        <v>3193</v>
      </c>
      <c r="AC1" s="183">
        <v>3214</v>
      </c>
      <c r="AD1" s="183">
        <v>3215</v>
      </c>
      <c r="AE1" s="183">
        <v>3220</v>
      </c>
      <c r="AF1" s="183">
        <v>3234</v>
      </c>
      <c r="AG1" s="183">
        <v>3235</v>
      </c>
      <c r="AH1" s="183">
        <v>3246</v>
      </c>
      <c r="AI1" s="183">
        <v>3247</v>
      </c>
      <c r="AJ1" s="183">
        <v>3244</v>
      </c>
      <c r="AK1" s="183">
        <v>3250</v>
      </c>
      <c r="AL1" s="183">
        <v>3260</v>
      </c>
      <c r="AM1" s="183" t="s">
        <v>135</v>
      </c>
      <c r="AN1" s="183">
        <v>3281</v>
      </c>
      <c r="AO1" s="183">
        <v>3282</v>
      </c>
      <c r="AP1" s="183">
        <v>3283</v>
      </c>
      <c r="AQ1" s="183">
        <v>3285</v>
      </c>
      <c r="AR1" s="183">
        <v>3286</v>
      </c>
      <c r="AS1" s="183">
        <v>3295</v>
      </c>
      <c r="AT1" s="183">
        <v>4000</v>
      </c>
      <c r="AU1" s="183">
        <v>4100</v>
      </c>
      <c r="AV1" s="183">
        <v>4210</v>
      </c>
      <c r="AW1" s="183">
        <v>4220</v>
      </c>
      <c r="AX1" s="183">
        <v>4230</v>
      </c>
      <c r="AY1" s="183">
        <v>4240</v>
      </c>
      <c r="AZ1" s="183">
        <v>5500</v>
      </c>
      <c r="BA1" s="183">
        <v>5510</v>
      </c>
      <c r="BB1" s="183">
        <v>5520</v>
      </c>
      <c r="BC1" s="183">
        <v>5535</v>
      </c>
      <c r="BD1" s="183">
        <v>5532</v>
      </c>
      <c r="BE1" s="183">
        <v>5534</v>
      </c>
      <c r="BF1" s="183">
        <v>5541</v>
      </c>
      <c r="BG1" s="183">
        <v>5544</v>
      </c>
      <c r="BH1" s="183">
        <v>5542</v>
      </c>
      <c r="BI1" s="183">
        <v>55431</v>
      </c>
      <c r="BJ1" s="183">
        <v>5546</v>
      </c>
      <c r="BK1" s="183">
        <v>5547</v>
      </c>
      <c r="BL1" s="183">
        <v>5549</v>
      </c>
      <c r="BM1" s="183">
        <v>5548</v>
      </c>
      <c r="BN1" s="183">
        <v>5550</v>
      </c>
      <c r="BO1" s="183">
        <v>7200</v>
      </c>
      <c r="BP1" s="183">
        <v>7100</v>
      </c>
      <c r="BQ1" s="183">
        <v>55432</v>
      </c>
      <c r="BR1" s="183">
        <v>5100</v>
      </c>
      <c r="BS1" s="183">
        <v>5200</v>
      </c>
      <c r="BT1" s="183">
        <v>6000</v>
      </c>
    </row>
    <row r="2" spans="1:72" ht="16.5" customHeight="1">
      <c r="A2" s="184"/>
      <c r="B2" s="184"/>
      <c r="C2" s="184"/>
      <c r="D2" s="184"/>
      <c r="E2" s="185" t="s">
        <v>552</v>
      </c>
      <c r="F2" s="186">
        <v>2017</v>
      </c>
      <c r="G2" s="187"/>
      <c r="H2" s="188" t="s">
        <v>136</v>
      </c>
      <c r="I2" s="189" t="s">
        <v>137</v>
      </c>
      <c r="J2" s="187" t="s">
        <v>56</v>
      </c>
      <c r="K2" s="187" t="s">
        <v>398</v>
      </c>
      <c r="L2" s="188" t="s">
        <v>57</v>
      </c>
      <c r="M2" s="188" t="s">
        <v>399</v>
      </c>
      <c r="N2" s="188" t="s">
        <v>138</v>
      </c>
      <c r="O2" s="188" t="s">
        <v>400</v>
      </c>
      <c r="P2" s="188" t="s">
        <v>58</v>
      </c>
      <c r="Q2" s="187" t="s">
        <v>401</v>
      </c>
      <c r="R2" s="187" t="s">
        <v>59</v>
      </c>
      <c r="S2" s="187" t="s">
        <v>139</v>
      </c>
      <c r="T2" s="187" t="s">
        <v>402</v>
      </c>
      <c r="U2" s="188" t="s">
        <v>403</v>
      </c>
      <c r="V2" s="188" t="s">
        <v>404</v>
      </c>
      <c r="W2" s="189" t="s">
        <v>140</v>
      </c>
      <c r="X2" s="188" t="s">
        <v>141</v>
      </c>
      <c r="Y2" s="188" t="s">
        <v>142</v>
      </c>
      <c r="Z2" s="188" t="s">
        <v>143</v>
      </c>
      <c r="AA2" s="188" t="s">
        <v>144</v>
      </c>
      <c r="AB2" s="188" t="s">
        <v>145</v>
      </c>
      <c r="AC2" s="188" t="s">
        <v>60</v>
      </c>
      <c r="AD2" s="188" t="s">
        <v>405</v>
      </c>
      <c r="AE2" s="188" t="s">
        <v>146</v>
      </c>
      <c r="AF2" s="188" t="s">
        <v>147</v>
      </c>
      <c r="AG2" s="188" t="s">
        <v>66</v>
      </c>
      <c r="AH2" s="188" t="s">
        <v>148</v>
      </c>
      <c r="AI2" s="188" t="s">
        <v>149</v>
      </c>
      <c r="AJ2" s="188" t="s">
        <v>150</v>
      </c>
      <c r="AK2" s="188" t="s">
        <v>71</v>
      </c>
      <c r="AL2" s="188" t="s">
        <v>151</v>
      </c>
      <c r="AM2" s="188" t="s">
        <v>152</v>
      </c>
      <c r="AN2" s="188" t="s">
        <v>153</v>
      </c>
      <c r="AO2" s="188" t="s">
        <v>75</v>
      </c>
      <c r="AP2" s="188" t="s">
        <v>73</v>
      </c>
      <c r="AQ2" s="188" t="s">
        <v>72</v>
      </c>
      <c r="AR2" s="188" t="s">
        <v>154</v>
      </c>
      <c r="AS2" s="188" t="s">
        <v>155</v>
      </c>
      <c r="AT2" s="189" t="s">
        <v>156</v>
      </c>
      <c r="AU2" s="188" t="s">
        <v>157</v>
      </c>
      <c r="AV2" s="188" t="s">
        <v>158</v>
      </c>
      <c r="AW2" s="188" t="s">
        <v>159</v>
      </c>
      <c r="AX2" s="188" t="s">
        <v>406</v>
      </c>
      <c r="AY2" s="188" t="s">
        <v>407</v>
      </c>
      <c r="AZ2" s="190" t="s">
        <v>160</v>
      </c>
      <c r="BA2" s="188" t="s">
        <v>161</v>
      </c>
      <c r="BB2" s="188" t="s">
        <v>162</v>
      </c>
      <c r="BC2" s="188" t="s">
        <v>408</v>
      </c>
      <c r="BD2" s="188" t="s">
        <v>163</v>
      </c>
      <c r="BE2" s="188" t="s">
        <v>164</v>
      </c>
      <c r="BF2" s="188" t="s">
        <v>165</v>
      </c>
      <c r="BG2" s="188" t="s">
        <v>82</v>
      </c>
      <c r="BH2" s="188" t="s">
        <v>166</v>
      </c>
      <c r="BI2" s="188" t="s">
        <v>167</v>
      </c>
      <c r="BJ2" s="188" t="s">
        <v>409</v>
      </c>
      <c r="BK2" s="188" t="s">
        <v>81</v>
      </c>
      <c r="BL2" s="188" t="s">
        <v>410</v>
      </c>
      <c r="BM2" s="188" t="s">
        <v>411</v>
      </c>
      <c r="BN2" s="188" t="s">
        <v>168</v>
      </c>
      <c r="BO2" s="190" t="s">
        <v>169</v>
      </c>
      <c r="BP2" s="188" t="s">
        <v>170</v>
      </c>
      <c r="BQ2" s="188" t="s">
        <v>171</v>
      </c>
      <c r="BR2" s="190" t="s">
        <v>412</v>
      </c>
      <c r="BS2" s="190" t="s">
        <v>172</v>
      </c>
      <c r="BT2" s="189" t="s">
        <v>173</v>
      </c>
    </row>
    <row r="3" spans="1:72" ht="11.25" customHeight="1">
      <c r="A3" s="191" t="s">
        <v>174</v>
      </c>
      <c r="B3" s="191"/>
      <c r="C3" s="191"/>
      <c r="D3" s="191"/>
      <c r="E3" s="191"/>
      <c r="F3" s="192" t="s">
        <v>175</v>
      </c>
      <c r="G3" s="192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</row>
    <row r="4" spans="1:72">
      <c r="A4" s="194" t="s">
        <v>176</v>
      </c>
      <c r="B4" s="194"/>
      <c r="C4" s="194"/>
      <c r="D4" s="194"/>
      <c r="E4" s="194"/>
      <c r="F4" s="195" t="s">
        <v>177</v>
      </c>
      <c r="G4" s="195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196"/>
      <c r="BI4" s="196"/>
      <c r="BJ4" s="196"/>
      <c r="BK4" s="196"/>
      <c r="BL4" s="196"/>
      <c r="BM4" s="196"/>
      <c r="BN4" s="196"/>
      <c r="BO4" s="196"/>
      <c r="BP4" s="196"/>
      <c r="BQ4" s="196"/>
      <c r="BR4" s="196"/>
      <c r="BS4" s="196"/>
      <c r="BT4" s="196"/>
    </row>
    <row r="5" spans="1:72">
      <c r="A5" s="197" t="s">
        <v>178</v>
      </c>
      <c r="B5" s="198" t="s">
        <v>179</v>
      </c>
      <c r="C5" s="198"/>
      <c r="D5" s="198"/>
      <c r="E5" s="198"/>
      <c r="F5" s="199" t="s">
        <v>180</v>
      </c>
      <c r="G5" s="200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1"/>
      <c r="AY5" s="201"/>
      <c r="AZ5" s="201"/>
      <c r="BA5" s="201"/>
      <c r="BB5" s="201"/>
      <c r="BC5" s="201"/>
      <c r="BD5" s="201"/>
      <c r="BE5" s="201"/>
      <c r="BF5" s="201"/>
      <c r="BG5" s="201"/>
      <c r="BH5" s="201"/>
      <c r="BI5" s="201"/>
      <c r="BJ5" s="201"/>
      <c r="BK5" s="201"/>
      <c r="BL5" s="201"/>
      <c r="BM5" s="201"/>
      <c r="BN5" s="201"/>
      <c r="BO5" s="201"/>
      <c r="BP5" s="201"/>
      <c r="BQ5" s="201"/>
      <c r="BR5" s="201"/>
      <c r="BS5" s="201"/>
      <c r="BT5" s="201"/>
    </row>
    <row r="6" spans="1:72">
      <c r="A6" s="202" t="s">
        <v>178</v>
      </c>
      <c r="B6" s="203" t="s">
        <v>181</v>
      </c>
      <c r="C6" s="203"/>
      <c r="D6" s="203"/>
      <c r="E6" s="203"/>
      <c r="F6" s="204" t="s">
        <v>182</v>
      </c>
      <c r="G6" s="200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  <c r="BP6" s="205"/>
      <c r="BQ6" s="205"/>
      <c r="BR6" s="205"/>
      <c r="BS6" s="205"/>
      <c r="BT6" s="205"/>
    </row>
    <row r="7" spans="1:72">
      <c r="A7" s="202" t="s">
        <v>178</v>
      </c>
      <c r="B7" s="203" t="s">
        <v>183</v>
      </c>
      <c r="C7" s="203"/>
      <c r="D7" s="203"/>
      <c r="E7" s="203"/>
      <c r="F7" s="204" t="s">
        <v>184</v>
      </c>
      <c r="G7" s="200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</row>
    <row r="8" spans="1:72">
      <c r="A8" s="206"/>
      <c r="B8" s="207"/>
      <c r="C8" s="207" t="s">
        <v>185</v>
      </c>
      <c r="D8" s="207"/>
      <c r="E8" s="207"/>
      <c r="F8" s="208" t="s">
        <v>186</v>
      </c>
      <c r="G8" s="200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F8" s="209"/>
      <c r="BG8" s="209"/>
      <c r="BH8" s="209"/>
      <c r="BI8" s="209"/>
      <c r="BJ8" s="209"/>
      <c r="BK8" s="209"/>
      <c r="BL8" s="209"/>
      <c r="BM8" s="209"/>
      <c r="BN8" s="209"/>
      <c r="BO8" s="209"/>
      <c r="BP8" s="209"/>
      <c r="BQ8" s="209"/>
      <c r="BR8" s="209"/>
      <c r="BS8" s="209"/>
      <c r="BT8" s="209"/>
    </row>
    <row r="9" spans="1:72">
      <c r="A9" s="202" t="s">
        <v>178</v>
      </c>
      <c r="B9" s="203" t="s">
        <v>187</v>
      </c>
      <c r="C9" s="203"/>
      <c r="D9" s="203"/>
      <c r="E9" s="203"/>
      <c r="F9" s="204" t="s">
        <v>188</v>
      </c>
      <c r="G9" s="200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</row>
    <row r="10" spans="1:72">
      <c r="A10" s="202" t="s">
        <v>178</v>
      </c>
      <c r="B10" s="203" t="s">
        <v>189</v>
      </c>
      <c r="C10" s="203"/>
      <c r="D10" s="203"/>
      <c r="E10" s="203"/>
      <c r="F10" s="204" t="s">
        <v>190</v>
      </c>
      <c r="G10" s="200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5"/>
      <c r="BN10" s="205"/>
      <c r="BO10" s="205"/>
      <c r="BP10" s="205"/>
      <c r="BQ10" s="205"/>
      <c r="BR10" s="205"/>
      <c r="BS10" s="205"/>
      <c r="BT10" s="205"/>
    </row>
    <row r="11" spans="1:72">
      <c r="A11" s="210" t="s">
        <v>178</v>
      </c>
      <c r="B11" s="211" t="s">
        <v>191</v>
      </c>
      <c r="C11" s="211"/>
      <c r="D11" s="211"/>
      <c r="E11" s="211"/>
      <c r="F11" s="212" t="s">
        <v>192</v>
      </c>
      <c r="G11" s="200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13"/>
      <c r="BD11" s="213"/>
      <c r="BE11" s="213"/>
      <c r="BF11" s="213"/>
      <c r="BG11" s="213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</row>
    <row r="12" spans="1:72">
      <c r="A12" s="194" t="s">
        <v>193</v>
      </c>
      <c r="B12" s="194"/>
      <c r="C12" s="194"/>
      <c r="D12" s="194"/>
      <c r="E12" s="194"/>
      <c r="F12" s="195" t="s">
        <v>194</v>
      </c>
      <c r="G12" s="195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196"/>
      <c r="BD12" s="196"/>
      <c r="BE12" s="196"/>
      <c r="BF12" s="196"/>
      <c r="BG12" s="196"/>
      <c r="BH12" s="196"/>
      <c r="BI12" s="196"/>
      <c r="BJ12" s="196"/>
      <c r="BK12" s="196"/>
      <c r="BL12" s="196"/>
      <c r="BM12" s="196"/>
      <c r="BN12" s="196"/>
      <c r="BO12" s="196"/>
      <c r="BP12" s="196"/>
      <c r="BQ12" s="196"/>
      <c r="BR12" s="196"/>
      <c r="BS12" s="196"/>
      <c r="BT12" s="214"/>
    </row>
    <row r="13" spans="1:72" hidden="1">
      <c r="A13" s="197" t="s">
        <v>178</v>
      </c>
      <c r="B13" s="198" t="s">
        <v>195</v>
      </c>
      <c r="C13" s="198"/>
      <c r="D13" s="198"/>
      <c r="E13" s="198"/>
      <c r="F13" s="199" t="s">
        <v>196</v>
      </c>
      <c r="G13" s="199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</row>
    <row r="14" spans="1:72" hidden="1">
      <c r="A14" s="215"/>
      <c r="B14" s="202" t="s">
        <v>178</v>
      </c>
      <c r="C14" s="203" t="s">
        <v>197</v>
      </c>
      <c r="D14" s="203"/>
      <c r="E14" s="203"/>
      <c r="F14" s="204" t="s">
        <v>198</v>
      </c>
      <c r="G14" s="204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</row>
    <row r="15" spans="1:72" hidden="1">
      <c r="A15" s="215"/>
      <c r="B15" s="202" t="s">
        <v>178</v>
      </c>
      <c r="C15" s="203" t="s">
        <v>199</v>
      </c>
      <c r="D15" s="203"/>
      <c r="E15" s="203"/>
      <c r="F15" s="204" t="s">
        <v>200</v>
      </c>
      <c r="G15" s="204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</row>
    <row r="16" spans="1:72" hidden="1">
      <c r="A16" s="215"/>
      <c r="B16" s="202" t="s">
        <v>178</v>
      </c>
      <c r="C16" s="203" t="s">
        <v>201</v>
      </c>
      <c r="D16" s="203"/>
      <c r="E16" s="203"/>
      <c r="F16" s="204" t="s">
        <v>202</v>
      </c>
      <c r="G16" s="204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205"/>
      <c r="BN16" s="205"/>
      <c r="BO16" s="205"/>
      <c r="BP16" s="205"/>
      <c r="BQ16" s="205"/>
      <c r="BR16" s="205"/>
      <c r="BS16" s="205"/>
      <c r="BT16" s="205"/>
    </row>
    <row r="17" spans="1:73" hidden="1">
      <c r="A17" s="215"/>
      <c r="B17" s="202" t="s">
        <v>178</v>
      </c>
      <c r="C17" s="203" t="s">
        <v>203</v>
      </c>
      <c r="D17" s="203"/>
      <c r="E17" s="203"/>
      <c r="F17" s="204" t="s">
        <v>204</v>
      </c>
      <c r="G17" s="204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</row>
    <row r="18" spans="1:73" hidden="1">
      <c r="A18" s="215"/>
      <c r="B18" s="202" t="s">
        <v>178</v>
      </c>
      <c r="C18" s="203" t="s">
        <v>205</v>
      </c>
      <c r="D18" s="203"/>
      <c r="E18" s="203"/>
      <c r="F18" s="204" t="s">
        <v>206</v>
      </c>
      <c r="G18" s="204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  <c r="BP18" s="205"/>
      <c r="BQ18" s="205"/>
      <c r="BR18" s="205"/>
      <c r="BS18" s="205"/>
      <c r="BT18" s="205"/>
    </row>
    <row r="19" spans="1:73" hidden="1">
      <c r="A19" s="215"/>
      <c r="B19" s="202" t="s">
        <v>178</v>
      </c>
      <c r="C19" s="203" t="s">
        <v>207</v>
      </c>
      <c r="D19" s="203"/>
      <c r="E19" s="203"/>
      <c r="F19" s="204" t="s">
        <v>208</v>
      </c>
      <c r="G19" s="204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  <c r="BS19" s="205"/>
      <c r="BT19" s="205"/>
    </row>
    <row r="20" spans="1:73" hidden="1">
      <c r="A20" s="215"/>
      <c r="B20" s="202" t="s">
        <v>178</v>
      </c>
      <c r="C20" s="203" t="s">
        <v>209</v>
      </c>
      <c r="D20" s="203"/>
      <c r="E20" s="203"/>
      <c r="F20" s="204" t="s">
        <v>210</v>
      </c>
      <c r="G20" s="204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5"/>
      <c r="BN20" s="205"/>
      <c r="BO20" s="205"/>
      <c r="BP20" s="205"/>
      <c r="BQ20" s="205"/>
      <c r="BR20" s="205"/>
      <c r="BS20" s="205"/>
      <c r="BT20" s="205"/>
    </row>
    <row r="21" spans="1:73" hidden="1">
      <c r="A21" s="215"/>
      <c r="B21" s="202" t="s">
        <v>178</v>
      </c>
      <c r="C21" s="203" t="s">
        <v>211</v>
      </c>
      <c r="D21" s="203"/>
      <c r="E21" s="203"/>
      <c r="F21" s="204" t="s">
        <v>212</v>
      </c>
      <c r="G21" s="204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</row>
    <row r="22" spans="1:73" hidden="1">
      <c r="A22" s="215"/>
      <c r="B22" s="202" t="s">
        <v>178</v>
      </c>
      <c r="C22" s="203" t="s">
        <v>213</v>
      </c>
      <c r="D22" s="203"/>
      <c r="E22" s="203"/>
      <c r="F22" s="204" t="s">
        <v>214</v>
      </c>
      <c r="G22" s="204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  <c r="BS22" s="205"/>
      <c r="BT22" s="205"/>
    </row>
    <row r="23" spans="1:73" hidden="1">
      <c r="A23" s="215"/>
      <c r="B23" s="202" t="s">
        <v>178</v>
      </c>
      <c r="C23" s="203" t="s">
        <v>215</v>
      </c>
      <c r="D23" s="203"/>
      <c r="E23" s="203"/>
      <c r="F23" s="204" t="s">
        <v>216</v>
      </c>
      <c r="G23" s="204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5"/>
      <c r="BQ23" s="205"/>
      <c r="BR23" s="205"/>
      <c r="BS23" s="205"/>
      <c r="BT23" s="205"/>
    </row>
    <row r="24" spans="1:73" hidden="1">
      <c r="A24" s="215"/>
      <c r="B24" s="202" t="s">
        <v>178</v>
      </c>
      <c r="C24" s="203" t="s">
        <v>217</v>
      </c>
      <c r="D24" s="203"/>
      <c r="E24" s="203"/>
      <c r="F24" s="204" t="s">
        <v>218</v>
      </c>
      <c r="G24" s="204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205"/>
      <c r="BN24" s="205"/>
      <c r="BO24" s="205"/>
      <c r="BP24" s="205"/>
      <c r="BQ24" s="205"/>
      <c r="BR24" s="205"/>
      <c r="BS24" s="205"/>
      <c r="BT24" s="205"/>
    </row>
    <row r="25" spans="1:73" hidden="1">
      <c r="A25" s="215"/>
      <c r="B25" s="202" t="s">
        <v>178</v>
      </c>
      <c r="C25" s="203" t="s">
        <v>219</v>
      </c>
      <c r="D25" s="203"/>
      <c r="E25" s="203"/>
      <c r="F25" s="204" t="s">
        <v>220</v>
      </c>
      <c r="G25" s="204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</row>
    <row r="26" spans="1:73" hidden="1">
      <c r="A26" s="215"/>
      <c r="B26" s="202" t="s">
        <v>178</v>
      </c>
      <c r="C26" s="203" t="s">
        <v>221</v>
      </c>
      <c r="D26" s="203"/>
      <c r="E26" s="203"/>
      <c r="F26" s="204" t="s">
        <v>222</v>
      </c>
      <c r="G26" s="204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205"/>
      <c r="BN26" s="205"/>
      <c r="BO26" s="205"/>
      <c r="BP26" s="205"/>
      <c r="BQ26" s="205"/>
      <c r="BR26" s="205"/>
      <c r="BS26" s="205"/>
      <c r="BT26" s="205"/>
    </row>
    <row r="27" spans="1:73">
      <c r="A27" s="202" t="s">
        <v>178</v>
      </c>
      <c r="B27" s="203" t="s">
        <v>223</v>
      </c>
      <c r="C27" s="203"/>
      <c r="D27" s="203"/>
      <c r="E27" s="203"/>
      <c r="F27" s="204" t="s">
        <v>224</v>
      </c>
      <c r="G27" s="216"/>
      <c r="H27" s="217"/>
      <c r="I27" s="217"/>
      <c r="J27" s="218"/>
      <c r="K27" s="218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>
        <v>2550</v>
      </c>
      <c r="X27" s="217"/>
      <c r="Y27" s="217"/>
      <c r="Z27" s="217"/>
      <c r="AA27" s="217"/>
      <c r="AB27" s="217"/>
      <c r="AC27" s="217"/>
      <c r="AD27" s="217"/>
      <c r="AE27" s="218"/>
      <c r="AF27" s="218">
        <v>1500</v>
      </c>
      <c r="AG27" s="218"/>
      <c r="AH27" s="218"/>
      <c r="AI27" s="218"/>
      <c r="AJ27" s="218"/>
      <c r="AK27" s="218"/>
      <c r="AL27" s="218">
        <f>W27-AF27</f>
        <v>1050</v>
      </c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9">
        <f>SUM(H27:BT27)</f>
        <v>5100</v>
      </c>
    </row>
    <row r="28" spans="1:73">
      <c r="A28" s="215"/>
      <c r="B28" s="202" t="s">
        <v>178</v>
      </c>
      <c r="C28" s="203" t="s">
        <v>225</v>
      </c>
      <c r="D28" s="203"/>
      <c r="E28" s="203"/>
      <c r="F28" s="204" t="s">
        <v>226</v>
      </c>
      <c r="G28" s="216"/>
      <c r="H28" s="217"/>
      <c r="I28" s="217"/>
      <c r="J28" s="217"/>
      <c r="K28" s="217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0"/>
      <c r="AF28" s="220"/>
      <c r="AG28" s="220"/>
      <c r="AH28" s="220"/>
      <c r="AI28" s="220"/>
      <c r="AJ28" s="220"/>
      <c r="AK28" s="220"/>
      <c r="AL28" s="220">
        <v>90</v>
      </c>
      <c r="AM28" s="220"/>
      <c r="AN28" s="220"/>
      <c r="AO28" s="220"/>
      <c r="AP28" s="220"/>
      <c r="AQ28" s="220"/>
      <c r="AR28" s="220"/>
      <c r="AS28" s="220"/>
      <c r="AT28" s="220"/>
      <c r="AU28" s="220"/>
      <c r="AV28" s="220"/>
      <c r="AW28" s="220"/>
      <c r="AX28" s="220"/>
      <c r="AY28" s="220"/>
      <c r="AZ28" s="220"/>
      <c r="BA28" s="220"/>
      <c r="BB28" s="220"/>
      <c r="BC28" s="220"/>
      <c r="BD28" s="220"/>
      <c r="BE28" s="220"/>
      <c r="BF28" s="220"/>
      <c r="BG28" s="220"/>
      <c r="BH28" s="220"/>
      <c r="BI28" s="220"/>
      <c r="BJ28" s="220"/>
      <c r="BK28" s="220"/>
      <c r="BL28" s="220"/>
      <c r="BM28" s="220"/>
      <c r="BN28" s="220"/>
      <c r="BO28" s="220"/>
      <c r="BP28" s="220"/>
      <c r="BQ28" s="220"/>
      <c r="BR28" s="220"/>
      <c r="BS28" s="220"/>
      <c r="BT28" s="220">
        <v>28</v>
      </c>
      <c r="BU28" s="219"/>
    </row>
    <row r="29" spans="1:73">
      <c r="A29" s="215"/>
      <c r="B29" s="202" t="s">
        <v>178</v>
      </c>
      <c r="C29" s="203" t="s">
        <v>227</v>
      </c>
      <c r="D29" s="203"/>
      <c r="E29" s="203"/>
      <c r="F29" s="204" t="s">
        <v>228</v>
      </c>
      <c r="G29" s="216"/>
      <c r="H29" s="217"/>
      <c r="I29" s="217"/>
      <c r="J29" s="217"/>
      <c r="K29" s="217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>
        <f>AF27</f>
        <v>1500</v>
      </c>
      <c r="AG29" s="220"/>
      <c r="AH29" s="220"/>
      <c r="AI29" s="220"/>
      <c r="AJ29" s="220"/>
      <c r="AK29" s="220"/>
      <c r="AL29" s="220">
        <f>AL27-AL32-AL28</f>
        <v>950</v>
      </c>
      <c r="AM29" s="220"/>
      <c r="AN29" s="220"/>
      <c r="AO29" s="220"/>
      <c r="AP29" s="220"/>
      <c r="AQ29" s="220"/>
      <c r="AR29" s="220"/>
      <c r="AS29" s="220"/>
      <c r="AT29" s="220"/>
      <c r="AU29" s="220"/>
      <c r="AV29" s="220"/>
      <c r="AW29" s="220"/>
      <c r="AX29" s="220"/>
      <c r="AY29" s="220"/>
      <c r="AZ29" s="220"/>
      <c r="BA29" s="220"/>
      <c r="BB29" s="220"/>
      <c r="BC29" s="220"/>
      <c r="BD29" s="220"/>
      <c r="BE29" s="220"/>
      <c r="BF29" s="220"/>
      <c r="BG29" s="220"/>
      <c r="BH29" s="220"/>
      <c r="BI29" s="220"/>
      <c r="BJ29" s="220"/>
      <c r="BK29" s="220"/>
      <c r="BL29" s="220"/>
      <c r="BM29" s="220"/>
      <c r="BN29" s="220"/>
      <c r="BO29" s="220"/>
      <c r="BP29" s="220"/>
      <c r="BQ29" s="220"/>
      <c r="BR29" s="220"/>
      <c r="BS29" s="220"/>
      <c r="BT29" s="220"/>
      <c r="BU29" s="219"/>
    </row>
    <row r="30" spans="1:73">
      <c r="A30" s="215"/>
      <c r="B30" s="202" t="s">
        <v>178</v>
      </c>
      <c r="C30" s="203" t="s">
        <v>229</v>
      </c>
      <c r="D30" s="203"/>
      <c r="E30" s="203"/>
      <c r="F30" s="204" t="s">
        <v>230</v>
      </c>
      <c r="G30" s="216"/>
      <c r="H30" s="217"/>
      <c r="I30" s="217"/>
      <c r="J30" s="217"/>
      <c r="K30" s="217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20"/>
      <c r="AD30" s="220"/>
      <c r="AE30" s="220"/>
      <c r="AF30" s="220"/>
      <c r="AG30" s="220"/>
      <c r="AH30" s="220"/>
      <c r="AI30" s="220"/>
      <c r="AJ30" s="220"/>
      <c r="AK30" s="220"/>
      <c r="AL30" s="220"/>
      <c r="AM30" s="220"/>
      <c r="AN30" s="220"/>
      <c r="AO30" s="220"/>
      <c r="AP30" s="220"/>
      <c r="AQ30" s="220"/>
      <c r="AR30" s="220"/>
      <c r="AS30" s="220"/>
      <c r="AT30" s="220"/>
      <c r="AU30" s="220"/>
      <c r="AV30" s="220"/>
      <c r="AW30" s="220"/>
      <c r="AX30" s="220"/>
      <c r="AY30" s="220"/>
      <c r="AZ30" s="220"/>
      <c r="BA30" s="220"/>
      <c r="BB30" s="220"/>
      <c r="BC30" s="220"/>
      <c r="BD30" s="220"/>
      <c r="BE30" s="220"/>
      <c r="BF30" s="220"/>
      <c r="BG30" s="220"/>
      <c r="BH30" s="220"/>
      <c r="BI30" s="220"/>
      <c r="BJ30" s="220"/>
      <c r="BK30" s="220"/>
      <c r="BL30" s="220"/>
      <c r="BM30" s="220"/>
      <c r="BN30" s="220"/>
      <c r="BO30" s="220"/>
      <c r="BP30" s="220"/>
      <c r="BQ30" s="220"/>
      <c r="BR30" s="220"/>
      <c r="BS30" s="220"/>
      <c r="BT30" s="220"/>
      <c r="BU30" s="219"/>
    </row>
    <row r="31" spans="1:73">
      <c r="A31" s="215"/>
      <c r="B31" s="202" t="s">
        <v>178</v>
      </c>
      <c r="C31" s="203" t="s">
        <v>231</v>
      </c>
      <c r="D31" s="203"/>
      <c r="E31" s="203"/>
      <c r="F31" s="204" t="s">
        <v>232</v>
      </c>
      <c r="G31" s="216"/>
      <c r="H31" s="217"/>
      <c r="I31" s="217"/>
      <c r="J31" s="217"/>
      <c r="K31" s="217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  <c r="AA31" s="220"/>
      <c r="AB31" s="220"/>
      <c r="AC31" s="220"/>
      <c r="AD31" s="220"/>
      <c r="AE31" s="220"/>
      <c r="AF31" s="220"/>
      <c r="AG31" s="220"/>
      <c r="AH31" s="220"/>
      <c r="AI31" s="220">
        <v>150</v>
      </c>
      <c r="AJ31" s="220"/>
      <c r="AK31" s="220"/>
      <c r="AL31" s="220"/>
      <c r="AM31" s="220"/>
      <c r="AN31" s="220"/>
      <c r="AO31" s="220"/>
      <c r="AP31" s="220"/>
      <c r="AQ31" s="220"/>
      <c r="AR31" s="220"/>
      <c r="AS31" s="220"/>
      <c r="AT31" s="220"/>
      <c r="AU31" s="220"/>
      <c r="AV31" s="220"/>
      <c r="AW31" s="220"/>
      <c r="AX31" s="220"/>
      <c r="AY31" s="220"/>
      <c r="AZ31" s="220"/>
      <c r="BA31" s="220"/>
      <c r="BB31" s="220"/>
      <c r="BC31" s="220"/>
      <c r="BD31" s="220"/>
      <c r="BE31" s="220"/>
      <c r="BF31" s="220"/>
      <c r="BG31" s="220"/>
      <c r="BH31" s="220"/>
      <c r="BI31" s="220"/>
      <c r="BJ31" s="220"/>
      <c r="BK31" s="220"/>
      <c r="BL31" s="220"/>
      <c r="BM31" s="220"/>
      <c r="BN31" s="220"/>
      <c r="BO31" s="220"/>
      <c r="BP31" s="220"/>
      <c r="BQ31" s="220"/>
      <c r="BR31" s="220"/>
      <c r="BS31" s="220"/>
      <c r="BT31" s="220"/>
      <c r="BU31" s="219"/>
    </row>
    <row r="32" spans="1:73">
      <c r="A32" s="215"/>
      <c r="B32" s="202" t="s">
        <v>178</v>
      </c>
      <c r="C32" s="203" t="s">
        <v>233</v>
      </c>
      <c r="D32" s="203"/>
      <c r="E32" s="203"/>
      <c r="F32" s="204" t="s">
        <v>234</v>
      </c>
      <c r="G32" s="216"/>
      <c r="H32" s="217"/>
      <c r="I32" s="217"/>
      <c r="J32" s="217"/>
      <c r="K32" s="217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220"/>
      <c r="AD32" s="220"/>
      <c r="AE32" s="220"/>
      <c r="AF32" s="220"/>
      <c r="AG32" s="220"/>
      <c r="AH32" s="220"/>
      <c r="AI32" s="220"/>
      <c r="AJ32" s="220"/>
      <c r="AK32" s="220"/>
      <c r="AL32" s="220">
        <v>10</v>
      </c>
      <c r="AM32" s="220"/>
      <c r="AN32" s="220"/>
      <c r="AO32" s="220"/>
      <c r="AP32" s="220"/>
      <c r="AQ32" s="220"/>
      <c r="AR32" s="220"/>
      <c r="AS32" s="220"/>
      <c r="AT32" s="220"/>
      <c r="AU32" s="220"/>
      <c r="AV32" s="220"/>
      <c r="AW32" s="220"/>
      <c r="AX32" s="220"/>
      <c r="AY32" s="220"/>
      <c r="AZ32" s="220"/>
      <c r="BA32" s="220"/>
      <c r="BB32" s="220"/>
      <c r="BC32" s="220"/>
      <c r="BD32" s="220"/>
      <c r="BE32" s="220"/>
      <c r="BF32" s="220"/>
      <c r="BG32" s="220"/>
      <c r="BH32" s="220"/>
      <c r="BI32" s="220"/>
      <c r="BJ32" s="220"/>
      <c r="BK32" s="220"/>
      <c r="BL32" s="220"/>
      <c r="BM32" s="220"/>
      <c r="BN32" s="220"/>
      <c r="BO32" s="220"/>
      <c r="BP32" s="220"/>
      <c r="BQ32" s="220"/>
      <c r="BR32" s="220"/>
      <c r="BS32" s="220"/>
      <c r="BT32" s="220"/>
      <c r="BU32" s="219"/>
    </row>
    <row r="33" spans="1:5112 5125:10236 10249:15360 15373:16384">
      <c r="A33" s="215"/>
      <c r="B33" s="202" t="s">
        <v>178</v>
      </c>
      <c r="C33" s="203" t="s">
        <v>235</v>
      </c>
      <c r="D33" s="203"/>
      <c r="E33" s="203"/>
      <c r="F33" s="204" t="s">
        <v>236</v>
      </c>
      <c r="G33" s="216"/>
      <c r="H33" s="217"/>
      <c r="I33" s="217"/>
      <c r="J33" s="217"/>
      <c r="K33" s="217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220"/>
      <c r="AE33" s="220"/>
      <c r="AF33" s="220"/>
      <c r="AG33" s="220"/>
      <c r="AH33" s="220"/>
      <c r="AI33" s="220"/>
      <c r="AJ33" s="220"/>
      <c r="AK33" s="220"/>
      <c r="AL33" s="220"/>
      <c r="AM33" s="220"/>
      <c r="AN33" s="220"/>
      <c r="AO33" s="220"/>
      <c r="AP33" s="220"/>
      <c r="AQ33" s="220"/>
      <c r="AR33" s="220"/>
      <c r="AS33" s="220"/>
      <c r="AT33" s="220">
        <v>1660</v>
      </c>
      <c r="AU33" s="220"/>
      <c r="AV33" s="220"/>
      <c r="AW33" s="220"/>
      <c r="AX33" s="220"/>
      <c r="AY33" s="220"/>
      <c r="AZ33" s="220"/>
      <c r="BA33" s="220"/>
      <c r="BB33" s="220"/>
      <c r="BC33" s="220"/>
      <c r="BD33" s="220"/>
      <c r="BE33" s="220"/>
      <c r="BF33" s="220"/>
      <c r="BG33" s="220"/>
      <c r="BH33" s="220"/>
      <c r="BI33" s="220"/>
      <c r="BJ33" s="220"/>
      <c r="BK33" s="220"/>
      <c r="BL33" s="220"/>
      <c r="BM33" s="220"/>
      <c r="BN33" s="220"/>
      <c r="BO33" s="220"/>
      <c r="BP33" s="220"/>
      <c r="BQ33" s="220"/>
      <c r="BR33" s="220"/>
      <c r="BS33" s="220"/>
      <c r="BT33" s="220"/>
      <c r="BU33" s="219"/>
      <c r="BV33" s="119" t="s">
        <v>538</v>
      </c>
    </row>
    <row r="34" spans="1:5112 5125:10236 10249:15360 15373:16384">
      <c r="A34" s="215"/>
      <c r="B34" s="202" t="s">
        <v>178</v>
      </c>
      <c r="C34" s="203" t="s">
        <v>237</v>
      </c>
      <c r="D34" s="203"/>
      <c r="E34" s="203"/>
      <c r="F34" s="204" t="s">
        <v>238</v>
      </c>
      <c r="G34" s="216"/>
      <c r="H34" s="217"/>
      <c r="I34" s="217"/>
      <c r="J34" s="217"/>
      <c r="K34" s="217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0"/>
      <c r="AC34" s="220"/>
      <c r="AD34" s="220"/>
      <c r="AE34" s="220"/>
      <c r="AF34" s="220"/>
      <c r="AG34" s="220"/>
      <c r="AH34" s="220"/>
      <c r="AI34" s="220"/>
      <c r="AJ34" s="220"/>
      <c r="AK34" s="220"/>
      <c r="AL34" s="220"/>
      <c r="AM34" s="220"/>
      <c r="AN34" s="220"/>
      <c r="AO34" s="220"/>
      <c r="AP34" s="220"/>
      <c r="AQ34" s="220"/>
      <c r="AR34" s="220"/>
      <c r="AS34" s="220"/>
      <c r="AT34" s="220"/>
      <c r="AU34" s="220"/>
      <c r="AV34" s="220"/>
      <c r="AW34" s="220"/>
      <c r="AX34" s="220"/>
      <c r="AY34" s="220"/>
      <c r="AZ34" s="220"/>
      <c r="BA34" s="220"/>
      <c r="BB34" s="220"/>
      <c r="BC34" s="220"/>
      <c r="BD34" s="220"/>
      <c r="BE34" s="220"/>
      <c r="BF34" s="220"/>
      <c r="BG34" s="220"/>
      <c r="BH34" s="220"/>
      <c r="BI34" s="220"/>
      <c r="BJ34" s="220"/>
      <c r="BK34" s="220"/>
      <c r="BL34" s="220"/>
      <c r="BM34" s="220"/>
      <c r="BN34" s="220"/>
      <c r="BO34" s="220"/>
      <c r="BP34" s="220"/>
      <c r="BQ34" s="220"/>
      <c r="BR34" s="220"/>
      <c r="BS34" s="220"/>
      <c r="BT34" s="220"/>
      <c r="BU34" s="219"/>
      <c r="BV34" s="119" t="s">
        <v>539</v>
      </c>
    </row>
    <row r="35" spans="1:5112 5125:10236 10249:15360 15373:16384" hidden="1">
      <c r="A35" s="202" t="s">
        <v>178</v>
      </c>
      <c r="B35" s="203" t="s">
        <v>239</v>
      </c>
      <c r="C35" s="203"/>
      <c r="D35" s="203"/>
      <c r="E35" s="203"/>
      <c r="F35" s="204" t="s">
        <v>240</v>
      </c>
      <c r="G35" s="216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7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7"/>
      <c r="BQ35" s="217"/>
      <c r="BR35" s="217"/>
      <c r="BS35" s="217"/>
      <c r="BT35" s="217"/>
      <c r="BU35" s="219"/>
    </row>
    <row r="36" spans="1:5112 5125:10236 10249:15360 15373:16384" hidden="1">
      <c r="A36" s="215"/>
      <c r="B36" s="202" t="s">
        <v>178</v>
      </c>
      <c r="C36" s="203" t="s">
        <v>241</v>
      </c>
      <c r="D36" s="203"/>
      <c r="E36" s="203"/>
      <c r="F36" s="204" t="s">
        <v>242</v>
      </c>
      <c r="G36" s="216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  <c r="AF36" s="217"/>
      <c r="AG36" s="217"/>
      <c r="AH36" s="217"/>
      <c r="AI36" s="217"/>
      <c r="AJ36" s="217"/>
      <c r="AK36" s="217"/>
      <c r="AL36" s="217"/>
      <c r="AM36" s="217"/>
      <c r="AN36" s="217"/>
      <c r="AO36" s="217"/>
      <c r="AP36" s="217"/>
      <c r="AQ36" s="217"/>
      <c r="AR36" s="217"/>
      <c r="AS36" s="217"/>
      <c r="AT36" s="217"/>
      <c r="AU36" s="217"/>
      <c r="AV36" s="217"/>
      <c r="AW36" s="217"/>
      <c r="AX36" s="217"/>
      <c r="AY36" s="217"/>
      <c r="AZ36" s="217"/>
      <c r="BA36" s="217"/>
      <c r="BB36" s="217"/>
      <c r="BC36" s="217"/>
      <c r="BD36" s="217"/>
      <c r="BE36" s="217"/>
      <c r="BF36" s="217"/>
      <c r="BG36" s="217"/>
      <c r="BH36" s="217"/>
      <c r="BI36" s="217"/>
      <c r="BJ36" s="217"/>
      <c r="BK36" s="217"/>
      <c r="BL36" s="217"/>
      <c r="BM36" s="217"/>
      <c r="BN36" s="217"/>
      <c r="BO36" s="217"/>
      <c r="BP36" s="217"/>
      <c r="BQ36" s="217"/>
      <c r="BR36" s="217"/>
      <c r="BS36" s="217"/>
      <c r="BT36" s="217"/>
      <c r="BU36" s="219"/>
    </row>
    <row r="37" spans="1:5112 5125:10236 10249:15360 15373:16384" hidden="1">
      <c r="A37" s="215"/>
      <c r="B37" s="202" t="s">
        <v>178</v>
      </c>
      <c r="C37" s="203" t="s">
        <v>243</v>
      </c>
      <c r="D37" s="203"/>
      <c r="E37" s="203"/>
      <c r="F37" s="204" t="s">
        <v>244</v>
      </c>
      <c r="G37" s="216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7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217"/>
      <c r="AS37" s="217"/>
      <c r="AT37" s="217"/>
      <c r="AU37" s="217"/>
      <c r="AV37" s="217"/>
      <c r="AW37" s="217"/>
      <c r="AX37" s="217"/>
      <c r="AY37" s="217"/>
      <c r="AZ37" s="217"/>
      <c r="BA37" s="217"/>
      <c r="BB37" s="217"/>
      <c r="BC37" s="217"/>
      <c r="BD37" s="217"/>
      <c r="BE37" s="217"/>
      <c r="BF37" s="217"/>
      <c r="BG37" s="217"/>
      <c r="BH37" s="217"/>
      <c r="BI37" s="217"/>
      <c r="BJ37" s="217"/>
      <c r="BK37" s="217"/>
      <c r="BL37" s="217"/>
      <c r="BM37" s="217"/>
      <c r="BN37" s="217"/>
      <c r="BO37" s="217"/>
      <c r="BP37" s="217"/>
      <c r="BQ37" s="217"/>
      <c r="BR37" s="217"/>
      <c r="BS37" s="217"/>
      <c r="BT37" s="217"/>
      <c r="BU37" s="219"/>
    </row>
    <row r="38" spans="1:5112 5125:10236 10249:15360 15373:16384" hidden="1">
      <c r="A38" s="215"/>
      <c r="B38" s="202" t="s">
        <v>178</v>
      </c>
      <c r="C38" s="203" t="s">
        <v>245</v>
      </c>
      <c r="D38" s="203"/>
      <c r="E38" s="203"/>
      <c r="F38" s="204" t="s">
        <v>246</v>
      </c>
      <c r="G38" s="216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  <c r="AM38" s="217"/>
      <c r="AN38" s="217"/>
      <c r="AO38" s="217"/>
      <c r="AP38" s="217"/>
      <c r="AQ38" s="217"/>
      <c r="AR38" s="217"/>
      <c r="AS38" s="217"/>
      <c r="AT38" s="217"/>
      <c r="AU38" s="217"/>
      <c r="AV38" s="217"/>
      <c r="AW38" s="217"/>
      <c r="AX38" s="217"/>
      <c r="AY38" s="217"/>
      <c r="AZ38" s="217"/>
      <c r="BA38" s="217"/>
      <c r="BB38" s="217"/>
      <c r="BC38" s="217"/>
      <c r="BD38" s="217"/>
      <c r="BE38" s="217"/>
      <c r="BF38" s="217"/>
      <c r="BG38" s="217"/>
      <c r="BH38" s="217"/>
      <c r="BI38" s="217"/>
      <c r="BJ38" s="217"/>
      <c r="BK38" s="217"/>
      <c r="BL38" s="217"/>
      <c r="BM38" s="217"/>
      <c r="BN38" s="217"/>
      <c r="BO38" s="217"/>
      <c r="BP38" s="217"/>
      <c r="BQ38" s="217"/>
      <c r="BR38" s="217"/>
      <c r="BS38" s="217"/>
      <c r="BT38" s="217"/>
      <c r="BU38" s="219"/>
    </row>
    <row r="39" spans="1:5112 5125:10236 10249:15360 15373:16384" hidden="1">
      <c r="A39" s="215"/>
      <c r="B39" s="202" t="s">
        <v>178</v>
      </c>
      <c r="C39" s="203" t="s">
        <v>247</v>
      </c>
      <c r="D39" s="203"/>
      <c r="E39" s="203"/>
      <c r="F39" s="204" t="s">
        <v>248</v>
      </c>
      <c r="G39" s="216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  <c r="BQ39" s="217"/>
      <c r="BR39" s="217"/>
      <c r="BS39" s="217"/>
      <c r="BT39" s="217"/>
      <c r="BU39" s="219"/>
    </row>
    <row r="40" spans="1:5112 5125:10236 10249:15360 15373:16384" hidden="1">
      <c r="A40" s="221"/>
      <c r="B40" s="222" t="s">
        <v>178</v>
      </c>
      <c r="C40" s="223" t="s">
        <v>249</v>
      </c>
      <c r="D40" s="223"/>
      <c r="E40" s="223"/>
      <c r="F40" s="224" t="s">
        <v>250</v>
      </c>
      <c r="G40" s="216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5"/>
      <c r="BD40" s="225"/>
      <c r="BE40" s="225"/>
      <c r="BF40" s="225"/>
      <c r="BG40" s="225"/>
      <c r="BH40" s="225"/>
      <c r="BI40" s="225"/>
      <c r="BJ40" s="225"/>
      <c r="BK40" s="225"/>
      <c r="BL40" s="225"/>
      <c r="BM40" s="225"/>
      <c r="BN40" s="225"/>
      <c r="BO40" s="225"/>
      <c r="BP40" s="225"/>
      <c r="BQ40" s="225"/>
      <c r="BR40" s="225"/>
      <c r="BS40" s="225"/>
      <c r="BT40" s="225"/>
      <c r="BU40" s="219"/>
    </row>
    <row r="41" spans="1:5112 5125:10236 10249:15360 15373:16384">
      <c r="A41" s="194" t="s">
        <v>251</v>
      </c>
      <c r="B41" s="194"/>
      <c r="C41" s="194"/>
      <c r="D41" s="194"/>
      <c r="E41" s="194"/>
      <c r="F41" s="195" t="s">
        <v>252</v>
      </c>
      <c r="G41" s="21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226"/>
      <c r="BN41" s="226"/>
      <c r="BO41" s="226"/>
      <c r="BP41" s="226"/>
      <c r="BQ41" s="226"/>
      <c r="BR41" s="226"/>
      <c r="BS41" s="226"/>
      <c r="BT41" s="226"/>
      <c r="BU41" s="219"/>
    </row>
    <row r="42" spans="1:5112 5125:10236 10249:15360 15373:16384"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U42" s="219"/>
    </row>
    <row r="43" spans="1:5112 5125:10236 10249:15360 15373:16384"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  <c r="AX43" s="219"/>
      <c r="AY43" s="219"/>
      <c r="AZ43" s="219"/>
      <c r="BA43" s="219"/>
      <c r="BB43" s="219"/>
      <c r="BC43" s="219"/>
      <c r="BD43" s="219"/>
      <c r="BE43" s="219"/>
      <c r="BU43" s="219"/>
    </row>
    <row r="44" spans="1:5112 5125:10236 10249:15360 15373:16384">
      <c r="A44" s="215"/>
      <c r="B44" s="202" t="str">
        <f>B27</f>
        <v>Transport</v>
      </c>
      <c r="C44" s="203" t="s">
        <v>351</v>
      </c>
      <c r="D44" s="203"/>
      <c r="E44" s="203"/>
      <c r="F44" s="204"/>
      <c r="G44" s="200"/>
      <c r="H44" s="227"/>
      <c r="I44" s="184"/>
      <c r="J44" s="184"/>
      <c r="K44" s="184">
        <f t="shared" ref="K44" si="0">K27/1000*41.868</f>
        <v>0</v>
      </c>
      <c r="L44" s="217"/>
      <c r="M44" s="217"/>
      <c r="N44" s="228">
        <f>N27/1000*41.868</f>
        <v>0</v>
      </c>
      <c r="O44" s="228"/>
      <c r="P44" s="228"/>
      <c r="Q44" s="228"/>
      <c r="R44" s="228"/>
      <c r="S44" s="228"/>
      <c r="T44" s="228"/>
      <c r="U44" s="228"/>
      <c r="V44" s="228"/>
      <c r="W44" s="228"/>
      <c r="X44" s="228">
        <f t="shared" ref="X44" si="1">X27/1000*41.868</f>
        <v>0</v>
      </c>
      <c r="Y44" s="228"/>
      <c r="Z44" s="228"/>
      <c r="AA44" s="228"/>
      <c r="AB44" s="228"/>
      <c r="AC44" s="228"/>
      <c r="AD44" s="228"/>
      <c r="AE44" s="228">
        <f>AE27/1000*41.868</f>
        <v>0</v>
      </c>
      <c r="AF44" s="228">
        <f>AF27/1000*41.868</f>
        <v>62.802000000000007</v>
      </c>
      <c r="AG44" s="228"/>
      <c r="AH44" s="228">
        <f t="shared" ref="AH44" si="2">AH27/1000*41.868</f>
        <v>0</v>
      </c>
      <c r="AI44" s="228">
        <f>AI27/1000*41.868</f>
        <v>0</v>
      </c>
      <c r="AJ44" s="228">
        <f t="shared" ref="AJ44" si="3">AJ27/1000*41.868</f>
        <v>0</v>
      </c>
      <c r="AK44" s="228"/>
      <c r="AL44" s="228">
        <f>AL27/1000*41.868</f>
        <v>43.961400000000005</v>
      </c>
      <c r="AM44" s="228">
        <f t="shared" ref="AM44" si="4">AM27/1000*41.868</f>
        <v>0</v>
      </c>
      <c r="AN44" s="228"/>
      <c r="AO44" s="228">
        <f t="shared" ref="AO44" si="5">AO27/1000*41.868</f>
        <v>0</v>
      </c>
      <c r="AP44" s="228">
        <f t="shared" ref="AP44" si="6">AP27/1000*41.868</f>
        <v>0</v>
      </c>
      <c r="AQ44" s="228"/>
      <c r="AR44" s="228"/>
      <c r="AS44" s="228">
        <f>AS27/1000*41.868</f>
        <v>0</v>
      </c>
      <c r="AT44" s="228"/>
      <c r="AU44" s="228">
        <f t="shared" ref="AU44" si="7">AU27/1000*41.868</f>
        <v>0</v>
      </c>
      <c r="AV44" s="228"/>
      <c r="AW44" s="228"/>
      <c r="AX44" s="228"/>
      <c r="AY44" s="228"/>
      <c r="AZ44" s="228"/>
      <c r="BA44" s="228"/>
      <c r="BB44" s="228"/>
      <c r="BC44" s="228"/>
      <c r="BD44" s="228"/>
      <c r="BE44" s="228"/>
      <c r="BF44" s="228">
        <f t="shared" ref="BF44:BH44" si="8">BF27/1000*41.868</f>
        <v>0</v>
      </c>
      <c r="BG44" s="228">
        <f t="shared" si="8"/>
        <v>0</v>
      </c>
      <c r="BH44" s="228">
        <f t="shared" si="8"/>
        <v>0</v>
      </c>
      <c r="BI44" s="228"/>
      <c r="BJ44" s="228"/>
      <c r="BK44" s="228">
        <f>BK27/1000*41.868</f>
        <v>0</v>
      </c>
      <c r="BL44" s="228"/>
      <c r="BM44" s="228"/>
      <c r="BN44" s="228"/>
      <c r="BO44" s="228"/>
      <c r="BP44" s="228"/>
      <c r="BQ44" s="228"/>
      <c r="BR44" s="228"/>
      <c r="BS44" s="228">
        <f>BS27/1000*41.868</f>
        <v>0</v>
      </c>
      <c r="BT44" s="228">
        <f>BT27/1000*41.868</f>
        <v>0</v>
      </c>
      <c r="BU44" s="219">
        <f>SUM(H44:BT44)</f>
        <v>106.76340000000002</v>
      </c>
      <c r="CG44" s="215"/>
      <c r="CH44" s="202"/>
      <c r="CI44" s="203"/>
      <c r="CJ44" s="203"/>
      <c r="CK44" s="203"/>
      <c r="CL44" s="204"/>
      <c r="CM44" s="200"/>
      <c r="CN44" s="227"/>
      <c r="CO44" s="184"/>
      <c r="CP44" s="184"/>
      <c r="CQ44" s="184"/>
      <c r="CR44" s="184"/>
      <c r="CS44" s="184"/>
      <c r="CT44" s="184"/>
      <c r="CU44" s="184"/>
      <c r="CV44" s="184"/>
      <c r="CW44" s="184"/>
      <c r="CX44" s="184"/>
      <c r="CY44" s="184"/>
      <c r="CZ44" s="184"/>
      <c r="DA44" s="184"/>
      <c r="DB44" s="184"/>
      <c r="DC44" s="184"/>
      <c r="DD44" s="184"/>
      <c r="DE44" s="184"/>
      <c r="DF44" s="184"/>
      <c r="DG44" s="184"/>
      <c r="DH44" s="184"/>
      <c r="DI44" s="184"/>
      <c r="DJ44" s="184"/>
      <c r="DK44" s="184"/>
      <c r="DL44" s="184"/>
      <c r="DM44" s="184"/>
      <c r="DN44" s="184"/>
      <c r="DO44" s="184"/>
      <c r="DP44" s="184"/>
      <c r="DQ44" s="184"/>
      <c r="DR44" s="184"/>
      <c r="DS44" s="184"/>
      <c r="DT44" s="184"/>
      <c r="DU44" s="184"/>
      <c r="DV44" s="184"/>
      <c r="DW44" s="184"/>
      <c r="DX44" s="184"/>
      <c r="DY44" s="184"/>
      <c r="DZ44" s="184"/>
      <c r="EA44" s="184"/>
      <c r="EB44" s="184"/>
      <c r="EC44" s="184"/>
      <c r="ED44" s="184"/>
      <c r="EE44" s="184"/>
      <c r="EF44" s="184"/>
      <c r="EG44" s="184"/>
      <c r="EH44" s="184"/>
      <c r="EI44" s="184"/>
      <c r="EJ44" s="184"/>
      <c r="EK44" s="184"/>
      <c r="EL44" s="184"/>
      <c r="EM44" s="184"/>
      <c r="EN44" s="184"/>
      <c r="EO44" s="184"/>
      <c r="EP44" s="184"/>
      <c r="EQ44" s="184"/>
      <c r="ER44" s="184"/>
      <c r="ES44" s="184"/>
      <c r="ET44" s="184"/>
      <c r="EU44" s="184"/>
      <c r="EV44" s="184"/>
      <c r="EW44" s="184"/>
      <c r="EX44" s="184"/>
      <c r="EY44" s="184"/>
      <c r="EZ44" s="184"/>
      <c r="FM44" s="215"/>
      <c r="FN44" s="202"/>
      <c r="FO44" s="203"/>
      <c r="FP44" s="203"/>
      <c r="FQ44" s="203"/>
      <c r="FR44" s="204"/>
      <c r="FS44" s="200"/>
      <c r="FT44" s="227"/>
      <c r="FU44" s="184"/>
      <c r="FV44" s="184"/>
      <c r="FW44" s="184"/>
      <c r="FX44" s="184"/>
      <c r="FY44" s="184"/>
      <c r="FZ44" s="184"/>
      <c r="GA44" s="184"/>
      <c r="GB44" s="184"/>
      <c r="GC44" s="184"/>
      <c r="GD44" s="184"/>
      <c r="GE44" s="184"/>
      <c r="GF44" s="184"/>
      <c r="GG44" s="184"/>
      <c r="GH44" s="184"/>
      <c r="GI44" s="184"/>
      <c r="GJ44" s="184"/>
      <c r="GK44" s="184"/>
      <c r="GL44" s="184"/>
      <c r="GM44" s="184"/>
      <c r="GN44" s="184"/>
      <c r="GO44" s="184"/>
      <c r="GP44" s="184"/>
      <c r="GQ44" s="184"/>
      <c r="GR44" s="184"/>
      <c r="GS44" s="184"/>
      <c r="GT44" s="184"/>
      <c r="GU44" s="184"/>
      <c r="GV44" s="184"/>
      <c r="GW44" s="184"/>
      <c r="GX44" s="184"/>
      <c r="GY44" s="184"/>
      <c r="GZ44" s="184"/>
      <c r="HA44" s="184"/>
      <c r="HB44" s="184"/>
      <c r="HC44" s="184"/>
      <c r="HD44" s="184"/>
      <c r="HE44" s="184"/>
      <c r="HF44" s="184"/>
      <c r="HG44" s="184"/>
      <c r="HH44" s="184"/>
      <c r="HI44" s="184"/>
      <c r="HJ44" s="184"/>
      <c r="HK44" s="184"/>
      <c r="HL44" s="184"/>
      <c r="HM44" s="184"/>
      <c r="HN44" s="184"/>
      <c r="HO44" s="184"/>
      <c r="HP44" s="184"/>
      <c r="HQ44" s="184"/>
      <c r="HR44" s="184"/>
      <c r="HS44" s="184"/>
      <c r="HT44" s="184"/>
      <c r="HU44" s="184"/>
      <c r="HV44" s="184"/>
      <c r="HW44" s="184"/>
      <c r="HX44" s="184"/>
      <c r="HY44" s="184"/>
      <c r="HZ44" s="184"/>
      <c r="IA44" s="184"/>
      <c r="IB44" s="184"/>
      <c r="IC44" s="184"/>
      <c r="ID44" s="184"/>
      <c r="IE44" s="184"/>
      <c r="IF44" s="184"/>
      <c r="IS44" s="215"/>
      <c r="IT44" s="202"/>
      <c r="IU44" s="203"/>
      <c r="IV44" s="203"/>
      <c r="IW44" s="203"/>
      <c r="IX44" s="204"/>
      <c r="IY44" s="200"/>
      <c r="IZ44" s="227"/>
      <c r="JA44" s="184"/>
      <c r="JB44" s="184"/>
      <c r="JC44" s="184"/>
      <c r="JD44" s="184"/>
      <c r="JE44" s="184"/>
      <c r="JF44" s="184"/>
      <c r="JG44" s="184"/>
      <c r="JH44" s="184"/>
      <c r="JI44" s="184"/>
      <c r="JJ44" s="184"/>
      <c r="JK44" s="184"/>
      <c r="JL44" s="184"/>
      <c r="JM44" s="184"/>
      <c r="JN44" s="184"/>
      <c r="JO44" s="184"/>
      <c r="JP44" s="184"/>
      <c r="JQ44" s="184"/>
      <c r="JR44" s="184"/>
      <c r="JS44" s="184"/>
      <c r="JT44" s="184"/>
      <c r="JU44" s="184"/>
      <c r="JV44" s="184"/>
      <c r="JW44" s="184"/>
      <c r="JX44" s="184"/>
      <c r="JY44" s="184"/>
      <c r="JZ44" s="184"/>
      <c r="KA44" s="184"/>
      <c r="KB44" s="184"/>
      <c r="KC44" s="184"/>
      <c r="KD44" s="184"/>
      <c r="KE44" s="184"/>
      <c r="KF44" s="184"/>
      <c r="KG44" s="184"/>
      <c r="KH44" s="184"/>
      <c r="KI44" s="184"/>
      <c r="KJ44" s="184"/>
      <c r="KK44" s="184"/>
      <c r="KL44" s="184"/>
      <c r="KM44" s="184"/>
      <c r="KN44" s="184"/>
      <c r="KO44" s="184"/>
      <c r="KP44" s="184"/>
      <c r="KQ44" s="184"/>
      <c r="KR44" s="184"/>
      <c r="KS44" s="184"/>
      <c r="KT44" s="184"/>
      <c r="KU44" s="184"/>
      <c r="KV44" s="184"/>
      <c r="KW44" s="184"/>
      <c r="KX44" s="184"/>
      <c r="KY44" s="184"/>
      <c r="KZ44" s="184"/>
      <c r="LA44" s="184"/>
      <c r="LB44" s="184"/>
      <c r="LC44" s="184"/>
      <c r="LD44" s="184"/>
      <c r="LE44" s="184"/>
      <c r="LF44" s="184"/>
      <c r="LG44" s="184"/>
      <c r="LH44" s="184"/>
      <c r="LI44" s="184"/>
      <c r="LJ44" s="184"/>
      <c r="LK44" s="184"/>
      <c r="LL44" s="184"/>
      <c r="LY44" s="215"/>
      <c r="LZ44" s="202"/>
      <c r="MA44" s="203"/>
      <c r="MB44" s="203"/>
      <c r="MC44" s="203"/>
      <c r="MD44" s="204"/>
      <c r="ME44" s="200"/>
      <c r="MF44" s="227"/>
      <c r="MG44" s="184"/>
      <c r="MH44" s="184"/>
      <c r="MI44" s="184"/>
      <c r="MJ44" s="184"/>
      <c r="MK44" s="184"/>
      <c r="ML44" s="184"/>
      <c r="MM44" s="184"/>
      <c r="MN44" s="184"/>
      <c r="MO44" s="184"/>
      <c r="MP44" s="184"/>
      <c r="MQ44" s="184"/>
      <c r="MR44" s="184"/>
      <c r="MS44" s="184"/>
      <c r="MT44" s="184"/>
      <c r="MU44" s="184"/>
      <c r="MV44" s="184"/>
      <c r="MW44" s="184"/>
      <c r="MX44" s="184"/>
      <c r="MY44" s="184"/>
      <c r="MZ44" s="184"/>
      <c r="NA44" s="184"/>
      <c r="NB44" s="184"/>
      <c r="NC44" s="184"/>
      <c r="ND44" s="184"/>
      <c r="NE44" s="184"/>
      <c r="NF44" s="184"/>
      <c r="NG44" s="184"/>
      <c r="NH44" s="184"/>
      <c r="NI44" s="184"/>
      <c r="NJ44" s="184"/>
      <c r="NK44" s="184"/>
      <c r="NL44" s="184"/>
      <c r="NM44" s="184"/>
      <c r="NN44" s="184"/>
      <c r="NO44" s="184"/>
      <c r="NP44" s="184"/>
      <c r="NQ44" s="184"/>
      <c r="NR44" s="184"/>
      <c r="NS44" s="184"/>
      <c r="NT44" s="184"/>
      <c r="NU44" s="184"/>
      <c r="NV44" s="184"/>
      <c r="NW44" s="184"/>
      <c r="NX44" s="184"/>
      <c r="NY44" s="184"/>
      <c r="NZ44" s="184"/>
      <c r="OA44" s="184"/>
      <c r="OB44" s="184"/>
      <c r="OC44" s="184"/>
      <c r="OD44" s="184"/>
      <c r="OE44" s="184"/>
      <c r="OF44" s="184"/>
      <c r="OG44" s="184"/>
      <c r="OH44" s="184"/>
      <c r="OI44" s="184"/>
      <c r="OJ44" s="184"/>
      <c r="OK44" s="184"/>
      <c r="OL44" s="184"/>
      <c r="OM44" s="184"/>
      <c r="ON44" s="184"/>
      <c r="OO44" s="184"/>
      <c r="OP44" s="184"/>
      <c r="OQ44" s="184"/>
      <c r="OR44" s="184"/>
      <c r="PE44" s="215"/>
      <c r="PF44" s="202"/>
      <c r="PG44" s="203"/>
      <c r="PH44" s="203"/>
      <c r="PI44" s="203"/>
      <c r="PJ44" s="204"/>
      <c r="PK44" s="200"/>
      <c r="PL44" s="227"/>
      <c r="PM44" s="184"/>
      <c r="PN44" s="184"/>
      <c r="PO44" s="184"/>
      <c r="PP44" s="184"/>
      <c r="PQ44" s="184"/>
      <c r="PR44" s="184"/>
      <c r="PS44" s="184"/>
      <c r="PT44" s="184"/>
      <c r="PU44" s="184"/>
      <c r="PV44" s="184"/>
      <c r="PW44" s="184"/>
      <c r="PX44" s="184"/>
      <c r="PY44" s="184"/>
      <c r="PZ44" s="184"/>
      <c r="QA44" s="184"/>
      <c r="QB44" s="184"/>
      <c r="QC44" s="184"/>
      <c r="QD44" s="184"/>
      <c r="QE44" s="184"/>
      <c r="QF44" s="184"/>
      <c r="QG44" s="184"/>
      <c r="QH44" s="184"/>
      <c r="QI44" s="184"/>
      <c r="QJ44" s="184"/>
      <c r="QK44" s="184"/>
      <c r="QL44" s="184"/>
      <c r="QM44" s="184"/>
      <c r="QN44" s="184"/>
      <c r="QO44" s="184"/>
      <c r="QP44" s="184"/>
      <c r="QQ44" s="184"/>
      <c r="QR44" s="184"/>
      <c r="QS44" s="184"/>
      <c r="QT44" s="184"/>
      <c r="QU44" s="184"/>
      <c r="QV44" s="184"/>
      <c r="QW44" s="184"/>
      <c r="QX44" s="184"/>
      <c r="QY44" s="184"/>
      <c r="QZ44" s="184"/>
      <c r="RA44" s="184"/>
      <c r="RB44" s="184"/>
      <c r="RC44" s="184"/>
      <c r="RD44" s="184"/>
      <c r="RE44" s="184"/>
      <c r="RF44" s="184"/>
      <c r="RG44" s="184"/>
      <c r="RH44" s="184"/>
      <c r="RI44" s="184"/>
      <c r="RJ44" s="184"/>
      <c r="RK44" s="184"/>
      <c r="RL44" s="184"/>
      <c r="RM44" s="184"/>
      <c r="RN44" s="184"/>
      <c r="RO44" s="184"/>
      <c r="RP44" s="184"/>
      <c r="RQ44" s="184"/>
      <c r="RR44" s="184"/>
      <c r="RS44" s="184"/>
      <c r="RT44" s="184"/>
      <c r="RU44" s="184"/>
      <c r="RV44" s="184"/>
      <c r="RW44" s="184"/>
      <c r="RX44" s="184"/>
      <c r="SK44" s="215"/>
      <c r="SL44" s="202"/>
      <c r="SM44" s="203"/>
      <c r="SN44" s="203"/>
      <c r="SO44" s="203"/>
      <c r="SP44" s="204"/>
      <c r="SQ44" s="200"/>
      <c r="SR44" s="227"/>
      <c r="SS44" s="184"/>
      <c r="ST44" s="184"/>
      <c r="SU44" s="184"/>
      <c r="SV44" s="184"/>
      <c r="SW44" s="184"/>
      <c r="SX44" s="184"/>
      <c r="SY44" s="184"/>
      <c r="SZ44" s="184"/>
      <c r="TA44" s="184"/>
      <c r="TB44" s="184"/>
      <c r="TC44" s="184"/>
      <c r="TD44" s="184"/>
      <c r="TE44" s="184"/>
      <c r="TF44" s="184"/>
      <c r="TG44" s="184"/>
      <c r="TH44" s="184"/>
      <c r="TI44" s="184"/>
      <c r="TJ44" s="184"/>
      <c r="TK44" s="184"/>
      <c r="TL44" s="184"/>
      <c r="TM44" s="184"/>
      <c r="TN44" s="184"/>
      <c r="TO44" s="184"/>
      <c r="TP44" s="184"/>
      <c r="TQ44" s="184"/>
      <c r="TR44" s="184"/>
      <c r="TS44" s="184"/>
      <c r="TT44" s="184"/>
      <c r="TU44" s="184"/>
      <c r="TV44" s="184"/>
      <c r="TW44" s="184"/>
      <c r="TX44" s="184"/>
      <c r="TY44" s="184"/>
      <c r="TZ44" s="184"/>
      <c r="UA44" s="184"/>
      <c r="UB44" s="184"/>
      <c r="UC44" s="184"/>
      <c r="UD44" s="184"/>
      <c r="UE44" s="184"/>
      <c r="UF44" s="184"/>
      <c r="UG44" s="184"/>
      <c r="UH44" s="184"/>
      <c r="UI44" s="184"/>
      <c r="UJ44" s="184"/>
      <c r="UK44" s="184"/>
      <c r="UL44" s="184"/>
      <c r="UM44" s="184"/>
      <c r="UN44" s="184"/>
      <c r="UO44" s="184"/>
      <c r="UP44" s="184"/>
      <c r="UQ44" s="184"/>
      <c r="UR44" s="184"/>
      <c r="US44" s="184"/>
      <c r="UT44" s="184"/>
      <c r="UU44" s="184"/>
      <c r="UV44" s="184"/>
      <c r="UW44" s="184"/>
      <c r="UX44" s="184"/>
      <c r="UY44" s="184"/>
      <c r="UZ44" s="184"/>
      <c r="VA44" s="184"/>
      <c r="VB44" s="184"/>
      <c r="VC44" s="184"/>
      <c r="VD44" s="184"/>
      <c r="VQ44" s="215"/>
      <c r="VR44" s="202"/>
      <c r="VS44" s="203"/>
      <c r="VT44" s="203"/>
      <c r="VU44" s="203"/>
      <c r="VV44" s="204"/>
      <c r="VW44" s="200"/>
      <c r="VX44" s="227"/>
      <c r="VY44" s="184"/>
      <c r="VZ44" s="184"/>
      <c r="WA44" s="184"/>
      <c r="WB44" s="184"/>
      <c r="WC44" s="184"/>
      <c r="WD44" s="184"/>
      <c r="WE44" s="184"/>
      <c r="WF44" s="184"/>
      <c r="WG44" s="184"/>
      <c r="WH44" s="184"/>
      <c r="WI44" s="184"/>
      <c r="WJ44" s="184"/>
      <c r="WK44" s="184"/>
      <c r="WL44" s="184"/>
      <c r="WM44" s="184"/>
      <c r="WN44" s="184"/>
      <c r="WO44" s="184"/>
      <c r="WP44" s="184"/>
      <c r="WQ44" s="184"/>
      <c r="WR44" s="184"/>
      <c r="WS44" s="184"/>
      <c r="WT44" s="184"/>
      <c r="WU44" s="184"/>
      <c r="WV44" s="184"/>
      <c r="WW44" s="184"/>
      <c r="WX44" s="184"/>
      <c r="WY44" s="184"/>
      <c r="WZ44" s="184"/>
      <c r="XA44" s="184"/>
      <c r="XB44" s="184"/>
      <c r="XC44" s="184"/>
      <c r="XD44" s="184"/>
      <c r="XE44" s="184"/>
      <c r="XF44" s="184"/>
      <c r="XG44" s="184"/>
      <c r="XH44" s="184"/>
      <c r="XI44" s="184"/>
      <c r="XJ44" s="184"/>
      <c r="XK44" s="184"/>
      <c r="XL44" s="184"/>
      <c r="XM44" s="184"/>
      <c r="XN44" s="184"/>
      <c r="XO44" s="184"/>
      <c r="XP44" s="184"/>
      <c r="XQ44" s="184"/>
      <c r="XR44" s="184"/>
      <c r="XS44" s="184"/>
      <c r="XT44" s="184"/>
      <c r="XU44" s="184"/>
      <c r="XV44" s="184"/>
      <c r="XW44" s="184"/>
      <c r="XX44" s="184"/>
      <c r="XY44" s="184"/>
      <c r="XZ44" s="184"/>
      <c r="YA44" s="184"/>
      <c r="YB44" s="184"/>
      <c r="YC44" s="184"/>
      <c r="YD44" s="184"/>
      <c r="YE44" s="184"/>
      <c r="YF44" s="184"/>
      <c r="YG44" s="184"/>
      <c r="YH44" s="184"/>
      <c r="YI44" s="184"/>
      <c r="YJ44" s="184"/>
      <c r="YW44" s="215"/>
      <c r="YX44" s="202"/>
      <c r="YY44" s="203"/>
      <c r="YZ44" s="203"/>
      <c r="ZA44" s="203"/>
      <c r="ZB44" s="204"/>
      <c r="ZC44" s="200"/>
      <c r="ZD44" s="227"/>
      <c r="ZE44" s="184"/>
      <c r="ZF44" s="184"/>
      <c r="ZG44" s="184"/>
      <c r="ZH44" s="184"/>
      <c r="ZI44" s="184"/>
      <c r="ZJ44" s="184"/>
      <c r="ZK44" s="184"/>
      <c r="ZL44" s="184"/>
      <c r="ZM44" s="184"/>
      <c r="ZN44" s="184"/>
      <c r="ZO44" s="184"/>
      <c r="ZP44" s="184"/>
      <c r="ZQ44" s="184"/>
      <c r="ZR44" s="184"/>
      <c r="ZS44" s="184"/>
      <c r="ZT44" s="184"/>
      <c r="ZU44" s="184"/>
      <c r="ZV44" s="184"/>
      <c r="ZW44" s="184"/>
      <c r="ZX44" s="184"/>
      <c r="ZY44" s="184"/>
      <c r="ZZ44" s="184"/>
      <c r="AAA44" s="184"/>
      <c r="AAB44" s="184"/>
      <c r="AAC44" s="184"/>
      <c r="AAD44" s="184"/>
      <c r="AAE44" s="184"/>
      <c r="AAF44" s="184"/>
      <c r="AAG44" s="184"/>
      <c r="AAH44" s="184"/>
      <c r="AAI44" s="184"/>
      <c r="AAJ44" s="184"/>
      <c r="AAK44" s="184"/>
      <c r="AAL44" s="184"/>
      <c r="AAM44" s="184"/>
      <c r="AAN44" s="184"/>
      <c r="AAO44" s="184"/>
      <c r="AAP44" s="184"/>
      <c r="AAQ44" s="184"/>
      <c r="AAR44" s="184"/>
      <c r="AAS44" s="184"/>
      <c r="AAT44" s="184"/>
      <c r="AAU44" s="184"/>
      <c r="AAV44" s="184"/>
      <c r="AAW44" s="184"/>
      <c r="AAX44" s="184"/>
      <c r="AAY44" s="184"/>
      <c r="AAZ44" s="184"/>
      <c r="ABA44" s="184"/>
      <c r="ABB44" s="184"/>
      <c r="ABC44" s="184"/>
      <c r="ABD44" s="184"/>
      <c r="ABE44" s="184"/>
      <c r="ABF44" s="184"/>
      <c r="ABG44" s="184"/>
      <c r="ABH44" s="184"/>
      <c r="ABI44" s="184"/>
      <c r="ABJ44" s="184"/>
      <c r="ABK44" s="184"/>
      <c r="ABL44" s="184"/>
      <c r="ABM44" s="184"/>
      <c r="ABN44" s="184"/>
      <c r="ABO44" s="184"/>
      <c r="ABP44" s="184"/>
      <c r="ACC44" s="215"/>
      <c r="ACD44" s="202"/>
      <c r="ACE44" s="203"/>
      <c r="ACF44" s="203"/>
      <c r="ACG44" s="203"/>
      <c r="ACH44" s="204"/>
      <c r="ACI44" s="200"/>
      <c r="ACJ44" s="227"/>
      <c r="ACK44" s="184"/>
      <c r="ACL44" s="184"/>
      <c r="ACM44" s="184"/>
      <c r="ACN44" s="184"/>
      <c r="ACO44" s="184"/>
      <c r="ACP44" s="184"/>
      <c r="ACQ44" s="184"/>
      <c r="ACR44" s="184"/>
      <c r="ACS44" s="184"/>
      <c r="ACT44" s="184"/>
      <c r="ACU44" s="184"/>
      <c r="ACV44" s="184"/>
      <c r="ACW44" s="184"/>
      <c r="ACX44" s="184"/>
      <c r="ACY44" s="184"/>
      <c r="ACZ44" s="184"/>
      <c r="ADA44" s="184"/>
      <c r="ADB44" s="184"/>
      <c r="ADC44" s="184"/>
      <c r="ADD44" s="184"/>
      <c r="ADE44" s="184"/>
      <c r="ADF44" s="184"/>
      <c r="ADG44" s="184"/>
      <c r="ADH44" s="184"/>
      <c r="ADI44" s="184"/>
      <c r="ADJ44" s="184"/>
      <c r="ADK44" s="184"/>
      <c r="ADL44" s="184"/>
      <c r="ADM44" s="184"/>
      <c r="ADN44" s="184"/>
      <c r="ADO44" s="184"/>
      <c r="ADP44" s="184"/>
      <c r="ADQ44" s="184"/>
      <c r="ADR44" s="184"/>
      <c r="ADS44" s="184"/>
      <c r="ADT44" s="184"/>
      <c r="ADU44" s="184"/>
      <c r="ADV44" s="184"/>
      <c r="ADW44" s="184"/>
      <c r="ADX44" s="184"/>
      <c r="ADY44" s="184"/>
      <c r="ADZ44" s="184"/>
      <c r="AEA44" s="184"/>
      <c r="AEB44" s="184"/>
      <c r="AEC44" s="184"/>
      <c r="AED44" s="184"/>
      <c r="AEE44" s="184"/>
      <c r="AEF44" s="184"/>
      <c r="AEG44" s="184"/>
      <c r="AEH44" s="184"/>
      <c r="AEI44" s="184"/>
      <c r="AEJ44" s="184"/>
      <c r="AEK44" s="184"/>
      <c r="AEL44" s="184"/>
      <c r="AEM44" s="184"/>
      <c r="AEN44" s="184"/>
      <c r="AEO44" s="184"/>
      <c r="AEP44" s="184"/>
      <c r="AEQ44" s="184"/>
      <c r="AER44" s="184"/>
      <c r="AES44" s="184"/>
      <c r="AET44" s="184"/>
      <c r="AEU44" s="184"/>
      <c r="AEV44" s="184"/>
      <c r="AFI44" s="215"/>
      <c r="AFJ44" s="202"/>
      <c r="AFK44" s="203"/>
      <c r="AFL44" s="203"/>
      <c r="AFM44" s="203"/>
      <c r="AFN44" s="204"/>
      <c r="AFO44" s="200"/>
      <c r="AFP44" s="227"/>
      <c r="AFQ44" s="184"/>
      <c r="AFR44" s="184"/>
      <c r="AFS44" s="184"/>
      <c r="AFT44" s="184"/>
      <c r="AFU44" s="184"/>
      <c r="AFV44" s="184"/>
      <c r="AFW44" s="184"/>
      <c r="AFX44" s="184"/>
      <c r="AFY44" s="184"/>
      <c r="AFZ44" s="184"/>
      <c r="AGA44" s="184"/>
      <c r="AGB44" s="184"/>
      <c r="AGC44" s="184"/>
      <c r="AGD44" s="184"/>
      <c r="AGE44" s="184"/>
      <c r="AGF44" s="184"/>
      <c r="AGG44" s="184"/>
      <c r="AGH44" s="184"/>
      <c r="AGI44" s="184"/>
      <c r="AGJ44" s="184"/>
      <c r="AGK44" s="184"/>
      <c r="AGL44" s="184"/>
      <c r="AGM44" s="184"/>
      <c r="AGN44" s="184"/>
      <c r="AGO44" s="184"/>
      <c r="AGP44" s="184"/>
      <c r="AGQ44" s="184"/>
      <c r="AGR44" s="184"/>
      <c r="AGS44" s="184"/>
      <c r="AGT44" s="184"/>
      <c r="AGU44" s="184"/>
      <c r="AGV44" s="184"/>
      <c r="AGW44" s="184"/>
      <c r="AGX44" s="184"/>
      <c r="AGY44" s="184"/>
      <c r="AGZ44" s="184"/>
      <c r="AHA44" s="184"/>
      <c r="AHB44" s="184"/>
      <c r="AHC44" s="184"/>
      <c r="AHD44" s="184"/>
      <c r="AHE44" s="184"/>
      <c r="AHF44" s="184"/>
      <c r="AHG44" s="184"/>
      <c r="AHH44" s="184"/>
      <c r="AHI44" s="184"/>
      <c r="AHJ44" s="184"/>
      <c r="AHK44" s="184"/>
      <c r="AHL44" s="184"/>
      <c r="AHM44" s="184"/>
      <c r="AHN44" s="184"/>
      <c r="AHO44" s="184"/>
      <c r="AHP44" s="184"/>
      <c r="AHQ44" s="184"/>
      <c r="AHR44" s="184"/>
      <c r="AHS44" s="184"/>
      <c r="AHT44" s="184"/>
      <c r="AHU44" s="184"/>
      <c r="AHV44" s="184"/>
      <c r="AHW44" s="184"/>
      <c r="AHX44" s="184"/>
      <c r="AHY44" s="184"/>
      <c r="AHZ44" s="184"/>
      <c r="AIA44" s="184"/>
      <c r="AIB44" s="184"/>
      <c r="AIO44" s="215"/>
      <c r="AIP44" s="202"/>
      <c r="AIQ44" s="203"/>
      <c r="AIR44" s="203"/>
      <c r="AIS44" s="203"/>
      <c r="AIT44" s="204"/>
      <c r="AIU44" s="200"/>
      <c r="AIV44" s="227"/>
      <c r="AIW44" s="184"/>
      <c r="AIX44" s="184"/>
      <c r="AIY44" s="184"/>
      <c r="AIZ44" s="184"/>
      <c r="AJA44" s="184"/>
      <c r="AJB44" s="184"/>
      <c r="AJC44" s="184"/>
      <c r="AJD44" s="184"/>
      <c r="AJE44" s="184"/>
      <c r="AJF44" s="184"/>
      <c r="AJG44" s="184"/>
      <c r="AJH44" s="184"/>
      <c r="AJI44" s="184"/>
      <c r="AJJ44" s="184"/>
      <c r="AJK44" s="184"/>
      <c r="AJL44" s="184"/>
      <c r="AJM44" s="184"/>
      <c r="AJN44" s="184"/>
      <c r="AJO44" s="184"/>
      <c r="AJP44" s="184"/>
      <c r="AJQ44" s="184"/>
      <c r="AJR44" s="184"/>
      <c r="AJS44" s="184"/>
      <c r="AJT44" s="184"/>
      <c r="AJU44" s="184"/>
      <c r="AJV44" s="184"/>
      <c r="AJW44" s="184"/>
      <c r="AJX44" s="184"/>
      <c r="AJY44" s="184"/>
      <c r="AJZ44" s="184"/>
      <c r="AKA44" s="184"/>
      <c r="AKB44" s="184"/>
      <c r="AKC44" s="184"/>
      <c r="AKD44" s="184"/>
      <c r="AKE44" s="184"/>
      <c r="AKF44" s="184"/>
      <c r="AKG44" s="184"/>
      <c r="AKH44" s="184"/>
      <c r="AKI44" s="184"/>
      <c r="AKJ44" s="184"/>
      <c r="AKK44" s="184"/>
      <c r="AKL44" s="184"/>
      <c r="AKM44" s="184"/>
      <c r="AKN44" s="184"/>
      <c r="AKO44" s="184"/>
      <c r="AKP44" s="184"/>
      <c r="AKQ44" s="184"/>
      <c r="AKR44" s="184"/>
      <c r="AKS44" s="184"/>
      <c r="AKT44" s="184"/>
      <c r="AKU44" s="184"/>
      <c r="AKV44" s="184"/>
      <c r="AKW44" s="184"/>
      <c r="AKX44" s="184"/>
      <c r="AKY44" s="184"/>
      <c r="AKZ44" s="184"/>
      <c r="ALA44" s="184"/>
      <c r="ALB44" s="184"/>
      <c r="ALC44" s="184"/>
      <c r="ALD44" s="184"/>
      <c r="ALE44" s="184"/>
      <c r="ALF44" s="184"/>
      <c r="ALG44" s="184"/>
      <c r="ALH44" s="184"/>
      <c r="ALU44" s="215"/>
      <c r="ALV44" s="202"/>
      <c r="ALW44" s="203"/>
      <c r="ALX44" s="203"/>
      <c r="ALY44" s="203"/>
      <c r="ALZ44" s="204"/>
      <c r="AMA44" s="200"/>
      <c r="AMB44" s="227"/>
      <c r="AMC44" s="184"/>
      <c r="AMD44" s="184"/>
      <c r="AME44" s="184"/>
      <c r="AMF44" s="184"/>
      <c r="AMG44" s="184"/>
      <c r="AMH44" s="184"/>
      <c r="AMI44" s="184"/>
      <c r="AMJ44" s="184"/>
      <c r="AMK44" s="184"/>
      <c r="AML44" s="184"/>
      <c r="AMM44" s="184"/>
      <c r="AMN44" s="184"/>
      <c r="AMO44" s="184"/>
      <c r="AMP44" s="184"/>
      <c r="AMQ44" s="184"/>
      <c r="AMR44" s="184"/>
      <c r="AMS44" s="184"/>
      <c r="AMT44" s="184"/>
      <c r="AMU44" s="184"/>
      <c r="AMV44" s="184"/>
      <c r="AMW44" s="184"/>
      <c r="AMX44" s="184"/>
      <c r="AMY44" s="184"/>
      <c r="AMZ44" s="184"/>
      <c r="ANA44" s="184"/>
      <c r="ANB44" s="184"/>
      <c r="ANC44" s="184"/>
      <c r="AND44" s="184"/>
      <c r="ANE44" s="184"/>
      <c r="ANF44" s="184"/>
      <c r="ANG44" s="184"/>
      <c r="ANH44" s="184"/>
      <c r="ANI44" s="184"/>
      <c r="ANJ44" s="184"/>
      <c r="ANK44" s="184"/>
      <c r="ANL44" s="184"/>
      <c r="ANM44" s="184"/>
      <c r="ANN44" s="184"/>
      <c r="ANO44" s="184"/>
      <c r="ANP44" s="184"/>
      <c r="ANQ44" s="184"/>
      <c r="ANR44" s="184"/>
      <c r="ANS44" s="184"/>
      <c r="ANT44" s="184"/>
      <c r="ANU44" s="184"/>
      <c r="ANV44" s="184"/>
      <c r="ANW44" s="184"/>
      <c r="ANX44" s="184"/>
      <c r="ANY44" s="184"/>
      <c r="ANZ44" s="184"/>
      <c r="AOA44" s="184"/>
      <c r="AOB44" s="184"/>
      <c r="AOC44" s="184"/>
      <c r="AOD44" s="184"/>
      <c r="AOE44" s="184"/>
      <c r="AOF44" s="184"/>
      <c r="AOG44" s="184"/>
      <c r="AOH44" s="184"/>
      <c r="AOI44" s="184"/>
      <c r="AOJ44" s="184"/>
      <c r="AOK44" s="184"/>
      <c r="AOL44" s="184"/>
      <c r="AOM44" s="184"/>
      <c r="AON44" s="184"/>
      <c r="APA44" s="215"/>
      <c r="APB44" s="202"/>
      <c r="APC44" s="203"/>
      <c r="APD44" s="203"/>
      <c r="APE44" s="203"/>
      <c r="APF44" s="204"/>
      <c r="APG44" s="200"/>
      <c r="APH44" s="227"/>
      <c r="API44" s="184"/>
      <c r="APJ44" s="184"/>
      <c r="APK44" s="184"/>
      <c r="APL44" s="184"/>
      <c r="APM44" s="184"/>
      <c r="APN44" s="184"/>
      <c r="APO44" s="184"/>
      <c r="APP44" s="184"/>
      <c r="APQ44" s="184"/>
      <c r="APR44" s="184"/>
      <c r="APS44" s="184"/>
      <c r="APT44" s="184"/>
      <c r="APU44" s="184"/>
      <c r="APV44" s="184"/>
      <c r="APW44" s="184"/>
      <c r="APX44" s="184"/>
      <c r="APY44" s="184"/>
      <c r="APZ44" s="184"/>
      <c r="AQA44" s="184"/>
      <c r="AQB44" s="184"/>
      <c r="AQC44" s="184"/>
      <c r="AQD44" s="184"/>
      <c r="AQE44" s="184"/>
      <c r="AQF44" s="184"/>
      <c r="AQG44" s="184"/>
      <c r="AQH44" s="184"/>
      <c r="AQI44" s="184"/>
      <c r="AQJ44" s="184"/>
      <c r="AQK44" s="184"/>
      <c r="AQL44" s="184"/>
      <c r="AQM44" s="184"/>
      <c r="AQN44" s="184"/>
      <c r="AQO44" s="184"/>
      <c r="AQP44" s="184"/>
      <c r="AQQ44" s="184"/>
      <c r="AQR44" s="184"/>
      <c r="AQS44" s="184"/>
      <c r="AQT44" s="184"/>
      <c r="AQU44" s="184"/>
      <c r="AQV44" s="184"/>
      <c r="AQW44" s="184"/>
      <c r="AQX44" s="184"/>
      <c r="AQY44" s="184"/>
      <c r="AQZ44" s="184"/>
      <c r="ARA44" s="184"/>
      <c r="ARB44" s="184"/>
      <c r="ARC44" s="184"/>
      <c r="ARD44" s="184"/>
      <c r="ARE44" s="184"/>
      <c r="ARF44" s="184"/>
      <c r="ARG44" s="184"/>
      <c r="ARH44" s="184"/>
      <c r="ARI44" s="184"/>
      <c r="ARJ44" s="184"/>
      <c r="ARK44" s="184"/>
      <c r="ARL44" s="184"/>
      <c r="ARM44" s="184"/>
      <c r="ARN44" s="184"/>
      <c r="ARO44" s="184"/>
      <c r="ARP44" s="184"/>
      <c r="ARQ44" s="184"/>
      <c r="ARR44" s="184"/>
      <c r="ARS44" s="184"/>
      <c r="ART44" s="184"/>
      <c r="ASG44" s="215"/>
      <c r="ASH44" s="202"/>
      <c r="ASI44" s="203"/>
      <c r="ASJ44" s="203"/>
      <c r="ASK44" s="203"/>
      <c r="ASL44" s="204"/>
      <c r="ASM44" s="200"/>
      <c r="ASN44" s="227"/>
      <c r="ASO44" s="184"/>
      <c r="ASP44" s="184"/>
      <c r="ASQ44" s="184"/>
      <c r="ASR44" s="184"/>
      <c r="ASS44" s="184"/>
      <c r="AST44" s="184"/>
      <c r="ASU44" s="184"/>
      <c r="ASV44" s="184"/>
      <c r="ASW44" s="184"/>
      <c r="ASX44" s="184"/>
      <c r="ASY44" s="184"/>
      <c r="ASZ44" s="184"/>
      <c r="ATA44" s="184"/>
      <c r="ATB44" s="184"/>
      <c r="ATC44" s="184"/>
      <c r="ATD44" s="184"/>
      <c r="ATE44" s="184"/>
      <c r="ATF44" s="184"/>
      <c r="ATG44" s="184"/>
      <c r="ATH44" s="184"/>
      <c r="ATI44" s="184"/>
      <c r="ATJ44" s="184"/>
      <c r="ATK44" s="184"/>
      <c r="ATL44" s="184"/>
      <c r="ATM44" s="184"/>
      <c r="ATN44" s="184"/>
      <c r="ATO44" s="184"/>
      <c r="ATP44" s="184"/>
      <c r="ATQ44" s="184"/>
      <c r="ATR44" s="184"/>
      <c r="ATS44" s="184"/>
      <c r="ATT44" s="184"/>
      <c r="ATU44" s="184"/>
      <c r="ATV44" s="184"/>
      <c r="ATW44" s="184"/>
      <c r="ATX44" s="184"/>
      <c r="ATY44" s="184"/>
      <c r="ATZ44" s="184"/>
      <c r="AUA44" s="184"/>
      <c r="AUB44" s="184"/>
      <c r="AUC44" s="184"/>
      <c r="AUD44" s="184"/>
      <c r="AUE44" s="184"/>
      <c r="AUF44" s="184"/>
      <c r="AUG44" s="184"/>
      <c r="AUH44" s="184"/>
      <c r="AUI44" s="184"/>
      <c r="AUJ44" s="184"/>
      <c r="AUK44" s="184"/>
      <c r="AUL44" s="184"/>
      <c r="AUM44" s="184"/>
      <c r="AUN44" s="184"/>
      <c r="AUO44" s="184"/>
      <c r="AUP44" s="184"/>
      <c r="AUQ44" s="184"/>
      <c r="AUR44" s="184"/>
      <c r="AUS44" s="184"/>
      <c r="AUT44" s="184"/>
      <c r="AUU44" s="184"/>
      <c r="AUV44" s="184"/>
      <c r="AUW44" s="184"/>
      <c r="AUX44" s="184"/>
      <c r="AUY44" s="184"/>
      <c r="AUZ44" s="184"/>
      <c r="AVM44" s="215"/>
      <c r="AVN44" s="202"/>
      <c r="AVO44" s="203"/>
      <c r="AVP44" s="203"/>
      <c r="AVQ44" s="203"/>
      <c r="AVR44" s="204"/>
      <c r="AVS44" s="200"/>
      <c r="AVT44" s="227"/>
      <c r="AVU44" s="184"/>
      <c r="AVV44" s="184"/>
      <c r="AVW44" s="184"/>
      <c r="AVX44" s="184"/>
      <c r="AVY44" s="184"/>
      <c r="AVZ44" s="184"/>
      <c r="AWA44" s="184"/>
      <c r="AWB44" s="184"/>
      <c r="AWC44" s="184"/>
      <c r="AWD44" s="184"/>
      <c r="AWE44" s="184"/>
      <c r="AWF44" s="184"/>
      <c r="AWG44" s="184"/>
      <c r="AWH44" s="184"/>
      <c r="AWI44" s="184"/>
      <c r="AWJ44" s="184"/>
      <c r="AWK44" s="184"/>
      <c r="AWL44" s="184"/>
      <c r="AWM44" s="184"/>
      <c r="AWN44" s="184"/>
      <c r="AWO44" s="184"/>
      <c r="AWP44" s="184"/>
      <c r="AWQ44" s="184"/>
      <c r="AWR44" s="184"/>
      <c r="AWS44" s="184"/>
      <c r="AWT44" s="184"/>
      <c r="AWU44" s="184"/>
      <c r="AWV44" s="184"/>
      <c r="AWW44" s="184"/>
      <c r="AWX44" s="184"/>
      <c r="AWY44" s="184"/>
      <c r="AWZ44" s="184"/>
      <c r="AXA44" s="184"/>
      <c r="AXB44" s="184"/>
      <c r="AXC44" s="184"/>
      <c r="AXD44" s="184"/>
      <c r="AXE44" s="184"/>
      <c r="AXF44" s="184"/>
      <c r="AXG44" s="184"/>
      <c r="AXH44" s="184"/>
      <c r="AXI44" s="184"/>
      <c r="AXJ44" s="184"/>
      <c r="AXK44" s="184"/>
      <c r="AXL44" s="184"/>
      <c r="AXM44" s="184"/>
      <c r="AXN44" s="184"/>
      <c r="AXO44" s="184"/>
      <c r="AXP44" s="184"/>
      <c r="AXQ44" s="184"/>
      <c r="AXR44" s="184"/>
      <c r="AXS44" s="184"/>
      <c r="AXT44" s="184"/>
      <c r="AXU44" s="184"/>
      <c r="AXV44" s="184"/>
      <c r="AXW44" s="184"/>
      <c r="AXX44" s="184"/>
      <c r="AXY44" s="184"/>
      <c r="AXZ44" s="184"/>
      <c r="AYA44" s="184"/>
      <c r="AYB44" s="184"/>
      <c r="AYC44" s="184"/>
      <c r="AYD44" s="184"/>
      <c r="AYE44" s="184"/>
      <c r="AYF44" s="184"/>
      <c r="AYS44" s="215"/>
      <c r="AYT44" s="202"/>
      <c r="AYU44" s="203"/>
      <c r="AYV44" s="203"/>
      <c r="AYW44" s="203"/>
      <c r="AYX44" s="204"/>
      <c r="AYY44" s="200"/>
      <c r="AYZ44" s="227"/>
      <c r="AZA44" s="184"/>
      <c r="AZB44" s="184"/>
      <c r="AZC44" s="184"/>
      <c r="AZD44" s="184"/>
      <c r="AZE44" s="184"/>
      <c r="AZF44" s="184"/>
      <c r="AZG44" s="184"/>
      <c r="AZH44" s="184"/>
      <c r="AZI44" s="184"/>
      <c r="AZJ44" s="184"/>
      <c r="AZK44" s="184"/>
      <c r="AZL44" s="184"/>
      <c r="AZM44" s="184"/>
      <c r="AZN44" s="184"/>
      <c r="AZO44" s="184"/>
      <c r="AZP44" s="184"/>
      <c r="AZQ44" s="184"/>
      <c r="AZR44" s="184"/>
      <c r="AZS44" s="184"/>
      <c r="AZT44" s="184"/>
      <c r="AZU44" s="184"/>
      <c r="AZV44" s="184"/>
      <c r="AZW44" s="184"/>
      <c r="AZX44" s="184"/>
      <c r="AZY44" s="184"/>
      <c r="AZZ44" s="184"/>
      <c r="BAA44" s="184"/>
      <c r="BAB44" s="184"/>
      <c r="BAC44" s="184"/>
      <c r="BAD44" s="184"/>
      <c r="BAE44" s="184"/>
      <c r="BAF44" s="184"/>
      <c r="BAG44" s="184"/>
      <c r="BAH44" s="184"/>
      <c r="BAI44" s="184"/>
      <c r="BAJ44" s="184"/>
      <c r="BAK44" s="184"/>
      <c r="BAL44" s="184"/>
      <c r="BAM44" s="184"/>
      <c r="BAN44" s="184"/>
      <c r="BAO44" s="184"/>
      <c r="BAP44" s="184"/>
      <c r="BAQ44" s="184"/>
      <c r="BAR44" s="184"/>
      <c r="BAS44" s="184"/>
      <c r="BAT44" s="184"/>
      <c r="BAU44" s="184"/>
      <c r="BAV44" s="184"/>
      <c r="BAW44" s="184"/>
      <c r="BAX44" s="184"/>
      <c r="BAY44" s="184"/>
      <c r="BAZ44" s="184"/>
      <c r="BBA44" s="184"/>
      <c r="BBB44" s="184"/>
      <c r="BBC44" s="184"/>
      <c r="BBD44" s="184"/>
      <c r="BBE44" s="184"/>
      <c r="BBF44" s="184"/>
      <c r="BBG44" s="184"/>
      <c r="BBH44" s="184"/>
      <c r="BBI44" s="184"/>
      <c r="BBJ44" s="184"/>
      <c r="BBK44" s="184"/>
      <c r="BBL44" s="184"/>
      <c r="BBY44" s="215"/>
      <c r="BBZ44" s="202"/>
      <c r="BCA44" s="203"/>
      <c r="BCB44" s="203"/>
      <c r="BCC44" s="203"/>
      <c r="BCD44" s="204"/>
      <c r="BCE44" s="200"/>
      <c r="BCF44" s="227"/>
      <c r="BCG44" s="184"/>
      <c r="BCH44" s="184"/>
      <c r="BCI44" s="184"/>
      <c r="BCJ44" s="184"/>
      <c r="BCK44" s="184"/>
      <c r="BCL44" s="184"/>
      <c r="BCM44" s="184"/>
      <c r="BCN44" s="184"/>
      <c r="BCO44" s="184"/>
      <c r="BCP44" s="184"/>
      <c r="BCQ44" s="184"/>
      <c r="BCR44" s="184"/>
      <c r="BCS44" s="184"/>
      <c r="BCT44" s="184"/>
      <c r="BCU44" s="184"/>
      <c r="BCV44" s="184"/>
      <c r="BCW44" s="184"/>
      <c r="BCX44" s="184"/>
      <c r="BCY44" s="184"/>
      <c r="BCZ44" s="184"/>
      <c r="BDA44" s="184"/>
      <c r="BDB44" s="184"/>
      <c r="BDC44" s="184"/>
      <c r="BDD44" s="184"/>
      <c r="BDE44" s="184"/>
      <c r="BDF44" s="184"/>
      <c r="BDG44" s="184"/>
      <c r="BDH44" s="184"/>
      <c r="BDI44" s="184"/>
      <c r="BDJ44" s="184"/>
      <c r="BDK44" s="184"/>
      <c r="BDL44" s="184"/>
      <c r="BDM44" s="184"/>
      <c r="BDN44" s="184"/>
      <c r="BDO44" s="184"/>
      <c r="BDP44" s="184"/>
      <c r="BDQ44" s="184"/>
      <c r="BDR44" s="184"/>
      <c r="BDS44" s="184"/>
      <c r="BDT44" s="184"/>
      <c r="BDU44" s="184"/>
      <c r="BDV44" s="184"/>
      <c r="BDW44" s="184"/>
      <c r="BDX44" s="184"/>
      <c r="BDY44" s="184"/>
      <c r="BDZ44" s="184"/>
      <c r="BEA44" s="184"/>
      <c r="BEB44" s="184"/>
      <c r="BEC44" s="184"/>
      <c r="BED44" s="184"/>
      <c r="BEE44" s="184"/>
      <c r="BEF44" s="184"/>
      <c r="BEG44" s="184"/>
      <c r="BEH44" s="184"/>
      <c r="BEI44" s="184"/>
      <c r="BEJ44" s="184"/>
      <c r="BEK44" s="184"/>
      <c r="BEL44" s="184"/>
      <c r="BEM44" s="184"/>
      <c r="BEN44" s="184"/>
      <c r="BEO44" s="184"/>
      <c r="BEP44" s="184"/>
      <c r="BEQ44" s="184"/>
      <c r="BER44" s="184"/>
      <c r="BFE44" s="215"/>
      <c r="BFF44" s="202"/>
      <c r="BFG44" s="203"/>
      <c r="BFH44" s="203"/>
      <c r="BFI44" s="203"/>
      <c r="BFJ44" s="204"/>
      <c r="BFK44" s="200"/>
      <c r="BFL44" s="227"/>
      <c r="BFM44" s="184"/>
      <c r="BFN44" s="184"/>
      <c r="BFO44" s="184"/>
      <c r="BFP44" s="184"/>
      <c r="BFQ44" s="184"/>
      <c r="BFR44" s="184"/>
      <c r="BFS44" s="184"/>
      <c r="BFT44" s="184"/>
      <c r="BFU44" s="184"/>
      <c r="BFV44" s="184"/>
      <c r="BFW44" s="184"/>
      <c r="BFX44" s="184"/>
      <c r="BFY44" s="184"/>
      <c r="BFZ44" s="184"/>
      <c r="BGA44" s="184"/>
      <c r="BGB44" s="184"/>
      <c r="BGC44" s="184"/>
      <c r="BGD44" s="184"/>
      <c r="BGE44" s="184"/>
      <c r="BGF44" s="184"/>
      <c r="BGG44" s="184"/>
      <c r="BGH44" s="184"/>
      <c r="BGI44" s="184"/>
      <c r="BGJ44" s="184"/>
      <c r="BGK44" s="184"/>
      <c r="BGL44" s="184"/>
      <c r="BGM44" s="184"/>
      <c r="BGN44" s="184"/>
      <c r="BGO44" s="184"/>
      <c r="BGP44" s="184"/>
      <c r="BGQ44" s="184"/>
      <c r="BGR44" s="184"/>
      <c r="BGS44" s="184"/>
      <c r="BGT44" s="184"/>
      <c r="BGU44" s="184"/>
      <c r="BGV44" s="184"/>
      <c r="BGW44" s="184"/>
      <c r="BGX44" s="184"/>
      <c r="BGY44" s="184"/>
      <c r="BGZ44" s="184"/>
      <c r="BHA44" s="184"/>
      <c r="BHB44" s="184"/>
      <c r="BHC44" s="184"/>
      <c r="BHD44" s="184"/>
      <c r="BHE44" s="184"/>
      <c r="BHF44" s="184"/>
      <c r="BHG44" s="184"/>
      <c r="BHH44" s="184"/>
      <c r="BHI44" s="184"/>
      <c r="BHJ44" s="184"/>
      <c r="BHK44" s="184"/>
      <c r="BHL44" s="184"/>
      <c r="BHM44" s="184"/>
      <c r="BHN44" s="184"/>
      <c r="BHO44" s="184"/>
      <c r="BHP44" s="184"/>
      <c r="BHQ44" s="184"/>
      <c r="BHR44" s="184"/>
      <c r="BHS44" s="184"/>
      <c r="BHT44" s="184"/>
      <c r="BHU44" s="184"/>
      <c r="BHV44" s="184"/>
      <c r="BHW44" s="184"/>
      <c r="BHX44" s="184"/>
      <c r="BIK44" s="215"/>
      <c r="BIL44" s="202"/>
      <c r="BIM44" s="203"/>
      <c r="BIN44" s="203"/>
      <c r="BIO44" s="203"/>
      <c r="BIP44" s="204"/>
      <c r="BIQ44" s="200"/>
      <c r="BIR44" s="227"/>
      <c r="BIS44" s="184"/>
      <c r="BIT44" s="184"/>
      <c r="BIU44" s="184"/>
      <c r="BIV44" s="184"/>
      <c r="BIW44" s="184"/>
      <c r="BIX44" s="184"/>
      <c r="BIY44" s="184"/>
      <c r="BIZ44" s="184"/>
      <c r="BJA44" s="184"/>
      <c r="BJB44" s="184"/>
      <c r="BJC44" s="184"/>
      <c r="BJD44" s="184"/>
      <c r="BJE44" s="184"/>
      <c r="BJF44" s="184"/>
      <c r="BJG44" s="184"/>
      <c r="BJH44" s="184"/>
      <c r="BJI44" s="184"/>
      <c r="BJJ44" s="184"/>
      <c r="BJK44" s="184"/>
      <c r="BJL44" s="184"/>
      <c r="BJM44" s="184"/>
      <c r="BJN44" s="184"/>
      <c r="BJO44" s="184"/>
      <c r="BJP44" s="184"/>
      <c r="BJQ44" s="184"/>
      <c r="BJR44" s="184"/>
      <c r="BJS44" s="184"/>
      <c r="BJT44" s="184"/>
      <c r="BJU44" s="184"/>
      <c r="BJV44" s="184"/>
      <c r="BJW44" s="184"/>
      <c r="BJX44" s="184"/>
      <c r="BJY44" s="184"/>
      <c r="BJZ44" s="184"/>
      <c r="BKA44" s="184"/>
      <c r="BKB44" s="184"/>
      <c r="BKC44" s="184"/>
      <c r="BKD44" s="184"/>
      <c r="BKE44" s="184"/>
      <c r="BKF44" s="184"/>
      <c r="BKG44" s="184"/>
      <c r="BKH44" s="184"/>
      <c r="BKI44" s="184"/>
      <c r="BKJ44" s="184"/>
      <c r="BKK44" s="184"/>
      <c r="BKL44" s="184"/>
      <c r="BKM44" s="184"/>
      <c r="BKN44" s="184"/>
      <c r="BKO44" s="184"/>
      <c r="BKP44" s="184"/>
      <c r="BKQ44" s="184"/>
      <c r="BKR44" s="184"/>
      <c r="BKS44" s="184"/>
      <c r="BKT44" s="184"/>
      <c r="BKU44" s="184"/>
      <c r="BKV44" s="184"/>
      <c r="BKW44" s="184"/>
      <c r="BKX44" s="184"/>
      <c r="BKY44" s="184"/>
      <c r="BKZ44" s="184"/>
      <c r="BLA44" s="184"/>
      <c r="BLB44" s="184"/>
      <c r="BLC44" s="184"/>
      <c r="BLD44" s="184"/>
      <c r="BLQ44" s="215"/>
      <c r="BLR44" s="202"/>
      <c r="BLS44" s="203"/>
      <c r="BLT44" s="203"/>
      <c r="BLU44" s="203"/>
      <c r="BLV44" s="204"/>
      <c r="BLW44" s="200"/>
      <c r="BLX44" s="227"/>
      <c r="BLY44" s="184"/>
      <c r="BLZ44" s="184"/>
      <c r="BMA44" s="184"/>
      <c r="BMB44" s="184"/>
      <c r="BMC44" s="184"/>
      <c r="BMD44" s="184"/>
      <c r="BME44" s="184"/>
      <c r="BMF44" s="184"/>
      <c r="BMG44" s="184"/>
      <c r="BMH44" s="184"/>
      <c r="BMI44" s="184"/>
      <c r="BMJ44" s="184"/>
      <c r="BMK44" s="184"/>
      <c r="BML44" s="184"/>
      <c r="BMM44" s="184"/>
      <c r="BMN44" s="184"/>
      <c r="BMO44" s="184"/>
      <c r="BMP44" s="184"/>
      <c r="BMQ44" s="184"/>
      <c r="BMR44" s="184"/>
      <c r="BMS44" s="184"/>
      <c r="BMT44" s="184"/>
      <c r="BMU44" s="184"/>
      <c r="BMV44" s="184"/>
      <c r="BMW44" s="184"/>
      <c r="BMX44" s="184"/>
      <c r="BMY44" s="184"/>
      <c r="BMZ44" s="184"/>
      <c r="BNA44" s="184"/>
      <c r="BNB44" s="184"/>
      <c r="BNC44" s="184"/>
      <c r="BND44" s="184"/>
      <c r="BNE44" s="184"/>
      <c r="BNF44" s="184"/>
      <c r="BNG44" s="184"/>
      <c r="BNH44" s="184"/>
      <c r="BNI44" s="184"/>
      <c r="BNJ44" s="184"/>
      <c r="BNK44" s="184"/>
      <c r="BNL44" s="184"/>
      <c r="BNM44" s="184"/>
      <c r="BNN44" s="184"/>
      <c r="BNO44" s="184"/>
      <c r="BNP44" s="184"/>
      <c r="BNQ44" s="184"/>
      <c r="BNR44" s="184"/>
      <c r="BNS44" s="184"/>
      <c r="BNT44" s="184"/>
      <c r="BNU44" s="184"/>
      <c r="BNV44" s="184"/>
      <c r="BNW44" s="184"/>
      <c r="BNX44" s="184"/>
      <c r="BNY44" s="184"/>
      <c r="BNZ44" s="184"/>
      <c r="BOA44" s="184"/>
      <c r="BOB44" s="184"/>
      <c r="BOC44" s="184"/>
      <c r="BOD44" s="184"/>
      <c r="BOE44" s="184"/>
      <c r="BOF44" s="184"/>
      <c r="BOG44" s="184"/>
      <c r="BOH44" s="184"/>
      <c r="BOI44" s="184"/>
      <c r="BOJ44" s="184"/>
      <c r="BOW44" s="215"/>
      <c r="BOX44" s="202"/>
      <c r="BOY44" s="203"/>
      <c r="BOZ44" s="203"/>
      <c r="BPA44" s="203"/>
      <c r="BPB44" s="204"/>
      <c r="BPC44" s="200"/>
      <c r="BPD44" s="227"/>
      <c r="BPE44" s="184"/>
      <c r="BPF44" s="184"/>
      <c r="BPG44" s="184"/>
      <c r="BPH44" s="184"/>
      <c r="BPI44" s="184"/>
      <c r="BPJ44" s="184"/>
      <c r="BPK44" s="184"/>
      <c r="BPL44" s="184"/>
      <c r="BPM44" s="184"/>
      <c r="BPN44" s="184"/>
      <c r="BPO44" s="184"/>
      <c r="BPP44" s="184"/>
      <c r="BPQ44" s="184"/>
      <c r="BPR44" s="184"/>
      <c r="BPS44" s="184"/>
      <c r="BPT44" s="184"/>
      <c r="BPU44" s="184"/>
      <c r="BPV44" s="184"/>
      <c r="BPW44" s="184"/>
      <c r="BPX44" s="184"/>
      <c r="BPY44" s="184"/>
      <c r="BPZ44" s="184"/>
      <c r="BQA44" s="184"/>
      <c r="BQB44" s="184"/>
      <c r="BQC44" s="184"/>
      <c r="BQD44" s="184"/>
      <c r="BQE44" s="184"/>
      <c r="BQF44" s="184"/>
      <c r="BQG44" s="184"/>
      <c r="BQH44" s="184"/>
      <c r="BQI44" s="184"/>
      <c r="BQJ44" s="184"/>
      <c r="BQK44" s="184"/>
      <c r="BQL44" s="184"/>
      <c r="BQM44" s="184"/>
      <c r="BQN44" s="184"/>
      <c r="BQO44" s="184"/>
      <c r="BQP44" s="184"/>
      <c r="BQQ44" s="184"/>
      <c r="BQR44" s="184"/>
      <c r="BQS44" s="184"/>
      <c r="BQT44" s="184"/>
      <c r="BQU44" s="184"/>
      <c r="BQV44" s="184"/>
      <c r="BQW44" s="184"/>
      <c r="BQX44" s="184"/>
      <c r="BQY44" s="184"/>
      <c r="BQZ44" s="184"/>
      <c r="BRA44" s="184"/>
      <c r="BRB44" s="184"/>
      <c r="BRC44" s="184"/>
      <c r="BRD44" s="184"/>
      <c r="BRE44" s="184"/>
      <c r="BRF44" s="184"/>
      <c r="BRG44" s="184"/>
      <c r="BRH44" s="184"/>
      <c r="BRI44" s="184"/>
      <c r="BRJ44" s="184"/>
      <c r="BRK44" s="184"/>
      <c r="BRL44" s="184"/>
      <c r="BRM44" s="184"/>
      <c r="BRN44" s="184"/>
      <c r="BRO44" s="184"/>
      <c r="BRP44" s="184"/>
      <c r="BSC44" s="215"/>
      <c r="BSD44" s="202"/>
      <c r="BSE44" s="203"/>
      <c r="BSF44" s="203"/>
      <c r="BSG44" s="203"/>
      <c r="BSH44" s="204"/>
      <c r="BSI44" s="200"/>
      <c r="BSJ44" s="227"/>
      <c r="BSK44" s="184"/>
      <c r="BSL44" s="184"/>
      <c r="BSM44" s="184"/>
      <c r="BSN44" s="184"/>
      <c r="BSO44" s="184"/>
      <c r="BSP44" s="184"/>
      <c r="BSQ44" s="184"/>
      <c r="BSR44" s="184"/>
      <c r="BSS44" s="184"/>
      <c r="BST44" s="184"/>
      <c r="BSU44" s="184"/>
      <c r="BSV44" s="184"/>
      <c r="BSW44" s="184"/>
      <c r="BSX44" s="184"/>
      <c r="BSY44" s="184"/>
      <c r="BSZ44" s="184"/>
      <c r="BTA44" s="184"/>
      <c r="BTB44" s="184"/>
      <c r="BTC44" s="184"/>
      <c r="BTD44" s="184"/>
      <c r="BTE44" s="184"/>
      <c r="BTF44" s="184"/>
      <c r="BTG44" s="184"/>
      <c r="BTH44" s="184"/>
      <c r="BTI44" s="184"/>
      <c r="BTJ44" s="184"/>
      <c r="BTK44" s="184"/>
      <c r="BTL44" s="184"/>
      <c r="BTM44" s="184"/>
      <c r="BTN44" s="184"/>
      <c r="BTO44" s="184"/>
      <c r="BTP44" s="184"/>
      <c r="BTQ44" s="184"/>
      <c r="BTR44" s="184"/>
      <c r="BTS44" s="184"/>
      <c r="BTT44" s="184"/>
      <c r="BTU44" s="184"/>
      <c r="BTV44" s="184"/>
      <c r="BTW44" s="184"/>
      <c r="BTX44" s="184"/>
      <c r="BTY44" s="184"/>
      <c r="BTZ44" s="184"/>
      <c r="BUA44" s="184"/>
      <c r="BUB44" s="184"/>
      <c r="BUC44" s="184"/>
      <c r="BUD44" s="184"/>
      <c r="BUE44" s="184"/>
      <c r="BUF44" s="184"/>
      <c r="BUG44" s="184"/>
      <c r="BUH44" s="184"/>
      <c r="BUI44" s="184"/>
      <c r="BUJ44" s="184"/>
      <c r="BUK44" s="184"/>
      <c r="BUL44" s="184"/>
      <c r="BUM44" s="184"/>
      <c r="BUN44" s="184"/>
      <c r="BUO44" s="184"/>
      <c r="BUP44" s="184"/>
      <c r="BUQ44" s="184"/>
      <c r="BUR44" s="184"/>
      <c r="BUS44" s="184"/>
      <c r="BUT44" s="184"/>
      <c r="BUU44" s="184"/>
      <c r="BUV44" s="184"/>
      <c r="BVI44" s="215"/>
      <c r="BVJ44" s="202"/>
      <c r="BVK44" s="203"/>
      <c r="BVL44" s="203"/>
      <c r="BVM44" s="203"/>
      <c r="BVN44" s="204"/>
      <c r="BVO44" s="200"/>
      <c r="BVP44" s="227"/>
      <c r="BVQ44" s="184"/>
      <c r="BVR44" s="184"/>
      <c r="BVS44" s="184"/>
      <c r="BVT44" s="184"/>
      <c r="BVU44" s="184"/>
      <c r="BVV44" s="184"/>
      <c r="BVW44" s="184"/>
      <c r="BVX44" s="184"/>
      <c r="BVY44" s="184"/>
      <c r="BVZ44" s="184"/>
      <c r="BWA44" s="184"/>
      <c r="BWB44" s="184"/>
      <c r="BWC44" s="184"/>
      <c r="BWD44" s="184"/>
      <c r="BWE44" s="184"/>
      <c r="BWF44" s="184"/>
      <c r="BWG44" s="184"/>
      <c r="BWH44" s="184"/>
      <c r="BWI44" s="184"/>
      <c r="BWJ44" s="184"/>
      <c r="BWK44" s="184"/>
      <c r="BWL44" s="184"/>
      <c r="BWM44" s="184"/>
      <c r="BWN44" s="184"/>
      <c r="BWO44" s="184"/>
      <c r="BWP44" s="184"/>
      <c r="BWQ44" s="184"/>
      <c r="BWR44" s="184"/>
      <c r="BWS44" s="184"/>
      <c r="BWT44" s="184"/>
      <c r="BWU44" s="184"/>
      <c r="BWV44" s="184"/>
      <c r="BWW44" s="184"/>
      <c r="BWX44" s="184"/>
      <c r="BWY44" s="184"/>
      <c r="BWZ44" s="184"/>
      <c r="BXA44" s="184"/>
      <c r="BXB44" s="184"/>
      <c r="BXC44" s="184"/>
      <c r="BXD44" s="184"/>
      <c r="BXE44" s="184"/>
      <c r="BXF44" s="184"/>
      <c r="BXG44" s="184"/>
      <c r="BXH44" s="184"/>
      <c r="BXI44" s="184"/>
      <c r="BXJ44" s="184"/>
      <c r="BXK44" s="184"/>
      <c r="BXL44" s="184"/>
      <c r="BXM44" s="184"/>
      <c r="BXN44" s="184"/>
      <c r="BXO44" s="184"/>
      <c r="BXP44" s="184"/>
      <c r="BXQ44" s="184"/>
      <c r="BXR44" s="184"/>
      <c r="BXS44" s="184"/>
      <c r="BXT44" s="184"/>
      <c r="BXU44" s="184"/>
      <c r="BXV44" s="184"/>
      <c r="BXW44" s="184"/>
      <c r="BXX44" s="184"/>
      <c r="BXY44" s="184"/>
      <c r="BXZ44" s="184"/>
      <c r="BYA44" s="184"/>
      <c r="BYB44" s="184"/>
      <c r="BYO44" s="215"/>
      <c r="BYP44" s="202"/>
      <c r="BYQ44" s="203"/>
      <c r="BYR44" s="203"/>
      <c r="BYS44" s="203"/>
      <c r="BYT44" s="204"/>
      <c r="BYU44" s="200"/>
      <c r="BYV44" s="227"/>
      <c r="BYW44" s="184"/>
      <c r="BYX44" s="184"/>
      <c r="BYY44" s="184"/>
      <c r="BYZ44" s="184"/>
      <c r="BZA44" s="184"/>
      <c r="BZB44" s="184"/>
      <c r="BZC44" s="184"/>
      <c r="BZD44" s="184"/>
      <c r="BZE44" s="184"/>
      <c r="BZF44" s="184"/>
      <c r="BZG44" s="184"/>
      <c r="BZH44" s="184"/>
      <c r="BZI44" s="184"/>
      <c r="BZJ44" s="184"/>
      <c r="BZK44" s="184"/>
      <c r="BZL44" s="184"/>
      <c r="BZM44" s="184"/>
      <c r="BZN44" s="184"/>
      <c r="BZO44" s="184"/>
      <c r="BZP44" s="184"/>
      <c r="BZQ44" s="184"/>
      <c r="BZR44" s="184"/>
      <c r="BZS44" s="184"/>
      <c r="BZT44" s="184"/>
      <c r="BZU44" s="184"/>
      <c r="BZV44" s="184"/>
      <c r="BZW44" s="184"/>
      <c r="BZX44" s="184"/>
      <c r="BZY44" s="184"/>
      <c r="BZZ44" s="184"/>
      <c r="CAA44" s="184"/>
      <c r="CAB44" s="184"/>
      <c r="CAC44" s="184"/>
      <c r="CAD44" s="184"/>
      <c r="CAE44" s="184"/>
      <c r="CAF44" s="184"/>
      <c r="CAG44" s="184"/>
      <c r="CAH44" s="184"/>
      <c r="CAI44" s="184"/>
      <c r="CAJ44" s="184"/>
      <c r="CAK44" s="184"/>
      <c r="CAL44" s="184"/>
      <c r="CAM44" s="184"/>
      <c r="CAN44" s="184"/>
      <c r="CAO44" s="184"/>
      <c r="CAP44" s="184"/>
      <c r="CAQ44" s="184"/>
      <c r="CAR44" s="184"/>
      <c r="CAS44" s="184"/>
      <c r="CAT44" s="184"/>
      <c r="CAU44" s="184"/>
      <c r="CAV44" s="184"/>
      <c r="CAW44" s="184"/>
      <c r="CAX44" s="184"/>
      <c r="CAY44" s="184"/>
      <c r="CAZ44" s="184"/>
      <c r="CBA44" s="184"/>
      <c r="CBB44" s="184"/>
      <c r="CBC44" s="184"/>
      <c r="CBD44" s="184"/>
      <c r="CBE44" s="184"/>
      <c r="CBF44" s="184"/>
      <c r="CBG44" s="184"/>
      <c r="CBH44" s="184"/>
      <c r="CBU44" s="215"/>
      <c r="CBV44" s="202"/>
      <c r="CBW44" s="203"/>
      <c r="CBX44" s="203"/>
      <c r="CBY44" s="203"/>
      <c r="CBZ44" s="204"/>
      <c r="CCA44" s="200"/>
      <c r="CCB44" s="227"/>
      <c r="CCC44" s="184"/>
      <c r="CCD44" s="184"/>
      <c r="CCE44" s="184"/>
      <c r="CCF44" s="184"/>
      <c r="CCG44" s="184"/>
      <c r="CCH44" s="184"/>
      <c r="CCI44" s="184"/>
      <c r="CCJ44" s="184"/>
      <c r="CCK44" s="184"/>
      <c r="CCL44" s="184"/>
      <c r="CCM44" s="184"/>
      <c r="CCN44" s="184"/>
      <c r="CCO44" s="184"/>
      <c r="CCP44" s="184"/>
      <c r="CCQ44" s="184"/>
      <c r="CCR44" s="184"/>
      <c r="CCS44" s="184"/>
      <c r="CCT44" s="184"/>
      <c r="CCU44" s="184"/>
      <c r="CCV44" s="184"/>
      <c r="CCW44" s="184"/>
      <c r="CCX44" s="184"/>
      <c r="CCY44" s="184"/>
      <c r="CCZ44" s="184"/>
      <c r="CDA44" s="184"/>
      <c r="CDB44" s="184"/>
      <c r="CDC44" s="184"/>
      <c r="CDD44" s="184"/>
      <c r="CDE44" s="184"/>
      <c r="CDF44" s="184"/>
      <c r="CDG44" s="184"/>
      <c r="CDH44" s="184"/>
      <c r="CDI44" s="184"/>
      <c r="CDJ44" s="184"/>
      <c r="CDK44" s="184"/>
      <c r="CDL44" s="184"/>
      <c r="CDM44" s="184"/>
      <c r="CDN44" s="184"/>
      <c r="CDO44" s="184"/>
      <c r="CDP44" s="184"/>
      <c r="CDQ44" s="184"/>
      <c r="CDR44" s="184"/>
      <c r="CDS44" s="184"/>
      <c r="CDT44" s="184"/>
      <c r="CDU44" s="184"/>
      <c r="CDV44" s="184"/>
      <c r="CDW44" s="184"/>
      <c r="CDX44" s="184"/>
      <c r="CDY44" s="184"/>
      <c r="CDZ44" s="184"/>
      <c r="CEA44" s="184"/>
      <c r="CEB44" s="184"/>
      <c r="CEC44" s="184"/>
      <c r="CED44" s="184"/>
      <c r="CEE44" s="184"/>
      <c r="CEF44" s="184"/>
      <c r="CEG44" s="184"/>
      <c r="CEH44" s="184"/>
      <c r="CEI44" s="184"/>
      <c r="CEJ44" s="184"/>
      <c r="CEK44" s="184"/>
      <c r="CEL44" s="184"/>
      <c r="CEM44" s="184"/>
      <c r="CEN44" s="184"/>
      <c r="CFA44" s="215"/>
      <c r="CFB44" s="202"/>
      <c r="CFC44" s="203"/>
      <c r="CFD44" s="203"/>
      <c r="CFE44" s="203"/>
      <c r="CFF44" s="204"/>
      <c r="CFG44" s="200"/>
      <c r="CFH44" s="227"/>
      <c r="CFI44" s="184"/>
      <c r="CFJ44" s="184"/>
      <c r="CFK44" s="184"/>
      <c r="CFL44" s="184"/>
      <c r="CFM44" s="184"/>
      <c r="CFN44" s="184"/>
      <c r="CFO44" s="184"/>
      <c r="CFP44" s="184"/>
      <c r="CFQ44" s="184"/>
      <c r="CFR44" s="184"/>
      <c r="CFS44" s="184"/>
      <c r="CFT44" s="184"/>
      <c r="CFU44" s="184"/>
      <c r="CFV44" s="184"/>
      <c r="CFW44" s="184"/>
      <c r="CFX44" s="184"/>
      <c r="CFY44" s="184"/>
      <c r="CFZ44" s="184"/>
      <c r="CGA44" s="184"/>
      <c r="CGB44" s="184"/>
      <c r="CGC44" s="184"/>
      <c r="CGD44" s="184"/>
      <c r="CGE44" s="184"/>
      <c r="CGF44" s="184"/>
      <c r="CGG44" s="184"/>
      <c r="CGH44" s="184"/>
      <c r="CGI44" s="184"/>
      <c r="CGJ44" s="184"/>
      <c r="CGK44" s="184"/>
      <c r="CGL44" s="184"/>
      <c r="CGM44" s="184"/>
      <c r="CGN44" s="184"/>
      <c r="CGO44" s="184"/>
      <c r="CGP44" s="184"/>
      <c r="CGQ44" s="184"/>
      <c r="CGR44" s="184"/>
      <c r="CGS44" s="184"/>
      <c r="CGT44" s="184"/>
      <c r="CGU44" s="184"/>
      <c r="CGV44" s="184"/>
      <c r="CGW44" s="184"/>
      <c r="CGX44" s="184"/>
      <c r="CGY44" s="184"/>
      <c r="CGZ44" s="184"/>
      <c r="CHA44" s="184"/>
      <c r="CHB44" s="184"/>
      <c r="CHC44" s="184"/>
      <c r="CHD44" s="184"/>
      <c r="CHE44" s="184"/>
      <c r="CHF44" s="184"/>
      <c r="CHG44" s="184"/>
      <c r="CHH44" s="184"/>
      <c r="CHI44" s="184"/>
      <c r="CHJ44" s="184"/>
      <c r="CHK44" s="184"/>
      <c r="CHL44" s="184"/>
      <c r="CHM44" s="184"/>
      <c r="CHN44" s="184"/>
      <c r="CHO44" s="184"/>
      <c r="CHP44" s="184"/>
      <c r="CHQ44" s="184"/>
      <c r="CHR44" s="184"/>
      <c r="CHS44" s="184"/>
      <c r="CHT44" s="184"/>
      <c r="CIG44" s="215"/>
      <c r="CIH44" s="202"/>
      <c r="CII44" s="203"/>
      <c r="CIJ44" s="203"/>
      <c r="CIK44" s="203"/>
      <c r="CIL44" s="204"/>
      <c r="CIM44" s="200"/>
      <c r="CIN44" s="227"/>
      <c r="CIO44" s="184"/>
      <c r="CIP44" s="184"/>
      <c r="CIQ44" s="184"/>
      <c r="CIR44" s="184"/>
      <c r="CIS44" s="184"/>
      <c r="CIT44" s="184"/>
      <c r="CIU44" s="184"/>
      <c r="CIV44" s="184"/>
      <c r="CIW44" s="184"/>
      <c r="CIX44" s="184"/>
      <c r="CIY44" s="184"/>
      <c r="CIZ44" s="184"/>
      <c r="CJA44" s="184"/>
      <c r="CJB44" s="184"/>
      <c r="CJC44" s="184"/>
      <c r="CJD44" s="184"/>
      <c r="CJE44" s="184"/>
      <c r="CJF44" s="184"/>
      <c r="CJG44" s="184"/>
      <c r="CJH44" s="184"/>
      <c r="CJI44" s="184"/>
      <c r="CJJ44" s="184"/>
      <c r="CJK44" s="184"/>
      <c r="CJL44" s="184"/>
      <c r="CJM44" s="184"/>
      <c r="CJN44" s="184"/>
      <c r="CJO44" s="184"/>
      <c r="CJP44" s="184"/>
      <c r="CJQ44" s="184"/>
      <c r="CJR44" s="184"/>
      <c r="CJS44" s="184"/>
      <c r="CJT44" s="184"/>
      <c r="CJU44" s="184"/>
      <c r="CJV44" s="184"/>
      <c r="CJW44" s="184"/>
      <c r="CJX44" s="184"/>
      <c r="CJY44" s="184"/>
      <c r="CJZ44" s="184"/>
      <c r="CKA44" s="184"/>
      <c r="CKB44" s="184"/>
      <c r="CKC44" s="184"/>
      <c r="CKD44" s="184"/>
      <c r="CKE44" s="184"/>
      <c r="CKF44" s="184"/>
      <c r="CKG44" s="184"/>
      <c r="CKH44" s="184"/>
      <c r="CKI44" s="184"/>
      <c r="CKJ44" s="184"/>
      <c r="CKK44" s="184"/>
      <c r="CKL44" s="184"/>
      <c r="CKM44" s="184"/>
      <c r="CKN44" s="184"/>
      <c r="CKO44" s="184"/>
      <c r="CKP44" s="184"/>
      <c r="CKQ44" s="184"/>
      <c r="CKR44" s="184"/>
      <c r="CKS44" s="184"/>
      <c r="CKT44" s="184"/>
      <c r="CKU44" s="184"/>
      <c r="CKV44" s="184"/>
      <c r="CKW44" s="184"/>
      <c r="CKX44" s="184"/>
      <c r="CKY44" s="184"/>
      <c r="CKZ44" s="184"/>
      <c r="CLM44" s="215"/>
      <c r="CLN44" s="202"/>
      <c r="CLO44" s="203"/>
      <c r="CLP44" s="203"/>
      <c r="CLQ44" s="203"/>
      <c r="CLR44" s="204"/>
      <c r="CLS44" s="200"/>
      <c r="CLT44" s="227"/>
      <c r="CLU44" s="184"/>
      <c r="CLV44" s="184"/>
      <c r="CLW44" s="184"/>
      <c r="CLX44" s="184"/>
      <c r="CLY44" s="184"/>
      <c r="CLZ44" s="184"/>
      <c r="CMA44" s="184"/>
      <c r="CMB44" s="184"/>
      <c r="CMC44" s="184"/>
      <c r="CMD44" s="184"/>
      <c r="CME44" s="184"/>
      <c r="CMF44" s="184"/>
      <c r="CMG44" s="184"/>
      <c r="CMH44" s="184"/>
      <c r="CMI44" s="184"/>
      <c r="CMJ44" s="184"/>
      <c r="CMK44" s="184"/>
      <c r="CML44" s="184"/>
      <c r="CMM44" s="184"/>
      <c r="CMN44" s="184"/>
      <c r="CMO44" s="184"/>
      <c r="CMP44" s="184"/>
      <c r="CMQ44" s="184"/>
      <c r="CMR44" s="184"/>
      <c r="CMS44" s="184"/>
      <c r="CMT44" s="184"/>
      <c r="CMU44" s="184"/>
      <c r="CMV44" s="184"/>
      <c r="CMW44" s="184"/>
      <c r="CMX44" s="184"/>
      <c r="CMY44" s="184"/>
      <c r="CMZ44" s="184"/>
      <c r="CNA44" s="184"/>
      <c r="CNB44" s="184"/>
      <c r="CNC44" s="184"/>
      <c r="CND44" s="184"/>
      <c r="CNE44" s="184"/>
      <c r="CNF44" s="184"/>
      <c r="CNG44" s="184"/>
      <c r="CNH44" s="184"/>
      <c r="CNI44" s="184"/>
      <c r="CNJ44" s="184"/>
      <c r="CNK44" s="184"/>
      <c r="CNL44" s="184"/>
      <c r="CNM44" s="184"/>
      <c r="CNN44" s="184"/>
      <c r="CNO44" s="184"/>
      <c r="CNP44" s="184"/>
      <c r="CNQ44" s="184"/>
      <c r="CNR44" s="184"/>
      <c r="CNS44" s="184"/>
      <c r="CNT44" s="184"/>
      <c r="CNU44" s="184"/>
      <c r="CNV44" s="184"/>
      <c r="CNW44" s="184"/>
      <c r="CNX44" s="184"/>
      <c r="CNY44" s="184"/>
      <c r="CNZ44" s="184"/>
      <c r="COA44" s="184"/>
      <c r="COB44" s="184"/>
      <c r="COC44" s="184"/>
      <c r="COD44" s="184"/>
      <c r="COE44" s="184"/>
      <c r="COF44" s="184"/>
      <c r="COS44" s="215"/>
      <c r="COT44" s="202"/>
      <c r="COU44" s="203"/>
      <c r="COV44" s="203"/>
      <c r="COW44" s="203"/>
      <c r="COX44" s="204"/>
      <c r="COY44" s="200"/>
      <c r="COZ44" s="227"/>
      <c r="CPA44" s="184"/>
      <c r="CPB44" s="184"/>
      <c r="CPC44" s="184"/>
      <c r="CPD44" s="184"/>
      <c r="CPE44" s="184"/>
      <c r="CPF44" s="184"/>
      <c r="CPG44" s="184"/>
      <c r="CPH44" s="184"/>
      <c r="CPI44" s="184"/>
      <c r="CPJ44" s="184"/>
      <c r="CPK44" s="184"/>
      <c r="CPL44" s="184"/>
      <c r="CPM44" s="184"/>
      <c r="CPN44" s="184"/>
      <c r="CPO44" s="184"/>
      <c r="CPP44" s="184"/>
      <c r="CPQ44" s="184"/>
      <c r="CPR44" s="184"/>
      <c r="CPS44" s="184"/>
      <c r="CPT44" s="184"/>
      <c r="CPU44" s="184"/>
      <c r="CPV44" s="184"/>
      <c r="CPW44" s="184"/>
      <c r="CPX44" s="184"/>
      <c r="CPY44" s="184"/>
      <c r="CPZ44" s="184"/>
      <c r="CQA44" s="184"/>
      <c r="CQB44" s="184"/>
      <c r="CQC44" s="184"/>
      <c r="CQD44" s="184"/>
      <c r="CQE44" s="184"/>
      <c r="CQF44" s="184"/>
      <c r="CQG44" s="184"/>
      <c r="CQH44" s="184"/>
      <c r="CQI44" s="184"/>
      <c r="CQJ44" s="184"/>
      <c r="CQK44" s="184"/>
      <c r="CQL44" s="184"/>
      <c r="CQM44" s="184"/>
      <c r="CQN44" s="184"/>
      <c r="CQO44" s="184"/>
      <c r="CQP44" s="184"/>
      <c r="CQQ44" s="184"/>
      <c r="CQR44" s="184"/>
      <c r="CQS44" s="184"/>
      <c r="CQT44" s="184"/>
      <c r="CQU44" s="184"/>
      <c r="CQV44" s="184"/>
      <c r="CQW44" s="184"/>
      <c r="CQX44" s="184"/>
      <c r="CQY44" s="184"/>
      <c r="CQZ44" s="184"/>
      <c r="CRA44" s="184"/>
      <c r="CRB44" s="184"/>
      <c r="CRC44" s="184"/>
      <c r="CRD44" s="184"/>
      <c r="CRE44" s="184"/>
      <c r="CRF44" s="184"/>
      <c r="CRG44" s="184"/>
      <c r="CRH44" s="184"/>
      <c r="CRI44" s="184"/>
      <c r="CRJ44" s="184"/>
      <c r="CRK44" s="184"/>
      <c r="CRL44" s="184"/>
      <c r="CRY44" s="215"/>
      <c r="CRZ44" s="202"/>
      <c r="CSA44" s="203"/>
      <c r="CSB44" s="203"/>
      <c r="CSC44" s="203"/>
      <c r="CSD44" s="204"/>
      <c r="CSE44" s="200"/>
      <c r="CSF44" s="227"/>
      <c r="CSG44" s="184"/>
      <c r="CSH44" s="184"/>
      <c r="CSI44" s="184"/>
      <c r="CSJ44" s="184"/>
      <c r="CSK44" s="184"/>
      <c r="CSL44" s="184"/>
      <c r="CSM44" s="184"/>
      <c r="CSN44" s="184"/>
      <c r="CSO44" s="184"/>
      <c r="CSP44" s="184"/>
      <c r="CSQ44" s="184"/>
      <c r="CSR44" s="184"/>
      <c r="CSS44" s="184"/>
      <c r="CST44" s="184"/>
      <c r="CSU44" s="184"/>
      <c r="CSV44" s="184"/>
      <c r="CSW44" s="184"/>
      <c r="CSX44" s="184"/>
      <c r="CSY44" s="184"/>
      <c r="CSZ44" s="184"/>
      <c r="CTA44" s="184"/>
      <c r="CTB44" s="184"/>
      <c r="CTC44" s="184"/>
      <c r="CTD44" s="184"/>
      <c r="CTE44" s="184"/>
      <c r="CTF44" s="184"/>
      <c r="CTG44" s="184"/>
      <c r="CTH44" s="184"/>
      <c r="CTI44" s="184"/>
      <c r="CTJ44" s="184"/>
      <c r="CTK44" s="184"/>
      <c r="CTL44" s="184"/>
      <c r="CTM44" s="184"/>
      <c r="CTN44" s="184"/>
      <c r="CTO44" s="184"/>
      <c r="CTP44" s="184"/>
      <c r="CTQ44" s="184"/>
      <c r="CTR44" s="184"/>
      <c r="CTS44" s="184"/>
      <c r="CTT44" s="184"/>
      <c r="CTU44" s="184"/>
      <c r="CTV44" s="184"/>
      <c r="CTW44" s="184"/>
      <c r="CTX44" s="184"/>
      <c r="CTY44" s="184"/>
      <c r="CTZ44" s="184"/>
      <c r="CUA44" s="184"/>
      <c r="CUB44" s="184"/>
      <c r="CUC44" s="184"/>
      <c r="CUD44" s="184"/>
      <c r="CUE44" s="184"/>
      <c r="CUF44" s="184"/>
      <c r="CUG44" s="184"/>
      <c r="CUH44" s="184"/>
      <c r="CUI44" s="184"/>
      <c r="CUJ44" s="184"/>
      <c r="CUK44" s="184"/>
      <c r="CUL44" s="184"/>
      <c r="CUM44" s="184"/>
      <c r="CUN44" s="184"/>
      <c r="CUO44" s="184"/>
      <c r="CUP44" s="184"/>
      <c r="CUQ44" s="184"/>
      <c r="CUR44" s="184"/>
      <c r="CVE44" s="215"/>
      <c r="CVF44" s="202"/>
      <c r="CVG44" s="203"/>
      <c r="CVH44" s="203"/>
      <c r="CVI44" s="203"/>
      <c r="CVJ44" s="204"/>
      <c r="CVK44" s="200"/>
      <c r="CVL44" s="227"/>
      <c r="CVM44" s="184"/>
      <c r="CVN44" s="184"/>
      <c r="CVO44" s="184"/>
      <c r="CVP44" s="184"/>
      <c r="CVQ44" s="184"/>
      <c r="CVR44" s="184"/>
      <c r="CVS44" s="184"/>
      <c r="CVT44" s="184"/>
      <c r="CVU44" s="184"/>
      <c r="CVV44" s="184"/>
      <c r="CVW44" s="184"/>
      <c r="CVX44" s="184"/>
      <c r="CVY44" s="184"/>
      <c r="CVZ44" s="184"/>
      <c r="CWA44" s="184"/>
      <c r="CWB44" s="184"/>
      <c r="CWC44" s="184"/>
      <c r="CWD44" s="184"/>
      <c r="CWE44" s="184"/>
      <c r="CWF44" s="184"/>
      <c r="CWG44" s="184"/>
      <c r="CWH44" s="184"/>
      <c r="CWI44" s="184"/>
      <c r="CWJ44" s="184"/>
      <c r="CWK44" s="184"/>
      <c r="CWL44" s="184"/>
      <c r="CWM44" s="184"/>
      <c r="CWN44" s="184"/>
      <c r="CWO44" s="184"/>
      <c r="CWP44" s="184"/>
      <c r="CWQ44" s="184"/>
      <c r="CWR44" s="184"/>
      <c r="CWS44" s="184"/>
      <c r="CWT44" s="184"/>
      <c r="CWU44" s="184"/>
      <c r="CWV44" s="184"/>
      <c r="CWW44" s="184"/>
      <c r="CWX44" s="184"/>
      <c r="CWY44" s="184"/>
      <c r="CWZ44" s="184"/>
      <c r="CXA44" s="184"/>
      <c r="CXB44" s="184"/>
      <c r="CXC44" s="184"/>
      <c r="CXD44" s="184"/>
      <c r="CXE44" s="184"/>
      <c r="CXF44" s="184"/>
      <c r="CXG44" s="184"/>
      <c r="CXH44" s="184"/>
      <c r="CXI44" s="184"/>
      <c r="CXJ44" s="184"/>
      <c r="CXK44" s="184"/>
      <c r="CXL44" s="184"/>
      <c r="CXM44" s="184"/>
      <c r="CXN44" s="184"/>
      <c r="CXO44" s="184"/>
      <c r="CXP44" s="184"/>
      <c r="CXQ44" s="184"/>
      <c r="CXR44" s="184"/>
      <c r="CXS44" s="184"/>
      <c r="CXT44" s="184"/>
      <c r="CXU44" s="184"/>
      <c r="CXV44" s="184"/>
      <c r="CXW44" s="184"/>
      <c r="CXX44" s="184"/>
      <c r="CYK44" s="215"/>
      <c r="CYL44" s="202"/>
      <c r="CYM44" s="203"/>
      <c r="CYN44" s="203"/>
      <c r="CYO44" s="203"/>
      <c r="CYP44" s="204"/>
      <c r="CYQ44" s="200"/>
      <c r="CYR44" s="227"/>
      <c r="CYS44" s="184"/>
      <c r="CYT44" s="184"/>
      <c r="CYU44" s="184"/>
      <c r="CYV44" s="184"/>
      <c r="CYW44" s="184"/>
      <c r="CYX44" s="184"/>
      <c r="CYY44" s="184"/>
      <c r="CYZ44" s="184"/>
      <c r="CZA44" s="184"/>
      <c r="CZB44" s="184"/>
      <c r="CZC44" s="184"/>
      <c r="CZD44" s="184"/>
      <c r="CZE44" s="184"/>
      <c r="CZF44" s="184"/>
      <c r="CZG44" s="184"/>
      <c r="CZH44" s="184"/>
      <c r="CZI44" s="184"/>
      <c r="CZJ44" s="184"/>
      <c r="CZK44" s="184"/>
      <c r="CZL44" s="184"/>
      <c r="CZM44" s="184"/>
      <c r="CZN44" s="184"/>
      <c r="CZO44" s="184"/>
      <c r="CZP44" s="184"/>
      <c r="CZQ44" s="184"/>
      <c r="CZR44" s="184"/>
      <c r="CZS44" s="184"/>
      <c r="CZT44" s="184"/>
      <c r="CZU44" s="184"/>
      <c r="CZV44" s="184"/>
      <c r="CZW44" s="184"/>
      <c r="CZX44" s="184"/>
      <c r="CZY44" s="184"/>
      <c r="CZZ44" s="184"/>
      <c r="DAA44" s="184"/>
      <c r="DAB44" s="184"/>
      <c r="DAC44" s="184"/>
      <c r="DAD44" s="184"/>
      <c r="DAE44" s="184"/>
      <c r="DAF44" s="184"/>
      <c r="DAG44" s="184"/>
      <c r="DAH44" s="184"/>
      <c r="DAI44" s="184"/>
      <c r="DAJ44" s="184"/>
      <c r="DAK44" s="184"/>
      <c r="DAL44" s="184"/>
      <c r="DAM44" s="184"/>
      <c r="DAN44" s="184"/>
      <c r="DAO44" s="184"/>
      <c r="DAP44" s="184"/>
      <c r="DAQ44" s="184"/>
      <c r="DAR44" s="184"/>
      <c r="DAS44" s="184"/>
      <c r="DAT44" s="184"/>
      <c r="DAU44" s="184"/>
      <c r="DAV44" s="184"/>
      <c r="DAW44" s="184"/>
      <c r="DAX44" s="184"/>
      <c r="DAY44" s="184"/>
      <c r="DAZ44" s="184"/>
      <c r="DBA44" s="184"/>
      <c r="DBB44" s="184"/>
      <c r="DBC44" s="184"/>
      <c r="DBD44" s="184"/>
      <c r="DBQ44" s="215"/>
      <c r="DBR44" s="202"/>
      <c r="DBS44" s="203"/>
      <c r="DBT44" s="203"/>
      <c r="DBU44" s="203"/>
      <c r="DBV44" s="204"/>
      <c r="DBW44" s="200"/>
      <c r="DBX44" s="227"/>
      <c r="DBY44" s="184"/>
      <c r="DBZ44" s="184"/>
      <c r="DCA44" s="184"/>
      <c r="DCB44" s="184"/>
      <c r="DCC44" s="184"/>
      <c r="DCD44" s="184"/>
      <c r="DCE44" s="184"/>
      <c r="DCF44" s="184"/>
      <c r="DCG44" s="184"/>
      <c r="DCH44" s="184"/>
      <c r="DCI44" s="184"/>
      <c r="DCJ44" s="184"/>
      <c r="DCK44" s="184"/>
      <c r="DCL44" s="184"/>
      <c r="DCM44" s="184"/>
      <c r="DCN44" s="184"/>
      <c r="DCO44" s="184"/>
      <c r="DCP44" s="184"/>
      <c r="DCQ44" s="184"/>
      <c r="DCR44" s="184"/>
      <c r="DCS44" s="184"/>
      <c r="DCT44" s="184"/>
      <c r="DCU44" s="184"/>
      <c r="DCV44" s="184"/>
      <c r="DCW44" s="184"/>
      <c r="DCX44" s="184"/>
      <c r="DCY44" s="184"/>
      <c r="DCZ44" s="184"/>
      <c r="DDA44" s="184"/>
      <c r="DDB44" s="184"/>
      <c r="DDC44" s="184"/>
      <c r="DDD44" s="184"/>
      <c r="DDE44" s="184"/>
      <c r="DDF44" s="184"/>
      <c r="DDG44" s="184"/>
      <c r="DDH44" s="184"/>
      <c r="DDI44" s="184"/>
      <c r="DDJ44" s="184"/>
      <c r="DDK44" s="184"/>
      <c r="DDL44" s="184"/>
      <c r="DDM44" s="184"/>
      <c r="DDN44" s="184"/>
      <c r="DDO44" s="184"/>
      <c r="DDP44" s="184"/>
      <c r="DDQ44" s="184"/>
      <c r="DDR44" s="184"/>
      <c r="DDS44" s="184"/>
      <c r="DDT44" s="184"/>
      <c r="DDU44" s="184"/>
      <c r="DDV44" s="184"/>
      <c r="DDW44" s="184"/>
      <c r="DDX44" s="184"/>
      <c r="DDY44" s="184"/>
      <c r="DDZ44" s="184"/>
      <c r="DEA44" s="184"/>
      <c r="DEB44" s="184"/>
      <c r="DEC44" s="184"/>
      <c r="DED44" s="184"/>
      <c r="DEE44" s="184"/>
      <c r="DEF44" s="184"/>
      <c r="DEG44" s="184"/>
      <c r="DEH44" s="184"/>
      <c r="DEI44" s="184"/>
      <c r="DEJ44" s="184"/>
      <c r="DEW44" s="215"/>
      <c r="DEX44" s="202"/>
      <c r="DEY44" s="203"/>
      <c r="DEZ44" s="203"/>
      <c r="DFA44" s="203"/>
      <c r="DFB44" s="204"/>
      <c r="DFC44" s="200"/>
      <c r="DFD44" s="227"/>
      <c r="DFE44" s="184"/>
      <c r="DFF44" s="184"/>
      <c r="DFG44" s="184"/>
      <c r="DFH44" s="184"/>
      <c r="DFI44" s="184"/>
      <c r="DFJ44" s="184"/>
      <c r="DFK44" s="184"/>
      <c r="DFL44" s="184"/>
      <c r="DFM44" s="184"/>
      <c r="DFN44" s="184"/>
      <c r="DFO44" s="184"/>
      <c r="DFP44" s="184"/>
      <c r="DFQ44" s="184"/>
      <c r="DFR44" s="184"/>
      <c r="DFS44" s="184"/>
      <c r="DFT44" s="184"/>
      <c r="DFU44" s="184"/>
      <c r="DFV44" s="184"/>
      <c r="DFW44" s="184"/>
      <c r="DFX44" s="184"/>
      <c r="DFY44" s="184"/>
      <c r="DFZ44" s="184"/>
      <c r="DGA44" s="184"/>
      <c r="DGB44" s="184"/>
      <c r="DGC44" s="184"/>
      <c r="DGD44" s="184"/>
      <c r="DGE44" s="184"/>
      <c r="DGF44" s="184"/>
      <c r="DGG44" s="184"/>
      <c r="DGH44" s="184"/>
      <c r="DGI44" s="184"/>
      <c r="DGJ44" s="184"/>
      <c r="DGK44" s="184"/>
      <c r="DGL44" s="184"/>
      <c r="DGM44" s="184"/>
      <c r="DGN44" s="184"/>
      <c r="DGO44" s="184"/>
      <c r="DGP44" s="184"/>
      <c r="DGQ44" s="184"/>
      <c r="DGR44" s="184"/>
      <c r="DGS44" s="184"/>
      <c r="DGT44" s="184"/>
      <c r="DGU44" s="184"/>
      <c r="DGV44" s="184"/>
      <c r="DGW44" s="184"/>
      <c r="DGX44" s="184"/>
      <c r="DGY44" s="184"/>
      <c r="DGZ44" s="184"/>
      <c r="DHA44" s="184"/>
      <c r="DHB44" s="184"/>
      <c r="DHC44" s="184"/>
      <c r="DHD44" s="184"/>
      <c r="DHE44" s="184"/>
      <c r="DHF44" s="184"/>
      <c r="DHG44" s="184"/>
      <c r="DHH44" s="184"/>
      <c r="DHI44" s="184"/>
      <c r="DHJ44" s="184"/>
      <c r="DHK44" s="184"/>
      <c r="DHL44" s="184"/>
      <c r="DHM44" s="184"/>
      <c r="DHN44" s="184"/>
      <c r="DHO44" s="184"/>
      <c r="DHP44" s="184"/>
      <c r="DIC44" s="215"/>
      <c r="DID44" s="202"/>
      <c r="DIE44" s="203"/>
      <c r="DIF44" s="203"/>
      <c r="DIG44" s="203"/>
      <c r="DIH44" s="204"/>
      <c r="DII44" s="200"/>
      <c r="DIJ44" s="227"/>
      <c r="DIK44" s="184"/>
      <c r="DIL44" s="184"/>
      <c r="DIM44" s="184"/>
      <c r="DIN44" s="184"/>
      <c r="DIO44" s="184"/>
      <c r="DIP44" s="184"/>
      <c r="DIQ44" s="184"/>
      <c r="DIR44" s="184"/>
      <c r="DIS44" s="184"/>
      <c r="DIT44" s="184"/>
      <c r="DIU44" s="184"/>
      <c r="DIV44" s="184"/>
      <c r="DIW44" s="184"/>
      <c r="DIX44" s="184"/>
      <c r="DIY44" s="184"/>
      <c r="DIZ44" s="184"/>
      <c r="DJA44" s="184"/>
      <c r="DJB44" s="184"/>
      <c r="DJC44" s="184"/>
      <c r="DJD44" s="184"/>
      <c r="DJE44" s="184"/>
      <c r="DJF44" s="184"/>
      <c r="DJG44" s="184"/>
      <c r="DJH44" s="184"/>
      <c r="DJI44" s="184"/>
      <c r="DJJ44" s="184"/>
      <c r="DJK44" s="184"/>
      <c r="DJL44" s="184"/>
      <c r="DJM44" s="184"/>
      <c r="DJN44" s="184"/>
      <c r="DJO44" s="184"/>
      <c r="DJP44" s="184"/>
      <c r="DJQ44" s="184"/>
      <c r="DJR44" s="184"/>
      <c r="DJS44" s="184"/>
      <c r="DJT44" s="184"/>
      <c r="DJU44" s="184"/>
      <c r="DJV44" s="184"/>
      <c r="DJW44" s="184"/>
      <c r="DJX44" s="184"/>
      <c r="DJY44" s="184"/>
      <c r="DJZ44" s="184"/>
      <c r="DKA44" s="184"/>
      <c r="DKB44" s="184"/>
      <c r="DKC44" s="184"/>
      <c r="DKD44" s="184"/>
      <c r="DKE44" s="184"/>
      <c r="DKF44" s="184"/>
      <c r="DKG44" s="184"/>
      <c r="DKH44" s="184"/>
      <c r="DKI44" s="184"/>
      <c r="DKJ44" s="184"/>
      <c r="DKK44" s="184"/>
      <c r="DKL44" s="184"/>
      <c r="DKM44" s="184"/>
      <c r="DKN44" s="184"/>
      <c r="DKO44" s="184"/>
      <c r="DKP44" s="184"/>
      <c r="DKQ44" s="184"/>
      <c r="DKR44" s="184"/>
      <c r="DKS44" s="184"/>
      <c r="DKT44" s="184"/>
      <c r="DKU44" s="184"/>
      <c r="DKV44" s="184"/>
      <c r="DLI44" s="215"/>
      <c r="DLJ44" s="202"/>
      <c r="DLK44" s="203"/>
      <c r="DLL44" s="203"/>
      <c r="DLM44" s="203"/>
      <c r="DLN44" s="204"/>
      <c r="DLO44" s="200"/>
      <c r="DLP44" s="227"/>
      <c r="DLQ44" s="184"/>
      <c r="DLR44" s="184"/>
      <c r="DLS44" s="184"/>
      <c r="DLT44" s="184"/>
      <c r="DLU44" s="184"/>
      <c r="DLV44" s="184"/>
      <c r="DLW44" s="184"/>
      <c r="DLX44" s="184"/>
      <c r="DLY44" s="184"/>
      <c r="DLZ44" s="184"/>
      <c r="DMA44" s="184"/>
      <c r="DMB44" s="184"/>
      <c r="DMC44" s="184"/>
      <c r="DMD44" s="184"/>
      <c r="DME44" s="184"/>
      <c r="DMF44" s="184"/>
      <c r="DMG44" s="184"/>
      <c r="DMH44" s="184"/>
      <c r="DMI44" s="184"/>
      <c r="DMJ44" s="184"/>
      <c r="DMK44" s="184"/>
      <c r="DML44" s="184"/>
      <c r="DMM44" s="184"/>
      <c r="DMN44" s="184"/>
      <c r="DMO44" s="184"/>
      <c r="DMP44" s="184"/>
      <c r="DMQ44" s="184"/>
      <c r="DMR44" s="184"/>
      <c r="DMS44" s="184"/>
      <c r="DMT44" s="184"/>
      <c r="DMU44" s="184"/>
      <c r="DMV44" s="184"/>
      <c r="DMW44" s="184"/>
      <c r="DMX44" s="184"/>
      <c r="DMY44" s="184"/>
      <c r="DMZ44" s="184"/>
      <c r="DNA44" s="184"/>
      <c r="DNB44" s="184"/>
      <c r="DNC44" s="184"/>
      <c r="DND44" s="184"/>
      <c r="DNE44" s="184"/>
      <c r="DNF44" s="184"/>
      <c r="DNG44" s="184"/>
      <c r="DNH44" s="184"/>
      <c r="DNI44" s="184"/>
      <c r="DNJ44" s="184"/>
      <c r="DNK44" s="184"/>
      <c r="DNL44" s="184"/>
      <c r="DNM44" s="184"/>
      <c r="DNN44" s="184"/>
      <c r="DNO44" s="184"/>
      <c r="DNP44" s="184"/>
      <c r="DNQ44" s="184"/>
      <c r="DNR44" s="184"/>
      <c r="DNS44" s="184"/>
      <c r="DNT44" s="184"/>
      <c r="DNU44" s="184"/>
      <c r="DNV44" s="184"/>
      <c r="DNW44" s="184"/>
      <c r="DNX44" s="184"/>
      <c r="DNY44" s="184"/>
      <c r="DNZ44" s="184"/>
      <c r="DOA44" s="184"/>
      <c r="DOB44" s="184"/>
      <c r="DOO44" s="215"/>
      <c r="DOP44" s="202"/>
      <c r="DOQ44" s="203"/>
      <c r="DOR44" s="203"/>
      <c r="DOS44" s="203"/>
      <c r="DOT44" s="204"/>
      <c r="DOU44" s="200"/>
      <c r="DOV44" s="227"/>
      <c r="DOW44" s="184"/>
      <c r="DOX44" s="184"/>
      <c r="DOY44" s="184"/>
      <c r="DOZ44" s="184"/>
      <c r="DPA44" s="184"/>
      <c r="DPB44" s="184"/>
      <c r="DPC44" s="184"/>
      <c r="DPD44" s="184"/>
      <c r="DPE44" s="184"/>
      <c r="DPF44" s="184"/>
      <c r="DPG44" s="184"/>
      <c r="DPH44" s="184"/>
      <c r="DPI44" s="184"/>
      <c r="DPJ44" s="184"/>
      <c r="DPK44" s="184"/>
      <c r="DPL44" s="184"/>
      <c r="DPM44" s="184"/>
      <c r="DPN44" s="184"/>
      <c r="DPO44" s="184"/>
      <c r="DPP44" s="184"/>
      <c r="DPQ44" s="184"/>
      <c r="DPR44" s="184"/>
      <c r="DPS44" s="184"/>
      <c r="DPT44" s="184"/>
      <c r="DPU44" s="184"/>
      <c r="DPV44" s="184"/>
      <c r="DPW44" s="184"/>
      <c r="DPX44" s="184"/>
      <c r="DPY44" s="184"/>
      <c r="DPZ44" s="184"/>
      <c r="DQA44" s="184"/>
      <c r="DQB44" s="184"/>
      <c r="DQC44" s="184"/>
      <c r="DQD44" s="184"/>
      <c r="DQE44" s="184"/>
      <c r="DQF44" s="184"/>
      <c r="DQG44" s="184"/>
      <c r="DQH44" s="184"/>
      <c r="DQI44" s="184"/>
      <c r="DQJ44" s="184"/>
      <c r="DQK44" s="184"/>
      <c r="DQL44" s="184"/>
      <c r="DQM44" s="184"/>
      <c r="DQN44" s="184"/>
      <c r="DQO44" s="184"/>
      <c r="DQP44" s="184"/>
      <c r="DQQ44" s="184"/>
      <c r="DQR44" s="184"/>
      <c r="DQS44" s="184"/>
      <c r="DQT44" s="184"/>
      <c r="DQU44" s="184"/>
      <c r="DQV44" s="184"/>
      <c r="DQW44" s="184"/>
      <c r="DQX44" s="184"/>
      <c r="DQY44" s="184"/>
      <c r="DQZ44" s="184"/>
      <c r="DRA44" s="184"/>
      <c r="DRB44" s="184"/>
      <c r="DRC44" s="184"/>
      <c r="DRD44" s="184"/>
      <c r="DRE44" s="184"/>
      <c r="DRF44" s="184"/>
      <c r="DRG44" s="184"/>
      <c r="DRH44" s="184"/>
      <c r="DRU44" s="215"/>
      <c r="DRV44" s="202"/>
      <c r="DRW44" s="203"/>
      <c r="DRX44" s="203"/>
      <c r="DRY44" s="203"/>
      <c r="DRZ44" s="204"/>
      <c r="DSA44" s="200"/>
      <c r="DSB44" s="227"/>
      <c r="DSC44" s="184"/>
      <c r="DSD44" s="184"/>
      <c r="DSE44" s="184"/>
      <c r="DSF44" s="184"/>
      <c r="DSG44" s="184"/>
      <c r="DSH44" s="184"/>
      <c r="DSI44" s="184"/>
      <c r="DSJ44" s="184"/>
      <c r="DSK44" s="184"/>
      <c r="DSL44" s="184"/>
      <c r="DSM44" s="184"/>
      <c r="DSN44" s="184"/>
      <c r="DSO44" s="184"/>
      <c r="DSP44" s="184"/>
      <c r="DSQ44" s="184"/>
      <c r="DSR44" s="184"/>
      <c r="DSS44" s="184"/>
      <c r="DST44" s="184"/>
      <c r="DSU44" s="184"/>
      <c r="DSV44" s="184"/>
      <c r="DSW44" s="184"/>
      <c r="DSX44" s="184"/>
      <c r="DSY44" s="184"/>
      <c r="DSZ44" s="184"/>
      <c r="DTA44" s="184"/>
      <c r="DTB44" s="184"/>
      <c r="DTC44" s="184"/>
      <c r="DTD44" s="184"/>
      <c r="DTE44" s="184"/>
      <c r="DTF44" s="184"/>
      <c r="DTG44" s="184"/>
      <c r="DTH44" s="184"/>
      <c r="DTI44" s="184"/>
      <c r="DTJ44" s="184"/>
      <c r="DTK44" s="184"/>
      <c r="DTL44" s="184"/>
      <c r="DTM44" s="184"/>
      <c r="DTN44" s="184"/>
      <c r="DTO44" s="184"/>
      <c r="DTP44" s="184"/>
      <c r="DTQ44" s="184"/>
      <c r="DTR44" s="184"/>
      <c r="DTS44" s="184"/>
      <c r="DTT44" s="184"/>
      <c r="DTU44" s="184"/>
      <c r="DTV44" s="184"/>
      <c r="DTW44" s="184"/>
      <c r="DTX44" s="184"/>
      <c r="DTY44" s="184"/>
      <c r="DTZ44" s="184"/>
      <c r="DUA44" s="184"/>
      <c r="DUB44" s="184"/>
      <c r="DUC44" s="184"/>
      <c r="DUD44" s="184"/>
      <c r="DUE44" s="184"/>
      <c r="DUF44" s="184"/>
      <c r="DUG44" s="184"/>
      <c r="DUH44" s="184"/>
      <c r="DUI44" s="184"/>
      <c r="DUJ44" s="184"/>
      <c r="DUK44" s="184"/>
      <c r="DUL44" s="184"/>
      <c r="DUM44" s="184"/>
      <c r="DUN44" s="184"/>
      <c r="DVA44" s="215"/>
      <c r="DVB44" s="202"/>
      <c r="DVC44" s="203"/>
      <c r="DVD44" s="203"/>
      <c r="DVE44" s="203"/>
      <c r="DVF44" s="204"/>
      <c r="DVG44" s="200"/>
      <c r="DVH44" s="227"/>
      <c r="DVI44" s="184"/>
      <c r="DVJ44" s="184"/>
      <c r="DVK44" s="184"/>
      <c r="DVL44" s="184"/>
      <c r="DVM44" s="184"/>
      <c r="DVN44" s="184"/>
      <c r="DVO44" s="184"/>
      <c r="DVP44" s="184"/>
      <c r="DVQ44" s="184"/>
      <c r="DVR44" s="184"/>
      <c r="DVS44" s="184"/>
      <c r="DVT44" s="184"/>
      <c r="DVU44" s="184"/>
      <c r="DVV44" s="184"/>
      <c r="DVW44" s="184"/>
      <c r="DVX44" s="184"/>
      <c r="DVY44" s="184"/>
      <c r="DVZ44" s="184"/>
      <c r="DWA44" s="184"/>
      <c r="DWB44" s="184"/>
      <c r="DWC44" s="184"/>
      <c r="DWD44" s="184"/>
      <c r="DWE44" s="184"/>
      <c r="DWF44" s="184"/>
      <c r="DWG44" s="184"/>
      <c r="DWH44" s="184"/>
      <c r="DWI44" s="184"/>
      <c r="DWJ44" s="184"/>
      <c r="DWK44" s="184"/>
      <c r="DWL44" s="184"/>
      <c r="DWM44" s="184"/>
      <c r="DWN44" s="184"/>
      <c r="DWO44" s="184"/>
      <c r="DWP44" s="184"/>
      <c r="DWQ44" s="184"/>
      <c r="DWR44" s="184"/>
      <c r="DWS44" s="184"/>
      <c r="DWT44" s="184"/>
      <c r="DWU44" s="184"/>
      <c r="DWV44" s="184"/>
      <c r="DWW44" s="184"/>
      <c r="DWX44" s="184"/>
      <c r="DWY44" s="184"/>
      <c r="DWZ44" s="184"/>
      <c r="DXA44" s="184"/>
      <c r="DXB44" s="184"/>
      <c r="DXC44" s="184"/>
      <c r="DXD44" s="184"/>
      <c r="DXE44" s="184"/>
      <c r="DXF44" s="184"/>
      <c r="DXG44" s="184"/>
      <c r="DXH44" s="184"/>
      <c r="DXI44" s="184"/>
      <c r="DXJ44" s="184"/>
      <c r="DXK44" s="184"/>
      <c r="DXL44" s="184"/>
      <c r="DXM44" s="184"/>
      <c r="DXN44" s="184"/>
      <c r="DXO44" s="184"/>
      <c r="DXP44" s="184"/>
      <c r="DXQ44" s="184"/>
      <c r="DXR44" s="184"/>
      <c r="DXS44" s="184"/>
      <c r="DXT44" s="184"/>
      <c r="DYG44" s="215"/>
      <c r="DYH44" s="202"/>
      <c r="DYI44" s="203"/>
      <c r="DYJ44" s="203"/>
      <c r="DYK44" s="203"/>
      <c r="DYL44" s="204"/>
      <c r="DYM44" s="200"/>
      <c r="DYN44" s="227"/>
      <c r="DYO44" s="184"/>
      <c r="DYP44" s="184"/>
      <c r="DYQ44" s="184"/>
      <c r="DYR44" s="184"/>
      <c r="DYS44" s="184"/>
      <c r="DYT44" s="184"/>
      <c r="DYU44" s="184"/>
      <c r="DYV44" s="184"/>
      <c r="DYW44" s="184"/>
      <c r="DYX44" s="184"/>
      <c r="DYY44" s="184"/>
      <c r="DYZ44" s="184"/>
      <c r="DZA44" s="184"/>
      <c r="DZB44" s="184"/>
      <c r="DZC44" s="184"/>
      <c r="DZD44" s="184"/>
      <c r="DZE44" s="184"/>
      <c r="DZF44" s="184"/>
      <c r="DZG44" s="184"/>
      <c r="DZH44" s="184"/>
      <c r="DZI44" s="184"/>
      <c r="DZJ44" s="184"/>
      <c r="DZK44" s="184"/>
      <c r="DZL44" s="184"/>
      <c r="DZM44" s="184"/>
      <c r="DZN44" s="184"/>
      <c r="DZO44" s="184"/>
      <c r="DZP44" s="184"/>
      <c r="DZQ44" s="184"/>
      <c r="DZR44" s="184"/>
      <c r="DZS44" s="184"/>
      <c r="DZT44" s="184"/>
      <c r="DZU44" s="184"/>
      <c r="DZV44" s="184"/>
      <c r="DZW44" s="184"/>
      <c r="DZX44" s="184"/>
      <c r="DZY44" s="184"/>
      <c r="DZZ44" s="184"/>
      <c r="EAA44" s="184"/>
      <c r="EAB44" s="184"/>
      <c r="EAC44" s="184"/>
      <c r="EAD44" s="184"/>
      <c r="EAE44" s="184"/>
      <c r="EAF44" s="184"/>
      <c r="EAG44" s="184"/>
      <c r="EAH44" s="184"/>
      <c r="EAI44" s="184"/>
      <c r="EAJ44" s="184"/>
      <c r="EAK44" s="184"/>
      <c r="EAL44" s="184"/>
      <c r="EAM44" s="184"/>
      <c r="EAN44" s="184"/>
      <c r="EAO44" s="184"/>
      <c r="EAP44" s="184"/>
      <c r="EAQ44" s="184"/>
      <c r="EAR44" s="184"/>
      <c r="EAS44" s="184"/>
      <c r="EAT44" s="184"/>
      <c r="EAU44" s="184"/>
      <c r="EAV44" s="184"/>
      <c r="EAW44" s="184"/>
      <c r="EAX44" s="184"/>
      <c r="EAY44" s="184"/>
      <c r="EAZ44" s="184"/>
      <c r="EBM44" s="215"/>
      <c r="EBN44" s="202"/>
      <c r="EBO44" s="203"/>
      <c r="EBP44" s="203"/>
      <c r="EBQ44" s="203"/>
      <c r="EBR44" s="204"/>
      <c r="EBS44" s="200"/>
      <c r="EBT44" s="227"/>
      <c r="EBU44" s="184"/>
      <c r="EBV44" s="184"/>
      <c r="EBW44" s="184"/>
      <c r="EBX44" s="184"/>
      <c r="EBY44" s="184"/>
      <c r="EBZ44" s="184"/>
      <c r="ECA44" s="184"/>
      <c r="ECB44" s="184"/>
      <c r="ECC44" s="184"/>
      <c r="ECD44" s="184"/>
      <c r="ECE44" s="184"/>
      <c r="ECF44" s="184"/>
      <c r="ECG44" s="184"/>
      <c r="ECH44" s="184"/>
      <c r="ECI44" s="184"/>
      <c r="ECJ44" s="184"/>
      <c r="ECK44" s="184"/>
      <c r="ECL44" s="184"/>
      <c r="ECM44" s="184"/>
      <c r="ECN44" s="184"/>
      <c r="ECO44" s="184"/>
      <c r="ECP44" s="184"/>
      <c r="ECQ44" s="184"/>
      <c r="ECR44" s="184"/>
      <c r="ECS44" s="184"/>
      <c r="ECT44" s="184"/>
      <c r="ECU44" s="184"/>
      <c r="ECV44" s="184"/>
      <c r="ECW44" s="184"/>
      <c r="ECX44" s="184"/>
      <c r="ECY44" s="184"/>
      <c r="ECZ44" s="184"/>
      <c r="EDA44" s="184"/>
      <c r="EDB44" s="184"/>
      <c r="EDC44" s="184"/>
      <c r="EDD44" s="184"/>
      <c r="EDE44" s="184"/>
      <c r="EDF44" s="184"/>
      <c r="EDG44" s="184"/>
      <c r="EDH44" s="184"/>
      <c r="EDI44" s="184"/>
      <c r="EDJ44" s="184"/>
      <c r="EDK44" s="184"/>
      <c r="EDL44" s="184"/>
      <c r="EDM44" s="184"/>
      <c r="EDN44" s="184"/>
      <c r="EDO44" s="184"/>
      <c r="EDP44" s="184"/>
      <c r="EDQ44" s="184"/>
      <c r="EDR44" s="184"/>
      <c r="EDS44" s="184"/>
      <c r="EDT44" s="184"/>
      <c r="EDU44" s="184"/>
      <c r="EDV44" s="184"/>
      <c r="EDW44" s="184"/>
      <c r="EDX44" s="184"/>
      <c r="EDY44" s="184"/>
      <c r="EDZ44" s="184"/>
      <c r="EEA44" s="184"/>
      <c r="EEB44" s="184"/>
      <c r="EEC44" s="184"/>
      <c r="EED44" s="184"/>
      <c r="EEE44" s="184"/>
      <c r="EEF44" s="184"/>
      <c r="EES44" s="215"/>
      <c r="EET44" s="202"/>
      <c r="EEU44" s="203"/>
      <c r="EEV44" s="203"/>
      <c r="EEW44" s="203"/>
      <c r="EEX44" s="204"/>
      <c r="EEY44" s="200"/>
      <c r="EEZ44" s="227"/>
      <c r="EFA44" s="184"/>
      <c r="EFB44" s="184"/>
      <c r="EFC44" s="184"/>
      <c r="EFD44" s="184"/>
      <c r="EFE44" s="184"/>
      <c r="EFF44" s="184"/>
      <c r="EFG44" s="184"/>
      <c r="EFH44" s="184"/>
      <c r="EFI44" s="184"/>
      <c r="EFJ44" s="184"/>
      <c r="EFK44" s="184"/>
      <c r="EFL44" s="184"/>
      <c r="EFM44" s="184"/>
      <c r="EFN44" s="184"/>
      <c r="EFO44" s="184"/>
      <c r="EFP44" s="184"/>
      <c r="EFQ44" s="184"/>
      <c r="EFR44" s="184"/>
      <c r="EFS44" s="184"/>
      <c r="EFT44" s="184"/>
      <c r="EFU44" s="184"/>
      <c r="EFV44" s="184"/>
      <c r="EFW44" s="184"/>
      <c r="EFX44" s="184"/>
      <c r="EFY44" s="184"/>
      <c r="EFZ44" s="184"/>
      <c r="EGA44" s="184"/>
      <c r="EGB44" s="184"/>
      <c r="EGC44" s="184"/>
      <c r="EGD44" s="184"/>
      <c r="EGE44" s="184"/>
      <c r="EGF44" s="184"/>
      <c r="EGG44" s="184"/>
      <c r="EGH44" s="184"/>
      <c r="EGI44" s="184"/>
      <c r="EGJ44" s="184"/>
      <c r="EGK44" s="184"/>
      <c r="EGL44" s="184"/>
      <c r="EGM44" s="184"/>
      <c r="EGN44" s="184"/>
      <c r="EGO44" s="184"/>
      <c r="EGP44" s="184"/>
      <c r="EGQ44" s="184"/>
      <c r="EGR44" s="184"/>
      <c r="EGS44" s="184"/>
      <c r="EGT44" s="184"/>
      <c r="EGU44" s="184"/>
      <c r="EGV44" s="184"/>
      <c r="EGW44" s="184"/>
      <c r="EGX44" s="184"/>
      <c r="EGY44" s="184"/>
      <c r="EGZ44" s="184"/>
      <c r="EHA44" s="184"/>
      <c r="EHB44" s="184"/>
      <c r="EHC44" s="184"/>
      <c r="EHD44" s="184"/>
      <c r="EHE44" s="184"/>
      <c r="EHF44" s="184"/>
      <c r="EHG44" s="184"/>
      <c r="EHH44" s="184"/>
      <c r="EHI44" s="184"/>
      <c r="EHJ44" s="184"/>
      <c r="EHK44" s="184"/>
      <c r="EHL44" s="184"/>
      <c r="EHY44" s="215"/>
      <c r="EHZ44" s="202"/>
      <c r="EIA44" s="203"/>
      <c r="EIB44" s="203"/>
      <c r="EIC44" s="203"/>
      <c r="EID44" s="204"/>
      <c r="EIE44" s="200"/>
      <c r="EIF44" s="227"/>
      <c r="EIG44" s="184"/>
      <c r="EIH44" s="184"/>
      <c r="EII44" s="184"/>
      <c r="EIJ44" s="184"/>
      <c r="EIK44" s="184"/>
      <c r="EIL44" s="184"/>
      <c r="EIM44" s="184"/>
      <c r="EIN44" s="184"/>
      <c r="EIO44" s="184"/>
      <c r="EIP44" s="184"/>
      <c r="EIQ44" s="184"/>
      <c r="EIR44" s="184"/>
      <c r="EIS44" s="184"/>
      <c r="EIT44" s="184"/>
      <c r="EIU44" s="184"/>
      <c r="EIV44" s="184"/>
      <c r="EIW44" s="184"/>
      <c r="EIX44" s="184"/>
      <c r="EIY44" s="184"/>
      <c r="EIZ44" s="184"/>
      <c r="EJA44" s="184"/>
      <c r="EJB44" s="184"/>
      <c r="EJC44" s="184"/>
      <c r="EJD44" s="184"/>
      <c r="EJE44" s="184"/>
      <c r="EJF44" s="184"/>
      <c r="EJG44" s="184"/>
      <c r="EJH44" s="184"/>
      <c r="EJI44" s="184"/>
      <c r="EJJ44" s="184"/>
      <c r="EJK44" s="184"/>
      <c r="EJL44" s="184"/>
      <c r="EJM44" s="184"/>
      <c r="EJN44" s="184"/>
      <c r="EJO44" s="184"/>
      <c r="EJP44" s="184"/>
      <c r="EJQ44" s="184"/>
      <c r="EJR44" s="184"/>
      <c r="EJS44" s="184"/>
      <c r="EJT44" s="184"/>
      <c r="EJU44" s="184"/>
      <c r="EJV44" s="184"/>
      <c r="EJW44" s="184"/>
      <c r="EJX44" s="184"/>
      <c r="EJY44" s="184"/>
      <c r="EJZ44" s="184"/>
      <c r="EKA44" s="184"/>
      <c r="EKB44" s="184"/>
      <c r="EKC44" s="184"/>
      <c r="EKD44" s="184"/>
      <c r="EKE44" s="184"/>
      <c r="EKF44" s="184"/>
      <c r="EKG44" s="184"/>
      <c r="EKH44" s="184"/>
      <c r="EKI44" s="184"/>
      <c r="EKJ44" s="184"/>
      <c r="EKK44" s="184"/>
      <c r="EKL44" s="184"/>
      <c r="EKM44" s="184"/>
      <c r="EKN44" s="184"/>
      <c r="EKO44" s="184"/>
      <c r="EKP44" s="184"/>
      <c r="EKQ44" s="184"/>
      <c r="EKR44" s="184"/>
      <c r="ELE44" s="215"/>
      <c r="ELF44" s="202"/>
      <c r="ELG44" s="203"/>
      <c r="ELH44" s="203"/>
      <c r="ELI44" s="203"/>
      <c r="ELJ44" s="204"/>
      <c r="ELK44" s="200"/>
      <c r="ELL44" s="227"/>
      <c r="ELM44" s="184"/>
      <c r="ELN44" s="184"/>
      <c r="ELO44" s="184"/>
      <c r="ELP44" s="184"/>
      <c r="ELQ44" s="184"/>
      <c r="ELR44" s="184"/>
      <c r="ELS44" s="184"/>
      <c r="ELT44" s="184"/>
      <c r="ELU44" s="184"/>
      <c r="ELV44" s="184"/>
      <c r="ELW44" s="184"/>
      <c r="ELX44" s="184"/>
      <c r="ELY44" s="184"/>
      <c r="ELZ44" s="184"/>
      <c r="EMA44" s="184"/>
      <c r="EMB44" s="184"/>
      <c r="EMC44" s="184"/>
      <c r="EMD44" s="184"/>
      <c r="EME44" s="184"/>
      <c r="EMF44" s="184"/>
      <c r="EMG44" s="184"/>
      <c r="EMH44" s="184"/>
      <c r="EMI44" s="184"/>
      <c r="EMJ44" s="184"/>
      <c r="EMK44" s="184"/>
      <c r="EML44" s="184"/>
      <c r="EMM44" s="184"/>
      <c r="EMN44" s="184"/>
      <c r="EMO44" s="184"/>
      <c r="EMP44" s="184"/>
      <c r="EMQ44" s="184"/>
      <c r="EMR44" s="184"/>
      <c r="EMS44" s="184"/>
      <c r="EMT44" s="184"/>
      <c r="EMU44" s="184"/>
      <c r="EMV44" s="184"/>
      <c r="EMW44" s="184"/>
      <c r="EMX44" s="184"/>
      <c r="EMY44" s="184"/>
      <c r="EMZ44" s="184"/>
      <c r="ENA44" s="184"/>
      <c r="ENB44" s="184"/>
      <c r="ENC44" s="184"/>
      <c r="END44" s="184"/>
      <c r="ENE44" s="184"/>
      <c r="ENF44" s="184"/>
      <c r="ENG44" s="184"/>
      <c r="ENH44" s="184"/>
      <c r="ENI44" s="184"/>
      <c r="ENJ44" s="184"/>
      <c r="ENK44" s="184"/>
      <c r="ENL44" s="184"/>
      <c r="ENM44" s="184"/>
      <c r="ENN44" s="184"/>
      <c r="ENO44" s="184"/>
      <c r="ENP44" s="184"/>
      <c r="ENQ44" s="184"/>
      <c r="ENR44" s="184"/>
      <c r="ENS44" s="184"/>
      <c r="ENT44" s="184"/>
      <c r="ENU44" s="184"/>
      <c r="ENV44" s="184"/>
      <c r="ENW44" s="184"/>
      <c r="ENX44" s="184"/>
      <c r="EOK44" s="215"/>
      <c r="EOL44" s="202"/>
      <c r="EOM44" s="203"/>
      <c r="EON44" s="203"/>
      <c r="EOO44" s="203"/>
      <c r="EOP44" s="204"/>
      <c r="EOQ44" s="200"/>
      <c r="EOR44" s="227"/>
      <c r="EOS44" s="184"/>
      <c r="EOT44" s="184"/>
      <c r="EOU44" s="184"/>
      <c r="EOV44" s="184"/>
      <c r="EOW44" s="184"/>
      <c r="EOX44" s="184"/>
      <c r="EOY44" s="184"/>
      <c r="EOZ44" s="184"/>
      <c r="EPA44" s="184"/>
      <c r="EPB44" s="184"/>
      <c r="EPC44" s="184"/>
      <c r="EPD44" s="184"/>
      <c r="EPE44" s="184"/>
      <c r="EPF44" s="184"/>
      <c r="EPG44" s="184"/>
      <c r="EPH44" s="184"/>
      <c r="EPI44" s="184"/>
      <c r="EPJ44" s="184"/>
      <c r="EPK44" s="184"/>
      <c r="EPL44" s="184"/>
      <c r="EPM44" s="184"/>
      <c r="EPN44" s="184"/>
      <c r="EPO44" s="184"/>
      <c r="EPP44" s="184"/>
      <c r="EPQ44" s="184"/>
      <c r="EPR44" s="184"/>
      <c r="EPS44" s="184"/>
      <c r="EPT44" s="184"/>
      <c r="EPU44" s="184"/>
      <c r="EPV44" s="184"/>
      <c r="EPW44" s="184"/>
      <c r="EPX44" s="184"/>
      <c r="EPY44" s="184"/>
      <c r="EPZ44" s="184"/>
      <c r="EQA44" s="184"/>
      <c r="EQB44" s="184"/>
      <c r="EQC44" s="184"/>
      <c r="EQD44" s="184"/>
      <c r="EQE44" s="184"/>
      <c r="EQF44" s="184"/>
      <c r="EQG44" s="184"/>
      <c r="EQH44" s="184"/>
      <c r="EQI44" s="184"/>
      <c r="EQJ44" s="184"/>
      <c r="EQK44" s="184"/>
      <c r="EQL44" s="184"/>
      <c r="EQM44" s="184"/>
      <c r="EQN44" s="184"/>
      <c r="EQO44" s="184"/>
      <c r="EQP44" s="184"/>
      <c r="EQQ44" s="184"/>
      <c r="EQR44" s="184"/>
      <c r="EQS44" s="184"/>
      <c r="EQT44" s="184"/>
      <c r="EQU44" s="184"/>
      <c r="EQV44" s="184"/>
      <c r="EQW44" s="184"/>
      <c r="EQX44" s="184"/>
      <c r="EQY44" s="184"/>
      <c r="EQZ44" s="184"/>
      <c r="ERA44" s="184"/>
      <c r="ERB44" s="184"/>
      <c r="ERC44" s="184"/>
      <c r="ERD44" s="184"/>
      <c r="ERQ44" s="215"/>
      <c r="ERR44" s="202"/>
      <c r="ERS44" s="203"/>
      <c r="ERT44" s="203"/>
      <c r="ERU44" s="203"/>
      <c r="ERV44" s="204"/>
      <c r="ERW44" s="200"/>
      <c r="ERX44" s="227"/>
      <c r="ERY44" s="184"/>
      <c r="ERZ44" s="184"/>
      <c r="ESA44" s="184"/>
      <c r="ESB44" s="184"/>
      <c r="ESC44" s="184"/>
      <c r="ESD44" s="184"/>
      <c r="ESE44" s="184"/>
      <c r="ESF44" s="184"/>
      <c r="ESG44" s="184"/>
      <c r="ESH44" s="184"/>
      <c r="ESI44" s="184"/>
      <c r="ESJ44" s="184"/>
      <c r="ESK44" s="184"/>
      <c r="ESL44" s="184"/>
      <c r="ESM44" s="184"/>
      <c r="ESN44" s="184"/>
      <c r="ESO44" s="184"/>
      <c r="ESP44" s="184"/>
      <c r="ESQ44" s="184"/>
      <c r="ESR44" s="184"/>
      <c r="ESS44" s="184"/>
      <c r="EST44" s="184"/>
      <c r="ESU44" s="184"/>
      <c r="ESV44" s="184"/>
      <c r="ESW44" s="184"/>
      <c r="ESX44" s="184"/>
      <c r="ESY44" s="184"/>
      <c r="ESZ44" s="184"/>
      <c r="ETA44" s="184"/>
      <c r="ETB44" s="184"/>
      <c r="ETC44" s="184"/>
      <c r="ETD44" s="184"/>
      <c r="ETE44" s="184"/>
      <c r="ETF44" s="184"/>
      <c r="ETG44" s="184"/>
      <c r="ETH44" s="184"/>
      <c r="ETI44" s="184"/>
      <c r="ETJ44" s="184"/>
      <c r="ETK44" s="184"/>
      <c r="ETL44" s="184"/>
      <c r="ETM44" s="184"/>
      <c r="ETN44" s="184"/>
      <c r="ETO44" s="184"/>
      <c r="ETP44" s="184"/>
      <c r="ETQ44" s="184"/>
      <c r="ETR44" s="184"/>
      <c r="ETS44" s="184"/>
      <c r="ETT44" s="184"/>
      <c r="ETU44" s="184"/>
      <c r="ETV44" s="184"/>
      <c r="ETW44" s="184"/>
      <c r="ETX44" s="184"/>
      <c r="ETY44" s="184"/>
      <c r="ETZ44" s="184"/>
      <c r="EUA44" s="184"/>
      <c r="EUB44" s="184"/>
      <c r="EUC44" s="184"/>
      <c r="EUD44" s="184"/>
      <c r="EUE44" s="184"/>
      <c r="EUF44" s="184"/>
      <c r="EUG44" s="184"/>
      <c r="EUH44" s="184"/>
      <c r="EUI44" s="184"/>
      <c r="EUJ44" s="184"/>
      <c r="EUW44" s="215"/>
      <c r="EUX44" s="202"/>
      <c r="EUY44" s="203"/>
      <c r="EUZ44" s="203"/>
      <c r="EVA44" s="203"/>
      <c r="EVB44" s="204"/>
      <c r="EVC44" s="200"/>
      <c r="EVD44" s="227"/>
      <c r="EVE44" s="184"/>
      <c r="EVF44" s="184"/>
      <c r="EVG44" s="184"/>
      <c r="EVH44" s="184"/>
      <c r="EVI44" s="184"/>
      <c r="EVJ44" s="184"/>
      <c r="EVK44" s="184"/>
      <c r="EVL44" s="184"/>
      <c r="EVM44" s="184"/>
      <c r="EVN44" s="184"/>
      <c r="EVO44" s="184"/>
      <c r="EVP44" s="184"/>
      <c r="EVQ44" s="184"/>
      <c r="EVR44" s="184"/>
      <c r="EVS44" s="184"/>
      <c r="EVT44" s="184"/>
      <c r="EVU44" s="184"/>
      <c r="EVV44" s="184"/>
      <c r="EVW44" s="184"/>
      <c r="EVX44" s="184"/>
      <c r="EVY44" s="184"/>
      <c r="EVZ44" s="184"/>
      <c r="EWA44" s="184"/>
      <c r="EWB44" s="184"/>
      <c r="EWC44" s="184"/>
      <c r="EWD44" s="184"/>
      <c r="EWE44" s="184"/>
      <c r="EWF44" s="184"/>
      <c r="EWG44" s="184"/>
      <c r="EWH44" s="184"/>
      <c r="EWI44" s="184"/>
      <c r="EWJ44" s="184"/>
      <c r="EWK44" s="184"/>
      <c r="EWL44" s="184"/>
      <c r="EWM44" s="184"/>
      <c r="EWN44" s="184"/>
      <c r="EWO44" s="184"/>
      <c r="EWP44" s="184"/>
      <c r="EWQ44" s="184"/>
      <c r="EWR44" s="184"/>
      <c r="EWS44" s="184"/>
      <c r="EWT44" s="184"/>
      <c r="EWU44" s="184"/>
      <c r="EWV44" s="184"/>
      <c r="EWW44" s="184"/>
      <c r="EWX44" s="184"/>
      <c r="EWY44" s="184"/>
      <c r="EWZ44" s="184"/>
      <c r="EXA44" s="184"/>
      <c r="EXB44" s="184"/>
      <c r="EXC44" s="184"/>
      <c r="EXD44" s="184"/>
      <c r="EXE44" s="184"/>
      <c r="EXF44" s="184"/>
      <c r="EXG44" s="184"/>
      <c r="EXH44" s="184"/>
      <c r="EXI44" s="184"/>
      <c r="EXJ44" s="184"/>
      <c r="EXK44" s="184"/>
      <c r="EXL44" s="184"/>
      <c r="EXM44" s="184"/>
      <c r="EXN44" s="184"/>
      <c r="EXO44" s="184"/>
      <c r="EXP44" s="184"/>
      <c r="EYC44" s="215"/>
      <c r="EYD44" s="202"/>
      <c r="EYE44" s="203"/>
      <c r="EYF44" s="203"/>
      <c r="EYG44" s="203"/>
      <c r="EYH44" s="204"/>
      <c r="EYI44" s="200"/>
      <c r="EYJ44" s="227"/>
      <c r="EYK44" s="184"/>
      <c r="EYL44" s="184"/>
      <c r="EYM44" s="184"/>
      <c r="EYN44" s="184"/>
      <c r="EYO44" s="184"/>
      <c r="EYP44" s="184"/>
      <c r="EYQ44" s="184"/>
      <c r="EYR44" s="184"/>
      <c r="EYS44" s="184"/>
      <c r="EYT44" s="184"/>
      <c r="EYU44" s="184"/>
      <c r="EYV44" s="184"/>
      <c r="EYW44" s="184"/>
      <c r="EYX44" s="184"/>
      <c r="EYY44" s="184"/>
      <c r="EYZ44" s="184"/>
      <c r="EZA44" s="184"/>
      <c r="EZB44" s="184"/>
      <c r="EZC44" s="184"/>
      <c r="EZD44" s="184"/>
      <c r="EZE44" s="184"/>
      <c r="EZF44" s="184"/>
      <c r="EZG44" s="184"/>
      <c r="EZH44" s="184"/>
      <c r="EZI44" s="184"/>
      <c r="EZJ44" s="184"/>
      <c r="EZK44" s="184"/>
      <c r="EZL44" s="184"/>
      <c r="EZM44" s="184"/>
      <c r="EZN44" s="184"/>
      <c r="EZO44" s="184"/>
      <c r="EZP44" s="184"/>
      <c r="EZQ44" s="184"/>
      <c r="EZR44" s="184"/>
      <c r="EZS44" s="184"/>
      <c r="EZT44" s="184"/>
      <c r="EZU44" s="184"/>
      <c r="EZV44" s="184"/>
      <c r="EZW44" s="184"/>
      <c r="EZX44" s="184"/>
      <c r="EZY44" s="184"/>
      <c r="EZZ44" s="184"/>
      <c r="FAA44" s="184"/>
      <c r="FAB44" s="184"/>
      <c r="FAC44" s="184"/>
      <c r="FAD44" s="184"/>
      <c r="FAE44" s="184"/>
      <c r="FAF44" s="184"/>
      <c r="FAG44" s="184"/>
      <c r="FAH44" s="184"/>
      <c r="FAI44" s="184"/>
      <c r="FAJ44" s="184"/>
      <c r="FAK44" s="184"/>
      <c r="FAL44" s="184"/>
      <c r="FAM44" s="184"/>
      <c r="FAN44" s="184"/>
      <c r="FAO44" s="184"/>
      <c r="FAP44" s="184"/>
      <c r="FAQ44" s="184"/>
      <c r="FAR44" s="184"/>
      <c r="FAS44" s="184"/>
      <c r="FAT44" s="184"/>
      <c r="FAU44" s="184"/>
      <c r="FAV44" s="184"/>
      <c r="FBI44" s="215"/>
      <c r="FBJ44" s="202"/>
      <c r="FBK44" s="203"/>
      <c r="FBL44" s="203"/>
      <c r="FBM44" s="203"/>
      <c r="FBN44" s="204"/>
      <c r="FBO44" s="200"/>
      <c r="FBP44" s="227"/>
      <c r="FBQ44" s="184"/>
      <c r="FBR44" s="184"/>
      <c r="FBS44" s="184"/>
      <c r="FBT44" s="184"/>
      <c r="FBU44" s="184"/>
      <c r="FBV44" s="184"/>
      <c r="FBW44" s="184"/>
      <c r="FBX44" s="184"/>
      <c r="FBY44" s="184"/>
      <c r="FBZ44" s="184"/>
      <c r="FCA44" s="184"/>
      <c r="FCB44" s="184"/>
      <c r="FCC44" s="184"/>
      <c r="FCD44" s="184"/>
      <c r="FCE44" s="184"/>
      <c r="FCF44" s="184"/>
      <c r="FCG44" s="184"/>
      <c r="FCH44" s="184"/>
      <c r="FCI44" s="184"/>
      <c r="FCJ44" s="184"/>
      <c r="FCK44" s="184"/>
      <c r="FCL44" s="184"/>
      <c r="FCM44" s="184"/>
      <c r="FCN44" s="184"/>
      <c r="FCO44" s="184"/>
      <c r="FCP44" s="184"/>
      <c r="FCQ44" s="184"/>
      <c r="FCR44" s="184"/>
      <c r="FCS44" s="184"/>
      <c r="FCT44" s="184"/>
      <c r="FCU44" s="184"/>
      <c r="FCV44" s="184"/>
      <c r="FCW44" s="184"/>
      <c r="FCX44" s="184"/>
      <c r="FCY44" s="184"/>
      <c r="FCZ44" s="184"/>
      <c r="FDA44" s="184"/>
      <c r="FDB44" s="184"/>
      <c r="FDC44" s="184"/>
      <c r="FDD44" s="184"/>
      <c r="FDE44" s="184"/>
      <c r="FDF44" s="184"/>
      <c r="FDG44" s="184"/>
      <c r="FDH44" s="184"/>
      <c r="FDI44" s="184"/>
      <c r="FDJ44" s="184"/>
      <c r="FDK44" s="184"/>
      <c r="FDL44" s="184"/>
      <c r="FDM44" s="184"/>
      <c r="FDN44" s="184"/>
      <c r="FDO44" s="184"/>
      <c r="FDP44" s="184"/>
      <c r="FDQ44" s="184"/>
      <c r="FDR44" s="184"/>
      <c r="FDS44" s="184"/>
      <c r="FDT44" s="184"/>
      <c r="FDU44" s="184"/>
      <c r="FDV44" s="184"/>
      <c r="FDW44" s="184"/>
      <c r="FDX44" s="184"/>
      <c r="FDY44" s="184"/>
      <c r="FDZ44" s="184"/>
      <c r="FEA44" s="184"/>
      <c r="FEB44" s="184"/>
      <c r="FEO44" s="215"/>
      <c r="FEP44" s="202"/>
      <c r="FEQ44" s="203"/>
      <c r="FER44" s="203"/>
      <c r="FES44" s="203"/>
      <c r="FET44" s="204"/>
      <c r="FEU44" s="200"/>
      <c r="FEV44" s="227"/>
      <c r="FEW44" s="184"/>
      <c r="FEX44" s="184"/>
      <c r="FEY44" s="184"/>
      <c r="FEZ44" s="184"/>
      <c r="FFA44" s="184"/>
      <c r="FFB44" s="184"/>
      <c r="FFC44" s="184"/>
      <c r="FFD44" s="184"/>
      <c r="FFE44" s="184"/>
      <c r="FFF44" s="184"/>
      <c r="FFG44" s="184"/>
      <c r="FFH44" s="184"/>
      <c r="FFI44" s="184"/>
      <c r="FFJ44" s="184"/>
      <c r="FFK44" s="184"/>
      <c r="FFL44" s="184"/>
      <c r="FFM44" s="184"/>
      <c r="FFN44" s="184"/>
      <c r="FFO44" s="184"/>
      <c r="FFP44" s="184"/>
      <c r="FFQ44" s="184"/>
      <c r="FFR44" s="184"/>
      <c r="FFS44" s="184"/>
      <c r="FFT44" s="184"/>
      <c r="FFU44" s="184"/>
      <c r="FFV44" s="184"/>
      <c r="FFW44" s="184"/>
      <c r="FFX44" s="184"/>
      <c r="FFY44" s="184"/>
      <c r="FFZ44" s="184"/>
      <c r="FGA44" s="184"/>
      <c r="FGB44" s="184"/>
      <c r="FGC44" s="184"/>
      <c r="FGD44" s="184"/>
      <c r="FGE44" s="184"/>
      <c r="FGF44" s="184"/>
      <c r="FGG44" s="184"/>
      <c r="FGH44" s="184"/>
      <c r="FGI44" s="184"/>
      <c r="FGJ44" s="184"/>
      <c r="FGK44" s="184"/>
      <c r="FGL44" s="184"/>
      <c r="FGM44" s="184"/>
      <c r="FGN44" s="184"/>
      <c r="FGO44" s="184"/>
      <c r="FGP44" s="184"/>
      <c r="FGQ44" s="184"/>
      <c r="FGR44" s="184"/>
      <c r="FGS44" s="184"/>
      <c r="FGT44" s="184"/>
      <c r="FGU44" s="184"/>
      <c r="FGV44" s="184"/>
      <c r="FGW44" s="184"/>
      <c r="FGX44" s="184"/>
      <c r="FGY44" s="184"/>
      <c r="FGZ44" s="184"/>
      <c r="FHA44" s="184"/>
      <c r="FHB44" s="184"/>
      <c r="FHC44" s="184"/>
      <c r="FHD44" s="184"/>
      <c r="FHE44" s="184"/>
      <c r="FHF44" s="184"/>
      <c r="FHG44" s="184"/>
      <c r="FHH44" s="184"/>
      <c r="FHU44" s="215"/>
      <c r="FHV44" s="202"/>
      <c r="FHW44" s="203"/>
      <c r="FHX44" s="203"/>
      <c r="FHY44" s="203"/>
      <c r="FHZ44" s="204"/>
      <c r="FIA44" s="200"/>
      <c r="FIB44" s="227"/>
      <c r="FIC44" s="184"/>
      <c r="FID44" s="184"/>
      <c r="FIE44" s="184"/>
      <c r="FIF44" s="184"/>
      <c r="FIG44" s="184"/>
      <c r="FIH44" s="184"/>
      <c r="FII44" s="184"/>
      <c r="FIJ44" s="184"/>
      <c r="FIK44" s="184"/>
      <c r="FIL44" s="184"/>
      <c r="FIM44" s="184"/>
      <c r="FIN44" s="184"/>
      <c r="FIO44" s="184"/>
      <c r="FIP44" s="184"/>
      <c r="FIQ44" s="184"/>
      <c r="FIR44" s="184"/>
      <c r="FIS44" s="184"/>
      <c r="FIT44" s="184"/>
      <c r="FIU44" s="184"/>
      <c r="FIV44" s="184"/>
      <c r="FIW44" s="184"/>
      <c r="FIX44" s="184"/>
      <c r="FIY44" s="184"/>
      <c r="FIZ44" s="184"/>
      <c r="FJA44" s="184"/>
      <c r="FJB44" s="184"/>
      <c r="FJC44" s="184"/>
      <c r="FJD44" s="184"/>
      <c r="FJE44" s="184"/>
      <c r="FJF44" s="184"/>
      <c r="FJG44" s="184"/>
      <c r="FJH44" s="184"/>
      <c r="FJI44" s="184"/>
      <c r="FJJ44" s="184"/>
      <c r="FJK44" s="184"/>
      <c r="FJL44" s="184"/>
      <c r="FJM44" s="184"/>
      <c r="FJN44" s="184"/>
      <c r="FJO44" s="184"/>
      <c r="FJP44" s="184"/>
      <c r="FJQ44" s="184"/>
      <c r="FJR44" s="184"/>
      <c r="FJS44" s="184"/>
      <c r="FJT44" s="184"/>
      <c r="FJU44" s="184"/>
      <c r="FJV44" s="184"/>
      <c r="FJW44" s="184"/>
      <c r="FJX44" s="184"/>
      <c r="FJY44" s="184"/>
      <c r="FJZ44" s="184"/>
      <c r="FKA44" s="184"/>
      <c r="FKB44" s="184"/>
      <c r="FKC44" s="184"/>
      <c r="FKD44" s="184"/>
      <c r="FKE44" s="184"/>
      <c r="FKF44" s="184"/>
      <c r="FKG44" s="184"/>
      <c r="FKH44" s="184"/>
      <c r="FKI44" s="184"/>
      <c r="FKJ44" s="184"/>
      <c r="FKK44" s="184"/>
      <c r="FKL44" s="184"/>
      <c r="FKM44" s="184"/>
      <c r="FKN44" s="184"/>
      <c r="FLA44" s="215"/>
      <c r="FLB44" s="202"/>
      <c r="FLC44" s="203"/>
      <c r="FLD44" s="203"/>
      <c r="FLE44" s="203"/>
      <c r="FLF44" s="204"/>
      <c r="FLG44" s="200"/>
      <c r="FLH44" s="227"/>
      <c r="FLI44" s="184"/>
      <c r="FLJ44" s="184"/>
      <c r="FLK44" s="184"/>
      <c r="FLL44" s="184"/>
      <c r="FLM44" s="184"/>
      <c r="FLN44" s="184"/>
      <c r="FLO44" s="184"/>
      <c r="FLP44" s="184"/>
      <c r="FLQ44" s="184"/>
      <c r="FLR44" s="184"/>
      <c r="FLS44" s="184"/>
      <c r="FLT44" s="184"/>
      <c r="FLU44" s="184"/>
      <c r="FLV44" s="184"/>
      <c r="FLW44" s="184"/>
      <c r="FLX44" s="184"/>
      <c r="FLY44" s="184"/>
      <c r="FLZ44" s="184"/>
      <c r="FMA44" s="184"/>
      <c r="FMB44" s="184"/>
      <c r="FMC44" s="184"/>
      <c r="FMD44" s="184"/>
      <c r="FME44" s="184"/>
      <c r="FMF44" s="184"/>
      <c r="FMG44" s="184"/>
      <c r="FMH44" s="184"/>
      <c r="FMI44" s="184"/>
      <c r="FMJ44" s="184"/>
      <c r="FMK44" s="184"/>
      <c r="FML44" s="184"/>
      <c r="FMM44" s="184"/>
      <c r="FMN44" s="184"/>
      <c r="FMO44" s="184"/>
      <c r="FMP44" s="184"/>
      <c r="FMQ44" s="184"/>
      <c r="FMR44" s="184"/>
      <c r="FMS44" s="184"/>
      <c r="FMT44" s="184"/>
      <c r="FMU44" s="184"/>
      <c r="FMV44" s="184"/>
      <c r="FMW44" s="184"/>
      <c r="FMX44" s="184"/>
      <c r="FMY44" s="184"/>
      <c r="FMZ44" s="184"/>
      <c r="FNA44" s="184"/>
      <c r="FNB44" s="184"/>
      <c r="FNC44" s="184"/>
      <c r="FND44" s="184"/>
      <c r="FNE44" s="184"/>
      <c r="FNF44" s="184"/>
      <c r="FNG44" s="184"/>
      <c r="FNH44" s="184"/>
      <c r="FNI44" s="184"/>
      <c r="FNJ44" s="184"/>
      <c r="FNK44" s="184"/>
      <c r="FNL44" s="184"/>
      <c r="FNM44" s="184"/>
      <c r="FNN44" s="184"/>
      <c r="FNO44" s="184"/>
      <c r="FNP44" s="184"/>
      <c r="FNQ44" s="184"/>
      <c r="FNR44" s="184"/>
      <c r="FNS44" s="184"/>
      <c r="FNT44" s="184"/>
      <c r="FOG44" s="215"/>
      <c r="FOH44" s="202"/>
      <c r="FOI44" s="203"/>
      <c r="FOJ44" s="203"/>
      <c r="FOK44" s="203"/>
      <c r="FOL44" s="204"/>
      <c r="FOM44" s="200"/>
      <c r="FON44" s="227"/>
      <c r="FOO44" s="184"/>
      <c r="FOP44" s="184"/>
      <c r="FOQ44" s="184"/>
      <c r="FOR44" s="184"/>
      <c r="FOS44" s="184"/>
      <c r="FOT44" s="184"/>
      <c r="FOU44" s="184"/>
      <c r="FOV44" s="184"/>
      <c r="FOW44" s="184"/>
      <c r="FOX44" s="184"/>
      <c r="FOY44" s="184"/>
      <c r="FOZ44" s="184"/>
      <c r="FPA44" s="184"/>
      <c r="FPB44" s="184"/>
      <c r="FPC44" s="184"/>
      <c r="FPD44" s="184"/>
      <c r="FPE44" s="184"/>
      <c r="FPF44" s="184"/>
      <c r="FPG44" s="184"/>
      <c r="FPH44" s="184"/>
      <c r="FPI44" s="184"/>
      <c r="FPJ44" s="184"/>
      <c r="FPK44" s="184"/>
      <c r="FPL44" s="184"/>
      <c r="FPM44" s="184"/>
      <c r="FPN44" s="184"/>
      <c r="FPO44" s="184"/>
      <c r="FPP44" s="184"/>
      <c r="FPQ44" s="184"/>
      <c r="FPR44" s="184"/>
      <c r="FPS44" s="184"/>
      <c r="FPT44" s="184"/>
      <c r="FPU44" s="184"/>
      <c r="FPV44" s="184"/>
      <c r="FPW44" s="184"/>
      <c r="FPX44" s="184"/>
      <c r="FPY44" s="184"/>
      <c r="FPZ44" s="184"/>
      <c r="FQA44" s="184"/>
      <c r="FQB44" s="184"/>
      <c r="FQC44" s="184"/>
      <c r="FQD44" s="184"/>
      <c r="FQE44" s="184"/>
      <c r="FQF44" s="184"/>
      <c r="FQG44" s="184"/>
      <c r="FQH44" s="184"/>
      <c r="FQI44" s="184"/>
      <c r="FQJ44" s="184"/>
      <c r="FQK44" s="184"/>
      <c r="FQL44" s="184"/>
      <c r="FQM44" s="184"/>
      <c r="FQN44" s="184"/>
      <c r="FQO44" s="184"/>
      <c r="FQP44" s="184"/>
      <c r="FQQ44" s="184"/>
      <c r="FQR44" s="184"/>
      <c r="FQS44" s="184"/>
      <c r="FQT44" s="184"/>
      <c r="FQU44" s="184"/>
      <c r="FQV44" s="184"/>
      <c r="FQW44" s="184"/>
      <c r="FQX44" s="184"/>
      <c r="FQY44" s="184"/>
      <c r="FQZ44" s="184"/>
      <c r="FRM44" s="215"/>
      <c r="FRN44" s="202"/>
      <c r="FRO44" s="203"/>
      <c r="FRP44" s="203"/>
      <c r="FRQ44" s="203"/>
      <c r="FRR44" s="204"/>
      <c r="FRS44" s="200"/>
      <c r="FRT44" s="227"/>
      <c r="FRU44" s="184"/>
      <c r="FRV44" s="184"/>
      <c r="FRW44" s="184"/>
      <c r="FRX44" s="184"/>
      <c r="FRY44" s="184"/>
      <c r="FRZ44" s="184"/>
      <c r="FSA44" s="184"/>
      <c r="FSB44" s="184"/>
      <c r="FSC44" s="184"/>
      <c r="FSD44" s="184"/>
      <c r="FSE44" s="184"/>
      <c r="FSF44" s="184"/>
      <c r="FSG44" s="184"/>
      <c r="FSH44" s="184"/>
      <c r="FSI44" s="184"/>
      <c r="FSJ44" s="184"/>
      <c r="FSK44" s="184"/>
      <c r="FSL44" s="184"/>
      <c r="FSM44" s="184"/>
      <c r="FSN44" s="184"/>
      <c r="FSO44" s="184"/>
      <c r="FSP44" s="184"/>
      <c r="FSQ44" s="184"/>
      <c r="FSR44" s="184"/>
      <c r="FSS44" s="184"/>
      <c r="FST44" s="184"/>
      <c r="FSU44" s="184"/>
      <c r="FSV44" s="184"/>
      <c r="FSW44" s="184"/>
      <c r="FSX44" s="184"/>
      <c r="FSY44" s="184"/>
      <c r="FSZ44" s="184"/>
      <c r="FTA44" s="184"/>
      <c r="FTB44" s="184"/>
      <c r="FTC44" s="184"/>
      <c r="FTD44" s="184"/>
      <c r="FTE44" s="184"/>
      <c r="FTF44" s="184"/>
      <c r="FTG44" s="184"/>
      <c r="FTH44" s="184"/>
      <c r="FTI44" s="184"/>
      <c r="FTJ44" s="184"/>
      <c r="FTK44" s="184"/>
      <c r="FTL44" s="184"/>
      <c r="FTM44" s="184"/>
      <c r="FTN44" s="184"/>
      <c r="FTO44" s="184"/>
      <c r="FTP44" s="184"/>
      <c r="FTQ44" s="184"/>
      <c r="FTR44" s="184"/>
      <c r="FTS44" s="184"/>
      <c r="FTT44" s="184"/>
      <c r="FTU44" s="184"/>
      <c r="FTV44" s="184"/>
      <c r="FTW44" s="184"/>
      <c r="FTX44" s="184"/>
      <c r="FTY44" s="184"/>
      <c r="FTZ44" s="184"/>
      <c r="FUA44" s="184"/>
      <c r="FUB44" s="184"/>
      <c r="FUC44" s="184"/>
      <c r="FUD44" s="184"/>
      <c r="FUE44" s="184"/>
      <c r="FUF44" s="184"/>
      <c r="FUS44" s="215"/>
      <c r="FUT44" s="202"/>
      <c r="FUU44" s="203"/>
      <c r="FUV44" s="203"/>
      <c r="FUW44" s="203"/>
      <c r="FUX44" s="204"/>
      <c r="FUY44" s="200"/>
      <c r="FUZ44" s="227"/>
      <c r="FVA44" s="184"/>
      <c r="FVB44" s="184"/>
      <c r="FVC44" s="184"/>
      <c r="FVD44" s="184"/>
      <c r="FVE44" s="184"/>
      <c r="FVF44" s="184"/>
      <c r="FVG44" s="184"/>
      <c r="FVH44" s="184"/>
      <c r="FVI44" s="184"/>
      <c r="FVJ44" s="184"/>
      <c r="FVK44" s="184"/>
      <c r="FVL44" s="184"/>
      <c r="FVM44" s="184"/>
      <c r="FVN44" s="184"/>
      <c r="FVO44" s="184"/>
      <c r="FVP44" s="184"/>
      <c r="FVQ44" s="184"/>
      <c r="FVR44" s="184"/>
      <c r="FVS44" s="184"/>
      <c r="FVT44" s="184"/>
      <c r="FVU44" s="184"/>
      <c r="FVV44" s="184"/>
      <c r="FVW44" s="184"/>
      <c r="FVX44" s="184"/>
      <c r="FVY44" s="184"/>
      <c r="FVZ44" s="184"/>
      <c r="FWA44" s="184"/>
      <c r="FWB44" s="184"/>
      <c r="FWC44" s="184"/>
      <c r="FWD44" s="184"/>
      <c r="FWE44" s="184"/>
      <c r="FWF44" s="184"/>
      <c r="FWG44" s="184"/>
      <c r="FWH44" s="184"/>
      <c r="FWI44" s="184"/>
      <c r="FWJ44" s="184"/>
      <c r="FWK44" s="184"/>
      <c r="FWL44" s="184"/>
      <c r="FWM44" s="184"/>
      <c r="FWN44" s="184"/>
      <c r="FWO44" s="184"/>
      <c r="FWP44" s="184"/>
      <c r="FWQ44" s="184"/>
      <c r="FWR44" s="184"/>
      <c r="FWS44" s="184"/>
      <c r="FWT44" s="184"/>
      <c r="FWU44" s="184"/>
      <c r="FWV44" s="184"/>
      <c r="FWW44" s="184"/>
      <c r="FWX44" s="184"/>
      <c r="FWY44" s="184"/>
      <c r="FWZ44" s="184"/>
      <c r="FXA44" s="184"/>
      <c r="FXB44" s="184"/>
      <c r="FXC44" s="184"/>
      <c r="FXD44" s="184"/>
      <c r="FXE44" s="184"/>
      <c r="FXF44" s="184"/>
      <c r="FXG44" s="184"/>
      <c r="FXH44" s="184"/>
      <c r="FXI44" s="184"/>
      <c r="FXJ44" s="184"/>
      <c r="FXK44" s="184"/>
      <c r="FXL44" s="184"/>
      <c r="FXY44" s="215"/>
      <c r="FXZ44" s="202"/>
      <c r="FYA44" s="203"/>
      <c r="FYB44" s="203"/>
      <c r="FYC44" s="203"/>
      <c r="FYD44" s="204"/>
      <c r="FYE44" s="200"/>
      <c r="FYF44" s="227"/>
      <c r="FYG44" s="184"/>
      <c r="FYH44" s="184"/>
      <c r="FYI44" s="184"/>
      <c r="FYJ44" s="184"/>
      <c r="FYK44" s="184"/>
      <c r="FYL44" s="184"/>
      <c r="FYM44" s="184"/>
      <c r="FYN44" s="184"/>
      <c r="FYO44" s="184"/>
      <c r="FYP44" s="184"/>
      <c r="FYQ44" s="184"/>
      <c r="FYR44" s="184"/>
      <c r="FYS44" s="184"/>
      <c r="FYT44" s="184"/>
      <c r="FYU44" s="184"/>
      <c r="FYV44" s="184"/>
      <c r="FYW44" s="184"/>
      <c r="FYX44" s="184"/>
      <c r="FYY44" s="184"/>
      <c r="FYZ44" s="184"/>
      <c r="FZA44" s="184"/>
      <c r="FZB44" s="184"/>
      <c r="FZC44" s="184"/>
      <c r="FZD44" s="184"/>
      <c r="FZE44" s="184"/>
      <c r="FZF44" s="184"/>
      <c r="FZG44" s="184"/>
      <c r="FZH44" s="184"/>
      <c r="FZI44" s="184"/>
      <c r="FZJ44" s="184"/>
      <c r="FZK44" s="184"/>
      <c r="FZL44" s="184"/>
      <c r="FZM44" s="184"/>
      <c r="FZN44" s="184"/>
      <c r="FZO44" s="184"/>
      <c r="FZP44" s="184"/>
      <c r="FZQ44" s="184"/>
      <c r="FZR44" s="184"/>
      <c r="FZS44" s="184"/>
      <c r="FZT44" s="184"/>
      <c r="FZU44" s="184"/>
      <c r="FZV44" s="184"/>
      <c r="FZW44" s="184"/>
      <c r="FZX44" s="184"/>
      <c r="FZY44" s="184"/>
      <c r="FZZ44" s="184"/>
      <c r="GAA44" s="184"/>
      <c r="GAB44" s="184"/>
      <c r="GAC44" s="184"/>
      <c r="GAD44" s="184"/>
      <c r="GAE44" s="184"/>
      <c r="GAF44" s="184"/>
      <c r="GAG44" s="184"/>
      <c r="GAH44" s="184"/>
      <c r="GAI44" s="184"/>
      <c r="GAJ44" s="184"/>
      <c r="GAK44" s="184"/>
      <c r="GAL44" s="184"/>
      <c r="GAM44" s="184"/>
      <c r="GAN44" s="184"/>
      <c r="GAO44" s="184"/>
      <c r="GAP44" s="184"/>
      <c r="GAQ44" s="184"/>
      <c r="GAR44" s="184"/>
      <c r="GBE44" s="215"/>
      <c r="GBF44" s="202"/>
      <c r="GBG44" s="203"/>
      <c r="GBH44" s="203"/>
      <c r="GBI44" s="203"/>
      <c r="GBJ44" s="204"/>
      <c r="GBK44" s="200"/>
      <c r="GBL44" s="227"/>
      <c r="GBM44" s="184"/>
      <c r="GBN44" s="184"/>
      <c r="GBO44" s="184"/>
      <c r="GBP44" s="184"/>
      <c r="GBQ44" s="184"/>
      <c r="GBR44" s="184"/>
      <c r="GBS44" s="184"/>
      <c r="GBT44" s="184"/>
      <c r="GBU44" s="184"/>
      <c r="GBV44" s="184"/>
      <c r="GBW44" s="184"/>
      <c r="GBX44" s="184"/>
      <c r="GBY44" s="184"/>
      <c r="GBZ44" s="184"/>
      <c r="GCA44" s="184"/>
      <c r="GCB44" s="184"/>
      <c r="GCC44" s="184"/>
      <c r="GCD44" s="184"/>
      <c r="GCE44" s="184"/>
      <c r="GCF44" s="184"/>
      <c r="GCG44" s="184"/>
      <c r="GCH44" s="184"/>
      <c r="GCI44" s="184"/>
      <c r="GCJ44" s="184"/>
      <c r="GCK44" s="184"/>
      <c r="GCL44" s="184"/>
      <c r="GCM44" s="184"/>
      <c r="GCN44" s="184"/>
      <c r="GCO44" s="184"/>
      <c r="GCP44" s="184"/>
      <c r="GCQ44" s="184"/>
      <c r="GCR44" s="184"/>
      <c r="GCS44" s="184"/>
      <c r="GCT44" s="184"/>
      <c r="GCU44" s="184"/>
      <c r="GCV44" s="184"/>
      <c r="GCW44" s="184"/>
      <c r="GCX44" s="184"/>
      <c r="GCY44" s="184"/>
      <c r="GCZ44" s="184"/>
      <c r="GDA44" s="184"/>
      <c r="GDB44" s="184"/>
      <c r="GDC44" s="184"/>
      <c r="GDD44" s="184"/>
      <c r="GDE44" s="184"/>
      <c r="GDF44" s="184"/>
      <c r="GDG44" s="184"/>
      <c r="GDH44" s="184"/>
      <c r="GDI44" s="184"/>
      <c r="GDJ44" s="184"/>
      <c r="GDK44" s="184"/>
      <c r="GDL44" s="184"/>
      <c r="GDM44" s="184"/>
      <c r="GDN44" s="184"/>
      <c r="GDO44" s="184"/>
      <c r="GDP44" s="184"/>
      <c r="GDQ44" s="184"/>
      <c r="GDR44" s="184"/>
      <c r="GDS44" s="184"/>
      <c r="GDT44" s="184"/>
      <c r="GDU44" s="184"/>
      <c r="GDV44" s="184"/>
      <c r="GDW44" s="184"/>
      <c r="GDX44" s="184"/>
      <c r="GEK44" s="215"/>
      <c r="GEL44" s="202"/>
      <c r="GEM44" s="203"/>
      <c r="GEN44" s="203"/>
      <c r="GEO44" s="203"/>
      <c r="GEP44" s="204"/>
      <c r="GEQ44" s="200"/>
      <c r="GER44" s="227"/>
      <c r="GES44" s="184"/>
      <c r="GET44" s="184"/>
      <c r="GEU44" s="184"/>
      <c r="GEV44" s="184"/>
      <c r="GEW44" s="184"/>
      <c r="GEX44" s="184"/>
      <c r="GEY44" s="184"/>
      <c r="GEZ44" s="184"/>
      <c r="GFA44" s="184"/>
      <c r="GFB44" s="184"/>
      <c r="GFC44" s="184"/>
      <c r="GFD44" s="184"/>
      <c r="GFE44" s="184"/>
      <c r="GFF44" s="184"/>
      <c r="GFG44" s="184"/>
      <c r="GFH44" s="184"/>
      <c r="GFI44" s="184"/>
      <c r="GFJ44" s="184"/>
      <c r="GFK44" s="184"/>
      <c r="GFL44" s="184"/>
      <c r="GFM44" s="184"/>
      <c r="GFN44" s="184"/>
      <c r="GFO44" s="184"/>
      <c r="GFP44" s="184"/>
      <c r="GFQ44" s="184"/>
      <c r="GFR44" s="184"/>
      <c r="GFS44" s="184"/>
      <c r="GFT44" s="184"/>
      <c r="GFU44" s="184"/>
      <c r="GFV44" s="184"/>
      <c r="GFW44" s="184"/>
      <c r="GFX44" s="184"/>
      <c r="GFY44" s="184"/>
      <c r="GFZ44" s="184"/>
      <c r="GGA44" s="184"/>
      <c r="GGB44" s="184"/>
      <c r="GGC44" s="184"/>
      <c r="GGD44" s="184"/>
      <c r="GGE44" s="184"/>
      <c r="GGF44" s="184"/>
      <c r="GGG44" s="184"/>
      <c r="GGH44" s="184"/>
      <c r="GGI44" s="184"/>
      <c r="GGJ44" s="184"/>
      <c r="GGK44" s="184"/>
      <c r="GGL44" s="184"/>
      <c r="GGM44" s="184"/>
      <c r="GGN44" s="184"/>
      <c r="GGO44" s="184"/>
      <c r="GGP44" s="184"/>
      <c r="GGQ44" s="184"/>
      <c r="GGR44" s="184"/>
      <c r="GGS44" s="184"/>
      <c r="GGT44" s="184"/>
      <c r="GGU44" s="184"/>
      <c r="GGV44" s="184"/>
      <c r="GGW44" s="184"/>
      <c r="GGX44" s="184"/>
      <c r="GGY44" s="184"/>
      <c r="GGZ44" s="184"/>
      <c r="GHA44" s="184"/>
      <c r="GHB44" s="184"/>
      <c r="GHC44" s="184"/>
      <c r="GHD44" s="184"/>
      <c r="GHQ44" s="215"/>
      <c r="GHR44" s="202"/>
      <c r="GHS44" s="203"/>
      <c r="GHT44" s="203"/>
      <c r="GHU44" s="203"/>
      <c r="GHV44" s="204"/>
      <c r="GHW44" s="200"/>
      <c r="GHX44" s="227"/>
      <c r="GHY44" s="184"/>
      <c r="GHZ44" s="184"/>
      <c r="GIA44" s="184"/>
      <c r="GIB44" s="184"/>
      <c r="GIC44" s="184"/>
      <c r="GID44" s="184"/>
      <c r="GIE44" s="184"/>
      <c r="GIF44" s="184"/>
      <c r="GIG44" s="184"/>
      <c r="GIH44" s="184"/>
      <c r="GII44" s="184"/>
      <c r="GIJ44" s="184"/>
      <c r="GIK44" s="184"/>
      <c r="GIL44" s="184"/>
      <c r="GIM44" s="184"/>
      <c r="GIN44" s="184"/>
      <c r="GIO44" s="184"/>
      <c r="GIP44" s="184"/>
      <c r="GIQ44" s="184"/>
      <c r="GIR44" s="184"/>
      <c r="GIS44" s="184"/>
      <c r="GIT44" s="184"/>
      <c r="GIU44" s="184"/>
      <c r="GIV44" s="184"/>
      <c r="GIW44" s="184"/>
      <c r="GIX44" s="184"/>
      <c r="GIY44" s="184"/>
      <c r="GIZ44" s="184"/>
      <c r="GJA44" s="184"/>
      <c r="GJB44" s="184"/>
      <c r="GJC44" s="184"/>
      <c r="GJD44" s="184"/>
      <c r="GJE44" s="184"/>
      <c r="GJF44" s="184"/>
      <c r="GJG44" s="184"/>
      <c r="GJH44" s="184"/>
      <c r="GJI44" s="184"/>
      <c r="GJJ44" s="184"/>
      <c r="GJK44" s="184"/>
      <c r="GJL44" s="184"/>
      <c r="GJM44" s="184"/>
      <c r="GJN44" s="184"/>
      <c r="GJO44" s="184"/>
      <c r="GJP44" s="184"/>
      <c r="GJQ44" s="184"/>
      <c r="GJR44" s="184"/>
      <c r="GJS44" s="184"/>
      <c r="GJT44" s="184"/>
      <c r="GJU44" s="184"/>
      <c r="GJV44" s="184"/>
      <c r="GJW44" s="184"/>
      <c r="GJX44" s="184"/>
      <c r="GJY44" s="184"/>
      <c r="GJZ44" s="184"/>
      <c r="GKA44" s="184"/>
      <c r="GKB44" s="184"/>
      <c r="GKC44" s="184"/>
      <c r="GKD44" s="184"/>
      <c r="GKE44" s="184"/>
      <c r="GKF44" s="184"/>
      <c r="GKG44" s="184"/>
      <c r="GKH44" s="184"/>
      <c r="GKI44" s="184"/>
      <c r="GKJ44" s="184"/>
      <c r="GKW44" s="215"/>
      <c r="GKX44" s="202"/>
      <c r="GKY44" s="203"/>
      <c r="GKZ44" s="203"/>
      <c r="GLA44" s="203"/>
      <c r="GLB44" s="204"/>
      <c r="GLC44" s="200"/>
      <c r="GLD44" s="227"/>
      <c r="GLE44" s="184"/>
      <c r="GLF44" s="184"/>
      <c r="GLG44" s="184"/>
      <c r="GLH44" s="184"/>
      <c r="GLI44" s="184"/>
      <c r="GLJ44" s="184"/>
      <c r="GLK44" s="184"/>
      <c r="GLL44" s="184"/>
      <c r="GLM44" s="184"/>
      <c r="GLN44" s="184"/>
      <c r="GLO44" s="184"/>
      <c r="GLP44" s="184"/>
      <c r="GLQ44" s="184"/>
      <c r="GLR44" s="184"/>
      <c r="GLS44" s="184"/>
      <c r="GLT44" s="184"/>
      <c r="GLU44" s="184"/>
      <c r="GLV44" s="184"/>
      <c r="GLW44" s="184"/>
      <c r="GLX44" s="184"/>
      <c r="GLY44" s="184"/>
      <c r="GLZ44" s="184"/>
      <c r="GMA44" s="184"/>
      <c r="GMB44" s="184"/>
      <c r="GMC44" s="184"/>
      <c r="GMD44" s="184"/>
      <c r="GME44" s="184"/>
      <c r="GMF44" s="184"/>
      <c r="GMG44" s="184"/>
      <c r="GMH44" s="184"/>
      <c r="GMI44" s="184"/>
      <c r="GMJ44" s="184"/>
      <c r="GMK44" s="184"/>
      <c r="GML44" s="184"/>
      <c r="GMM44" s="184"/>
      <c r="GMN44" s="184"/>
      <c r="GMO44" s="184"/>
      <c r="GMP44" s="184"/>
      <c r="GMQ44" s="184"/>
      <c r="GMR44" s="184"/>
      <c r="GMS44" s="184"/>
      <c r="GMT44" s="184"/>
      <c r="GMU44" s="184"/>
      <c r="GMV44" s="184"/>
      <c r="GMW44" s="184"/>
      <c r="GMX44" s="184"/>
      <c r="GMY44" s="184"/>
      <c r="GMZ44" s="184"/>
      <c r="GNA44" s="184"/>
      <c r="GNB44" s="184"/>
      <c r="GNC44" s="184"/>
      <c r="GND44" s="184"/>
      <c r="GNE44" s="184"/>
      <c r="GNF44" s="184"/>
      <c r="GNG44" s="184"/>
      <c r="GNH44" s="184"/>
      <c r="GNI44" s="184"/>
      <c r="GNJ44" s="184"/>
      <c r="GNK44" s="184"/>
      <c r="GNL44" s="184"/>
      <c r="GNM44" s="184"/>
      <c r="GNN44" s="184"/>
      <c r="GNO44" s="184"/>
      <c r="GNP44" s="184"/>
      <c r="GOC44" s="215"/>
      <c r="GOD44" s="202"/>
      <c r="GOE44" s="203"/>
      <c r="GOF44" s="203"/>
      <c r="GOG44" s="203"/>
      <c r="GOH44" s="204"/>
      <c r="GOI44" s="200"/>
      <c r="GOJ44" s="227"/>
      <c r="GOK44" s="184"/>
      <c r="GOL44" s="184"/>
      <c r="GOM44" s="184"/>
      <c r="GON44" s="184"/>
      <c r="GOO44" s="184"/>
      <c r="GOP44" s="184"/>
      <c r="GOQ44" s="184"/>
      <c r="GOR44" s="184"/>
      <c r="GOS44" s="184"/>
      <c r="GOT44" s="184"/>
      <c r="GOU44" s="184"/>
      <c r="GOV44" s="184"/>
      <c r="GOW44" s="184"/>
      <c r="GOX44" s="184"/>
      <c r="GOY44" s="184"/>
      <c r="GOZ44" s="184"/>
      <c r="GPA44" s="184"/>
      <c r="GPB44" s="184"/>
      <c r="GPC44" s="184"/>
      <c r="GPD44" s="184"/>
      <c r="GPE44" s="184"/>
      <c r="GPF44" s="184"/>
      <c r="GPG44" s="184"/>
      <c r="GPH44" s="184"/>
      <c r="GPI44" s="184"/>
      <c r="GPJ44" s="184"/>
      <c r="GPK44" s="184"/>
      <c r="GPL44" s="184"/>
      <c r="GPM44" s="184"/>
      <c r="GPN44" s="184"/>
      <c r="GPO44" s="184"/>
      <c r="GPP44" s="184"/>
      <c r="GPQ44" s="184"/>
      <c r="GPR44" s="184"/>
      <c r="GPS44" s="184"/>
      <c r="GPT44" s="184"/>
      <c r="GPU44" s="184"/>
      <c r="GPV44" s="184"/>
      <c r="GPW44" s="184"/>
      <c r="GPX44" s="184"/>
      <c r="GPY44" s="184"/>
      <c r="GPZ44" s="184"/>
      <c r="GQA44" s="184"/>
      <c r="GQB44" s="184"/>
      <c r="GQC44" s="184"/>
      <c r="GQD44" s="184"/>
      <c r="GQE44" s="184"/>
      <c r="GQF44" s="184"/>
      <c r="GQG44" s="184"/>
      <c r="GQH44" s="184"/>
      <c r="GQI44" s="184"/>
      <c r="GQJ44" s="184"/>
      <c r="GQK44" s="184"/>
      <c r="GQL44" s="184"/>
      <c r="GQM44" s="184"/>
      <c r="GQN44" s="184"/>
      <c r="GQO44" s="184"/>
      <c r="GQP44" s="184"/>
      <c r="GQQ44" s="184"/>
      <c r="GQR44" s="184"/>
      <c r="GQS44" s="184"/>
      <c r="GQT44" s="184"/>
      <c r="GQU44" s="184"/>
      <c r="GQV44" s="184"/>
      <c r="GRI44" s="215"/>
      <c r="GRJ44" s="202"/>
      <c r="GRK44" s="203"/>
      <c r="GRL44" s="203"/>
      <c r="GRM44" s="203"/>
      <c r="GRN44" s="204"/>
      <c r="GRO44" s="200"/>
      <c r="GRP44" s="227"/>
      <c r="GRQ44" s="184"/>
      <c r="GRR44" s="184"/>
      <c r="GRS44" s="184"/>
      <c r="GRT44" s="184"/>
      <c r="GRU44" s="184"/>
      <c r="GRV44" s="184"/>
      <c r="GRW44" s="184"/>
      <c r="GRX44" s="184"/>
      <c r="GRY44" s="184"/>
      <c r="GRZ44" s="184"/>
      <c r="GSA44" s="184"/>
      <c r="GSB44" s="184"/>
      <c r="GSC44" s="184"/>
      <c r="GSD44" s="184"/>
      <c r="GSE44" s="184"/>
      <c r="GSF44" s="184"/>
      <c r="GSG44" s="184"/>
      <c r="GSH44" s="184"/>
      <c r="GSI44" s="184"/>
      <c r="GSJ44" s="184"/>
      <c r="GSK44" s="184"/>
      <c r="GSL44" s="184"/>
      <c r="GSM44" s="184"/>
      <c r="GSN44" s="184"/>
      <c r="GSO44" s="184"/>
      <c r="GSP44" s="184"/>
      <c r="GSQ44" s="184"/>
      <c r="GSR44" s="184"/>
      <c r="GSS44" s="184"/>
      <c r="GST44" s="184"/>
      <c r="GSU44" s="184"/>
      <c r="GSV44" s="184"/>
      <c r="GSW44" s="184"/>
      <c r="GSX44" s="184"/>
      <c r="GSY44" s="184"/>
      <c r="GSZ44" s="184"/>
      <c r="GTA44" s="184"/>
      <c r="GTB44" s="184"/>
      <c r="GTC44" s="184"/>
      <c r="GTD44" s="184"/>
      <c r="GTE44" s="184"/>
      <c r="GTF44" s="184"/>
      <c r="GTG44" s="184"/>
      <c r="GTH44" s="184"/>
      <c r="GTI44" s="184"/>
      <c r="GTJ44" s="184"/>
      <c r="GTK44" s="184"/>
      <c r="GTL44" s="184"/>
      <c r="GTM44" s="184"/>
      <c r="GTN44" s="184"/>
      <c r="GTO44" s="184"/>
      <c r="GTP44" s="184"/>
      <c r="GTQ44" s="184"/>
      <c r="GTR44" s="184"/>
      <c r="GTS44" s="184"/>
      <c r="GTT44" s="184"/>
      <c r="GTU44" s="184"/>
      <c r="GTV44" s="184"/>
      <c r="GTW44" s="184"/>
      <c r="GTX44" s="184"/>
      <c r="GTY44" s="184"/>
      <c r="GTZ44" s="184"/>
      <c r="GUA44" s="184"/>
      <c r="GUB44" s="184"/>
      <c r="GUO44" s="215"/>
      <c r="GUP44" s="202"/>
      <c r="GUQ44" s="203"/>
      <c r="GUR44" s="203"/>
      <c r="GUS44" s="203"/>
      <c r="GUT44" s="204"/>
      <c r="GUU44" s="200"/>
      <c r="GUV44" s="227"/>
      <c r="GUW44" s="184"/>
      <c r="GUX44" s="184"/>
      <c r="GUY44" s="184"/>
      <c r="GUZ44" s="184"/>
      <c r="GVA44" s="184"/>
      <c r="GVB44" s="184"/>
      <c r="GVC44" s="184"/>
      <c r="GVD44" s="184"/>
      <c r="GVE44" s="184"/>
      <c r="GVF44" s="184"/>
      <c r="GVG44" s="184"/>
      <c r="GVH44" s="184"/>
      <c r="GVI44" s="184"/>
      <c r="GVJ44" s="184"/>
      <c r="GVK44" s="184"/>
      <c r="GVL44" s="184"/>
      <c r="GVM44" s="184"/>
      <c r="GVN44" s="184"/>
      <c r="GVO44" s="184"/>
      <c r="GVP44" s="184"/>
      <c r="GVQ44" s="184"/>
      <c r="GVR44" s="184"/>
      <c r="GVS44" s="184"/>
      <c r="GVT44" s="184"/>
      <c r="GVU44" s="184"/>
      <c r="GVV44" s="184"/>
      <c r="GVW44" s="184"/>
      <c r="GVX44" s="184"/>
      <c r="GVY44" s="184"/>
      <c r="GVZ44" s="184"/>
      <c r="GWA44" s="184"/>
      <c r="GWB44" s="184"/>
      <c r="GWC44" s="184"/>
      <c r="GWD44" s="184"/>
      <c r="GWE44" s="184"/>
      <c r="GWF44" s="184"/>
      <c r="GWG44" s="184"/>
      <c r="GWH44" s="184"/>
      <c r="GWI44" s="184"/>
      <c r="GWJ44" s="184"/>
      <c r="GWK44" s="184"/>
      <c r="GWL44" s="184"/>
      <c r="GWM44" s="184"/>
      <c r="GWN44" s="184"/>
      <c r="GWO44" s="184"/>
      <c r="GWP44" s="184"/>
      <c r="GWQ44" s="184"/>
      <c r="GWR44" s="184"/>
      <c r="GWS44" s="184"/>
      <c r="GWT44" s="184"/>
      <c r="GWU44" s="184"/>
      <c r="GWV44" s="184"/>
      <c r="GWW44" s="184"/>
      <c r="GWX44" s="184"/>
      <c r="GWY44" s="184"/>
      <c r="GWZ44" s="184"/>
      <c r="GXA44" s="184"/>
      <c r="GXB44" s="184"/>
      <c r="GXC44" s="184"/>
      <c r="GXD44" s="184"/>
      <c r="GXE44" s="184"/>
      <c r="GXF44" s="184"/>
      <c r="GXG44" s="184"/>
      <c r="GXH44" s="184"/>
      <c r="GXU44" s="215"/>
      <c r="GXV44" s="202"/>
      <c r="GXW44" s="203"/>
      <c r="GXX44" s="203"/>
      <c r="GXY44" s="203"/>
      <c r="GXZ44" s="204"/>
      <c r="GYA44" s="200"/>
      <c r="GYB44" s="227"/>
      <c r="GYC44" s="184"/>
      <c r="GYD44" s="184"/>
      <c r="GYE44" s="184"/>
      <c r="GYF44" s="184"/>
      <c r="GYG44" s="184"/>
      <c r="GYH44" s="184"/>
      <c r="GYI44" s="184"/>
      <c r="GYJ44" s="184"/>
      <c r="GYK44" s="184"/>
      <c r="GYL44" s="184"/>
      <c r="GYM44" s="184"/>
      <c r="GYN44" s="184"/>
      <c r="GYO44" s="184"/>
      <c r="GYP44" s="184"/>
      <c r="GYQ44" s="184"/>
      <c r="GYR44" s="184"/>
      <c r="GYS44" s="184"/>
      <c r="GYT44" s="184"/>
      <c r="GYU44" s="184"/>
      <c r="GYV44" s="184"/>
      <c r="GYW44" s="184"/>
      <c r="GYX44" s="184"/>
      <c r="GYY44" s="184"/>
      <c r="GYZ44" s="184"/>
      <c r="GZA44" s="184"/>
      <c r="GZB44" s="184"/>
      <c r="GZC44" s="184"/>
      <c r="GZD44" s="184"/>
      <c r="GZE44" s="184"/>
      <c r="GZF44" s="184"/>
      <c r="GZG44" s="184"/>
      <c r="GZH44" s="184"/>
      <c r="GZI44" s="184"/>
      <c r="GZJ44" s="184"/>
      <c r="GZK44" s="184"/>
      <c r="GZL44" s="184"/>
      <c r="GZM44" s="184"/>
      <c r="GZN44" s="184"/>
      <c r="GZO44" s="184"/>
      <c r="GZP44" s="184"/>
      <c r="GZQ44" s="184"/>
      <c r="GZR44" s="184"/>
      <c r="GZS44" s="184"/>
      <c r="GZT44" s="184"/>
      <c r="GZU44" s="184"/>
      <c r="GZV44" s="184"/>
      <c r="GZW44" s="184"/>
      <c r="GZX44" s="184"/>
      <c r="GZY44" s="184"/>
      <c r="GZZ44" s="184"/>
      <c r="HAA44" s="184"/>
      <c r="HAB44" s="184"/>
      <c r="HAC44" s="184"/>
      <c r="HAD44" s="184"/>
      <c r="HAE44" s="184"/>
      <c r="HAF44" s="184"/>
      <c r="HAG44" s="184"/>
      <c r="HAH44" s="184"/>
      <c r="HAI44" s="184"/>
      <c r="HAJ44" s="184"/>
      <c r="HAK44" s="184"/>
      <c r="HAL44" s="184"/>
      <c r="HAM44" s="184"/>
      <c r="HAN44" s="184"/>
      <c r="HBA44" s="215"/>
      <c r="HBB44" s="202"/>
      <c r="HBC44" s="203"/>
      <c r="HBD44" s="203"/>
      <c r="HBE44" s="203"/>
      <c r="HBF44" s="204"/>
      <c r="HBG44" s="200"/>
      <c r="HBH44" s="227"/>
      <c r="HBI44" s="184"/>
      <c r="HBJ44" s="184"/>
      <c r="HBK44" s="184"/>
      <c r="HBL44" s="184"/>
      <c r="HBM44" s="184"/>
      <c r="HBN44" s="184"/>
      <c r="HBO44" s="184"/>
      <c r="HBP44" s="184"/>
      <c r="HBQ44" s="184"/>
      <c r="HBR44" s="184"/>
      <c r="HBS44" s="184"/>
      <c r="HBT44" s="184"/>
      <c r="HBU44" s="184"/>
      <c r="HBV44" s="184"/>
      <c r="HBW44" s="184"/>
      <c r="HBX44" s="184"/>
      <c r="HBY44" s="184"/>
      <c r="HBZ44" s="184"/>
      <c r="HCA44" s="184"/>
      <c r="HCB44" s="184"/>
      <c r="HCC44" s="184"/>
      <c r="HCD44" s="184"/>
      <c r="HCE44" s="184"/>
      <c r="HCF44" s="184"/>
      <c r="HCG44" s="184"/>
      <c r="HCH44" s="184"/>
      <c r="HCI44" s="184"/>
      <c r="HCJ44" s="184"/>
      <c r="HCK44" s="184"/>
      <c r="HCL44" s="184"/>
      <c r="HCM44" s="184"/>
      <c r="HCN44" s="184"/>
      <c r="HCO44" s="184"/>
      <c r="HCP44" s="184"/>
      <c r="HCQ44" s="184"/>
      <c r="HCR44" s="184"/>
      <c r="HCS44" s="184"/>
      <c r="HCT44" s="184"/>
      <c r="HCU44" s="184"/>
      <c r="HCV44" s="184"/>
      <c r="HCW44" s="184"/>
      <c r="HCX44" s="184"/>
      <c r="HCY44" s="184"/>
      <c r="HCZ44" s="184"/>
      <c r="HDA44" s="184"/>
      <c r="HDB44" s="184"/>
      <c r="HDC44" s="184"/>
      <c r="HDD44" s="184"/>
      <c r="HDE44" s="184"/>
      <c r="HDF44" s="184"/>
      <c r="HDG44" s="184"/>
      <c r="HDH44" s="184"/>
      <c r="HDI44" s="184"/>
      <c r="HDJ44" s="184"/>
      <c r="HDK44" s="184"/>
      <c r="HDL44" s="184"/>
      <c r="HDM44" s="184"/>
      <c r="HDN44" s="184"/>
      <c r="HDO44" s="184"/>
      <c r="HDP44" s="184"/>
      <c r="HDQ44" s="184"/>
      <c r="HDR44" s="184"/>
      <c r="HDS44" s="184"/>
      <c r="HDT44" s="184"/>
      <c r="HEG44" s="215"/>
      <c r="HEH44" s="202"/>
      <c r="HEI44" s="203"/>
      <c r="HEJ44" s="203"/>
      <c r="HEK44" s="203"/>
      <c r="HEL44" s="204"/>
      <c r="HEM44" s="200"/>
      <c r="HEN44" s="227"/>
      <c r="HEO44" s="184"/>
      <c r="HEP44" s="184"/>
      <c r="HEQ44" s="184"/>
      <c r="HER44" s="184"/>
      <c r="HES44" s="184"/>
      <c r="HET44" s="184"/>
      <c r="HEU44" s="184"/>
      <c r="HEV44" s="184"/>
      <c r="HEW44" s="184"/>
      <c r="HEX44" s="184"/>
      <c r="HEY44" s="184"/>
      <c r="HEZ44" s="184"/>
      <c r="HFA44" s="184"/>
      <c r="HFB44" s="184"/>
      <c r="HFC44" s="184"/>
      <c r="HFD44" s="184"/>
      <c r="HFE44" s="184"/>
      <c r="HFF44" s="184"/>
      <c r="HFG44" s="184"/>
      <c r="HFH44" s="184"/>
      <c r="HFI44" s="184"/>
      <c r="HFJ44" s="184"/>
      <c r="HFK44" s="184"/>
      <c r="HFL44" s="184"/>
      <c r="HFM44" s="184"/>
      <c r="HFN44" s="184"/>
      <c r="HFO44" s="184"/>
      <c r="HFP44" s="184"/>
      <c r="HFQ44" s="184"/>
      <c r="HFR44" s="184"/>
      <c r="HFS44" s="184"/>
      <c r="HFT44" s="184"/>
      <c r="HFU44" s="184"/>
      <c r="HFV44" s="184"/>
      <c r="HFW44" s="184"/>
      <c r="HFX44" s="184"/>
      <c r="HFY44" s="184"/>
      <c r="HFZ44" s="184"/>
      <c r="HGA44" s="184"/>
      <c r="HGB44" s="184"/>
      <c r="HGC44" s="184"/>
      <c r="HGD44" s="184"/>
      <c r="HGE44" s="184"/>
      <c r="HGF44" s="184"/>
      <c r="HGG44" s="184"/>
      <c r="HGH44" s="184"/>
      <c r="HGI44" s="184"/>
      <c r="HGJ44" s="184"/>
      <c r="HGK44" s="184"/>
      <c r="HGL44" s="184"/>
      <c r="HGM44" s="184"/>
      <c r="HGN44" s="184"/>
      <c r="HGO44" s="184"/>
      <c r="HGP44" s="184"/>
      <c r="HGQ44" s="184"/>
      <c r="HGR44" s="184"/>
      <c r="HGS44" s="184"/>
      <c r="HGT44" s="184"/>
      <c r="HGU44" s="184"/>
      <c r="HGV44" s="184"/>
      <c r="HGW44" s="184"/>
      <c r="HGX44" s="184"/>
      <c r="HGY44" s="184"/>
      <c r="HGZ44" s="184"/>
      <c r="HHM44" s="215"/>
      <c r="HHN44" s="202"/>
      <c r="HHO44" s="203"/>
      <c r="HHP44" s="203"/>
      <c r="HHQ44" s="203"/>
      <c r="HHR44" s="204"/>
      <c r="HHS44" s="200"/>
      <c r="HHT44" s="227"/>
      <c r="HHU44" s="184"/>
      <c r="HHV44" s="184"/>
      <c r="HHW44" s="184"/>
      <c r="HHX44" s="184"/>
      <c r="HHY44" s="184"/>
      <c r="HHZ44" s="184"/>
      <c r="HIA44" s="184"/>
      <c r="HIB44" s="184"/>
      <c r="HIC44" s="184"/>
      <c r="HID44" s="184"/>
      <c r="HIE44" s="184"/>
      <c r="HIF44" s="184"/>
      <c r="HIG44" s="184"/>
      <c r="HIH44" s="184"/>
      <c r="HII44" s="184"/>
      <c r="HIJ44" s="184"/>
      <c r="HIK44" s="184"/>
      <c r="HIL44" s="184"/>
      <c r="HIM44" s="184"/>
      <c r="HIN44" s="184"/>
      <c r="HIO44" s="184"/>
      <c r="HIP44" s="184"/>
      <c r="HIQ44" s="184"/>
      <c r="HIR44" s="184"/>
      <c r="HIS44" s="184"/>
      <c r="HIT44" s="184"/>
      <c r="HIU44" s="184"/>
      <c r="HIV44" s="184"/>
      <c r="HIW44" s="184"/>
      <c r="HIX44" s="184"/>
      <c r="HIY44" s="184"/>
      <c r="HIZ44" s="184"/>
      <c r="HJA44" s="184"/>
      <c r="HJB44" s="184"/>
      <c r="HJC44" s="184"/>
      <c r="HJD44" s="184"/>
      <c r="HJE44" s="184"/>
      <c r="HJF44" s="184"/>
      <c r="HJG44" s="184"/>
      <c r="HJH44" s="184"/>
      <c r="HJI44" s="184"/>
      <c r="HJJ44" s="184"/>
      <c r="HJK44" s="184"/>
      <c r="HJL44" s="184"/>
      <c r="HJM44" s="184"/>
      <c r="HJN44" s="184"/>
      <c r="HJO44" s="184"/>
      <c r="HJP44" s="184"/>
      <c r="HJQ44" s="184"/>
      <c r="HJR44" s="184"/>
      <c r="HJS44" s="184"/>
      <c r="HJT44" s="184"/>
      <c r="HJU44" s="184"/>
      <c r="HJV44" s="184"/>
      <c r="HJW44" s="184"/>
      <c r="HJX44" s="184"/>
      <c r="HJY44" s="184"/>
      <c r="HJZ44" s="184"/>
      <c r="HKA44" s="184"/>
      <c r="HKB44" s="184"/>
      <c r="HKC44" s="184"/>
      <c r="HKD44" s="184"/>
      <c r="HKE44" s="184"/>
      <c r="HKF44" s="184"/>
      <c r="HKS44" s="215"/>
      <c r="HKT44" s="202"/>
      <c r="HKU44" s="203"/>
      <c r="HKV44" s="203"/>
      <c r="HKW44" s="203"/>
      <c r="HKX44" s="204"/>
      <c r="HKY44" s="200"/>
      <c r="HKZ44" s="227"/>
      <c r="HLA44" s="184"/>
      <c r="HLB44" s="184"/>
      <c r="HLC44" s="184"/>
      <c r="HLD44" s="184"/>
      <c r="HLE44" s="184"/>
      <c r="HLF44" s="184"/>
      <c r="HLG44" s="184"/>
      <c r="HLH44" s="184"/>
      <c r="HLI44" s="184"/>
      <c r="HLJ44" s="184"/>
      <c r="HLK44" s="184"/>
      <c r="HLL44" s="184"/>
      <c r="HLM44" s="184"/>
      <c r="HLN44" s="184"/>
      <c r="HLO44" s="184"/>
      <c r="HLP44" s="184"/>
      <c r="HLQ44" s="184"/>
      <c r="HLR44" s="184"/>
      <c r="HLS44" s="184"/>
      <c r="HLT44" s="184"/>
      <c r="HLU44" s="184"/>
      <c r="HLV44" s="184"/>
      <c r="HLW44" s="184"/>
      <c r="HLX44" s="184"/>
      <c r="HLY44" s="184"/>
      <c r="HLZ44" s="184"/>
      <c r="HMA44" s="184"/>
      <c r="HMB44" s="184"/>
      <c r="HMC44" s="184"/>
      <c r="HMD44" s="184"/>
      <c r="HME44" s="184"/>
      <c r="HMF44" s="184"/>
      <c r="HMG44" s="184"/>
      <c r="HMH44" s="184"/>
      <c r="HMI44" s="184"/>
      <c r="HMJ44" s="184"/>
      <c r="HMK44" s="184"/>
      <c r="HML44" s="184"/>
      <c r="HMM44" s="184"/>
      <c r="HMN44" s="184"/>
      <c r="HMO44" s="184"/>
      <c r="HMP44" s="184"/>
      <c r="HMQ44" s="184"/>
      <c r="HMR44" s="184"/>
      <c r="HMS44" s="184"/>
      <c r="HMT44" s="184"/>
      <c r="HMU44" s="184"/>
      <c r="HMV44" s="184"/>
      <c r="HMW44" s="184"/>
      <c r="HMX44" s="184"/>
      <c r="HMY44" s="184"/>
      <c r="HMZ44" s="184"/>
      <c r="HNA44" s="184"/>
      <c r="HNB44" s="184"/>
      <c r="HNC44" s="184"/>
      <c r="HND44" s="184"/>
      <c r="HNE44" s="184"/>
      <c r="HNF44" s="184"/>
      <c r="HNG44" s="184"/>
      <c r="HNH44" s="184"/>
      <c r="HNI44" s="184"/>
      <c r="HNJ44" s="184"/>
      <c r="HNK44" s="184"/>
      <c r="HNL44" s="184"/>
      <c r="HNY44" s="215"/>
      <c r="HNZ44" s="202"/>
      <c r="HOA44" s="203"/>
      <c r="HOB44" s="203"/>
      <c r="HOC44" s="203"/>
      <c r="HOD44" s="204"/>
      <c r="HOE44" s="200"/>
      <c r="HOF44" s="227"/>
      <c r="HOG44" s="184"/>
      <c r="HOH44" s="184"/>
      <c r="HOI44" s="184"/>
      <c r="HOJ44" s="184"/>
      <c r="HOK44" s="184"/>
      <c r="HOL44" s="184"/>
      <c r="HOM44" s="184"/>
      <c r="HON44" s="184"/>
      <c r="HOO44" s="184"/>
      <c r="HOP44" s="184"/>
      <c r="HOQ44" s="184"/>
      <c r="HOR44" s="184"/>
      <c r="HOS44" s="184"/>
      <c r="HOT44" s="184"/>
      <c r="HOU44" s="184"/>
      <c r="HOV44" s="184"/>
      <c r="HOW44" s="184"/>
      <c r="HOX44" s="184"/>
      <c r="HOY44" s="184"/>
      <c r="HOZ44" s="184"/>
      <c r="HPA44" s="184"/>
      <c r="HPB44" s="184"/>
      <c r="HPC44" s="184"/>
      <c r="HPD44" s="184"/>
      <c r="HPE44" s="184"/>
      <c r="HPF44" s="184"/>
      <c r="HPG44" s="184"/>
      <c r="HPH44" s="184"/>
      <c r="HPI44" s="184"/>
      <c r="HPJ44" s="184"/>
      <c r="HPK44" s="184"/>
      <c r="HPL44" s="184"/>
      <c r="HPM44" s="184"/>
      <c r="HPN44" s="184"/>
      <c r="HPO44" s="184"/>
      <c r="HPP44" s="184"/>
      <c r="HPQ44" s="184"/>
      <c r="HPR44" s="184"/>
      <c r="HPS44" s="184"/>
      <c r="HPT44" s="184"/>
      <c r="HPU44" s="184"/>
      <c r="HPV44" s="184"/>
      <c r="HPW44" s="184"/>
      <c r="HPX44" s="184"/>
      <c r="HPY44" s="184"/>
      <c r="HPZ44" s="184"/>
      <c r="HQA44" s="184"/>
      <c r="HQB44" s="184"/>
      <c r="HQC44" s="184"/>
      <c r="HQD44" s="184"/>
      <c r="HQE44" s="184"/>
      <c r="HQF44" s="184"/>
      <c r="HQG44" s="184"/>
      <c r="HQH44" s="184"/>
      <c r="HQI44" s="184"/>
      <c r="HQJ44" s="184"/>
      <c r="HQK44" s="184"/>
      <c r="HQL44" s="184"/>
      <c r="HQM44" s="184"/>
      <c r="HQN44" s="184"/>
      <c r="HQO44" s="184"/>
      <c r="HQP44" s="184"/>
      <c r="HQQ44" s="184"/>
      <c r="HQR44" s="184"/>
      <c r="HRE44" s="215"/>
      <c r="HRF44" s="202"/>
      <c r="HRG44" s="203"/>
      <c r="HRH44" s="203"/>
      <c r="HRI44" s="203"/>
      <c r="HRJ44" s="204"/>
      <c r="HRK44" s="200"/>
      <c r="HRL44" s="227"/>
      <c r="HRM44" s="184"/>
      <c r="HRN44" s="184"/>
      <c r="HRO44" s="184"/>
      <c r="HRP44" s="184"/>
      <c r="HRQ44" s="184"/>
      <c r="HRR44" s="184"/>
      <c r="HRS44" s="184"/>
      <c r="HRT44" s="184"/>
      <c r="HRU44" s="184"/>
      <c r="HRV44" s="184"/>
      <c r="HRW44" s="184"/>
      <c r="HRX44" s="184"/>
      <c r="HRY44" s="184"/>
      <c r="HRZ44" s="184"/>
      <c r="HSA44" s="184"/>
      <c r="HSB44" s="184"/>
      <c r="HSC44" s="184"/>
      <c r="HSD44" s="184"/>
      <c r="HSE44" s="184"/>
      <c r="HSF44" s="184"/>
      <c r="HSG44" s="184"/>
      <c r="HSH44" s="184"/>
      <c r="HSI44" s="184"/>
      <c r="HSJ44" s="184"/>
      <c r="HSK44" s="184"/>
      <c r="HSL44" s="184"/>
      <c r="HSM44" s="184"/>
      <c r="HSN44" s="184"/>
      <c r="HSO44" s="184"/>
      <c r="HSP44" s="184"/>
      <c r="HSQ44" s="184"/>
      <c r="HSR44" s="184"/>
      <c r="HSS44" s="184"/>
      <c r="HST44" s="184"/>
      <c r="HSU44" s="184"/>
      <c r="HSV44" s="184"/>
      <c r="HSW44" s="184"/>
      <c r="HSX44" s="184"/>
      <c r="HSY44" s="184"/>
      <c r="HSZ44" s="184"/>
      <c r="HTA44" s="184"/>
      <c r="HTB44" s="184"/>
      <c r="HTC44" s="184"/>
      <c r="HTD44" s="184"/>
      <c r="HTE44" s="184"/>
      <c r="HTF44" s="184"/>
      <c r="HTG44" s="184"/>
      <c r="HTH44" s="184"/>
      <c r="HTI44" s="184"/>
      <c r="HTJ44" s="184"/>
      <c r="HTK44" s="184"/>
      <c r="HTL44" s="184"/>
      <c r="HTM44" s="184"/>
      <c r="HTN44" s="184"/>
      <c r="HTO44" s="184"/>
      <c r="HTP44" s="184"/>
      <c r="HTQ44" s="184"/>
      <c r="HTR44" s="184"/>
      <c r="HTS44" s="184"/>
      <c r="HTT44" s="184"/>
      <c r="HTU44" s="184"/>
      <c r="HTV44" s="184"/>
      <c r="HTW44" s="184"/>
      <c r="HTX44" s="184"/>
      <c r="HUK44" s="215"/>
      <c r="HUL44" s="202"/>
      <c r="HUM44" s="203"/>
      <c r="HUN44" s="203"/>
      <c r="HUO44" s="203"/>
      <c r="HUP44" s="204"/>
      <c r="HUQ44" s="200"/>
      <c r="HUR44" s="227"/>
      <c r="HUS44" s="184"/>
      <c r="HUT44" s="184"/>
      <c r="HUU44" s="184"/>
      <c r="HUV44" s="184"/>
      <c r="HUW44" s="184"/>
      <c r="HUX44" s="184"/>
      <c r="HUY44" s="184"/>
      <c r="HUZ44" s="184"/>
      <c r="HVA44" s="184"/>
      <c r="HVB44" s="184"/>
      <c r="HVC44" s="184"/>
      <c r="HVD44" s="184"/>
      <c r="HVE44" s="184"/>
      <c r="HVF44" s="184"/>
      <c r="HVG44" s="184"/>
      <c r="HVH44" s="184"/>
      <c r="HVI44" s="184"/>
      <c r="HVJ44" s="184"/>
      <c r="HVK44" s="184"/>
      <c r="HVL44" s="184"/>
      <c r="HVM44" s="184"/>
      <c r="HVN44" s="184"/>
      <c r="HVO44" s="184"/>
      <c r="HVP44" s="184"/>
      <c r="HVQ44" s="184"/>
      <c r="HVR44" s="184"/>
      <c r="HVS44" s="184"/>
      <c r="HVT44" s="184"/>
      <c r="HVU44" s="184"/>
      <c r="HVV44" s="184"/>
      <c r="HVW44" s="184"/>
      <c r="HVX44" s="184"/>
      <c r="HVY44" s="184"/>
      <c r="HVZ44" s="184"/>
      <c r="HWA44" s="184"/>
      <c r="HWB44" s="184"/>
      <c r="HWC44" s="184"/>
      <c r="HWD44" s="184"/>
      <c r="HWE44" s="184"/>
      <c r="HWF44" s="184"/>
      <c r="HWG44" s="184"/>
      <c r="HWH44" s="184"/>
      <c r="HWI44" s="184"/>
      <c r="HWJ44" s="184"/>
      <c r="HWK44" s="184"/>
      <c r="HWL44" s="184"/>
      <c r="HWM44" s="184"/>
      <c r="HWN44" s="184"/>
      <c r="HWO44" s="184"/>
      <c r="HWP44" s="184"/>
      <c r="HWQ44" s="184"/>
      <c r="HWR44" s="184"/>
      <c r="HWS44" s="184"/>
      <c r="HWT44" s="184"/>
      <c r="HWU44" s="184"/>
      <c r="HWV44" s="184"/>
      <c r="HWW44" s="184"/>
      <c r="HWX44" s="184"/>
      <c r="HWY44" s="184"/>
      <c r="HWZ44" s="184"/>
      <c r="HXA44" s="184"/>
      <c r="HXB44" s="184"/>
      <c r="HXC44" s="184"/>
      <c r="HXD44" s="184"/>
      <c r="HXQ44" s="215"/>
      <c r="HXR44" s="202"/>
      <c r="HXS44" s="203"/>
      <c r="HXT44" s="203"/>
      <c r="HXU44" s="203"/>
      <c r="HXV44" s="204"/>
      <c r="HXW44" s="200"/>
      <c r="HXX44" s="227"/>
      <c r="HXY44" s="184"/>
      <c r="HXZ44" s="184"/>
      <c r="HYA44" s="184"/>
      <c r="HYB44" s="184"/>
      <c r="HYC44" s="184"/>
      <c r="HYD44" s="184"/>
      <c r="HYE44" s="184"/>
      <c r="HYF44" s="184"/>
      <c r="HYG44" s="184"/>
      <c r="HYH44" s="184"/>
      <c r="HYI44" s="184"/>
      <c r="HYJ44" s="184"/>
      <c r="HYK44" s="184"/>
      <c r="HYL44" s="184"/>
      <c r="HYM44" s="184"/>
      <c r="HYN44" s="184"/>
      <c r="HYO44" s="184"/>
      <c r="HYP44" s="184"/>
      <c r="HYQ44" s="184"/>
      <c r="HYR44" s="184"/>
      <c r="HYS44" s="184"/>
      <c r="HYT44" s="184"/>
      <c r="HYU44" s="184"/>
      <c r="HYV44" s="184"/>
      <c r="HYW44" s="184"/>
      <c r="HYX44" s="184"/>
      <c r="HYY44" s="184"/>
      <c r="HYZ44" s="184"/>
      <c r="HZA44" s="184"/>
      <c r="HZB44" s="184"/>
      <c r="HZC44" s="184"/>
      <c r="HZD44" s="184"/>
      <c r="HZE44" s="184"/>
      <c r="HZF44" s="184"/>
      <c r="HZG44" s="184"/>
      <c r="HZH44" s="184"/>
      <c r="HZI44" s="184"/>
      <c r="HZJ44" s="184"/>
      <c r="HZK44" s="184"/>
      <c r="HZL44" s="184"/>
      <c r="HZM44" s="184"/>
      <c r="HZN44" s="184"/>
      <c r="HZO44" s="184"/>
      <c r="HZP44" s="184"/>
      <c r="HZQ44" s="184"/>
      <c r="HZR44" s="184"/>
      <c r="HZS44" s="184"/>
      <c r="HZT44" s="184"/>
      <c r="HZU44" s="184"/>
      <c r="HZV44" s="184"/>
      <c r="HZW44" s="184"/>
      <c r="HZX44" s="184"/>
      <c r="HZY44" s="184"/>
      <c r="HZZ44" s="184"/>
      <c r="IAA44" s="184"/>
      <c r="IAB44" s="184"/>
      <c r="IAC44" s="184"/>
      <c r="IAD44" s="184"/>
      <c r="IAE44" s="184"/>
      <c r="IAF44" s="184"/>
      <c r="IAG44" s="184"/>
      <c r="IAH44" s="184"/>
      <c r="IAI44" s="184"/>
      <c r="IAJ44" s="184"/>
      <c r="IAW44" s="215"/>
      <c r="IAX44" s="202"/>
      <c r="IAY44" s="203"/>
      <c r="IAZ44" s="203"/>
      <c r="IBA44" s="203"/>
      <c r="IBB44" s="204"/>
      <c r="IBC44" s="200"/>
      <c r="IBD44" s="227"/>
      <c r="IBE44" s="184"/>
      <c r="IBF44" s="184"/>
      <c r="IBG44" s="184"/>
      <c r="IBH44" s="184"/>
      <c r="IBI44" s="184"/>
      <c r="IBJ44" s="184"/>
      <c r="IBK44" s="184"/>
      <c r="IBL44" s="184"/>
      <c r="IBM44" s="184"/>
      <c r="IBN44" s="184"/>
      <c r="IBO44" s="184"/>
      <c r="IBP44" s="184"/>
      <c r="IBQ44" s="184"/>
      <c r="IBR44" s="184"/>
      <c r="IBS44" s="184"/>
      <c r="IBT44" s="184"/>
      <c r="IBU44" s="184"/>
      <c r="IBV44" s="184"/>
      <c r="IBW44" s="184"/>
      <c r="IBX44" s="184"/>
      <c r="IBY44" s="184"/>
      <c r="IBZ44" s="184"/>
      <c r="ICA44" s="184"/>
      <c r="ICB44" s="184"/>
      <c r="ICC44" s="184"/>
      <c r="ICD44" s="184"/>
      <c r="ICE44" s="184"/>
      <c r="ICF44" s="184"/>
      <c r="ICG44" s="184"/>
      <c r="ICH44" s="184"/>
      <c r="ICI44" s="184"/>
      <c r="ICJ44" s="184"/>
      <c r="ICK44" s="184"/>
      <c r="ICL44" s="184"/>
      <c r="ICM44" s="184"/>
      <c r="ICN44" s="184"/>
      <c r="ICO44" s="184"/>
      <c r="ICP44" s="184"/>
      <c r="ICQ44" s="184"/>
      <c r="ICR44" s="184"/>
      <c r="ICS44" s="184"/>
      <c r="ICT44" s="184"/>
      <c r="ICU44" s="184"/>
      <c r="ICV44" s="184"/>
      <c r="ICW44" s="184"/>
      <c r="ICX44" s="184"/>
      <c r="ICY44" s="184"/>
      <c r="ICZ44" s="184"/>
      <c r="IDA44" s="184"/>
      <c r="IDB44" s="184"/>
      <c r="IDC44" s="184"/>
      <c r="IDD44" s="184"/>
      <c r="IDE44" s="184"/>
      <c r="IDF44" s="184"/>
      <c r="IDG44" s="184"/>
      <c r="IDH44" s="184"/>
      <c r="IDI44" s="184"/>
      <c r="IDJ44" s="184"/>
      <c r="IDK44" s="184"/>
      <c r="IDL44" s="184"/>
      <c r="IDM44" s="184"/>
      <c r="IDN44" s="184"/>
      <c r="IDO44" s="184"/>
      <c r="IDP44" s="184"/>
      <c r="IEC44" s="215"/>
      <c r="IED44" s="202"/>
      <c r="IEE44" s="203"/>
      <c r="IEF44" s="203"/>
      <c r="IEG44" s="203"/>
      <c r="IEH44" s="204"/>
      <c r="IEI44" s="200"/>
      <c r="IEJ44" s="227"/>
      <c r="IEK44" s="184"/>
      <c r="IEL44" s="184"/>
      <c r="IEM44" s="184"/>
      <c r="IEN44" s="184"/>
      <c r="IEO44" s="184"/>
      <c r="IEP44" s="184"/>
      <c r="IEQ44" s="184"/>
      <c r="IER44" s="184"/>
      <c r="IES44" s="184"/>
      <c r="IET44" s="184"/>
      <c r="IEU44" s="184"/>
      <c r="IEV44" s="184"/>
      <c r="IEW44" s="184"/>
      <c r="IEX44" s="184"/>
      <c r="IEY44" s="184"/>
      <c r="IEZ44" s="184"/>
      <c r="IFA44" s="184"/>
      <c r="IFB44" s="184"/>
      <c r="IFC44" s="184"/>
      <c r="IFD44" s="184"/>
      <c r="IFE44" s="184"/>
      <c r="IFF44" s="184"/>
      <c r="IFG44" s="184"/>
      <c r="IFH44" s="184"/>
      <c r="IFI44" s="184"/>
      <c r="IFJ44" s="184"/>
      <c r="IFK44" s="184"/>
      <c r="IFL44" s="184"/>
      <c r="IFM44" s="184"/>
      <c r="IFN44" s="184"/>
      <c r="IFO44" s="184"/>
      <c r="IFP44" s="184"/>
      <c r="IFQ44" s="184"/>
      <c r="IFR44" s="184"/>
      <c r="IFS44" s="184"/>
      <c r="IFT44" s="184"/>
      <c r="IFU44" s="184"/>
      <c r="IFV44" s="184"/>
      <c r="IFW44" s="184"/>
      <c r="IFX44" s="184"/>
      <c r="IFY44" s="184"/>
      <c r="IFZ44" s="184"/>
      <c r="IGA44" s="184"/>
      <c r="IGB44" s="184"/>
      <c r="IGC44" s="184"/>
      <c r="IGD44" s="184"/>
      <c r="IGE44" s="184"/>
      <c r="IGF44" s="184"/>
      <c r="IGG44" s="184"/>
      <c r="IGH44" s="184"/>
      <c r="IGI44" s="184"/>
      <c r="IGJ44" s="184"/>
      <c r="IGK44" s="184"/>
      <c r="IGL44" s="184"/>
      <c r="IGM44" s="184"/>
      <c r="IGN44" s="184"/>
      <c r="IGO44" s="184"/>
      <c r="IGP44" s="184"/>
      <c r="IGQ44" s="184"/>
      <c r="IGR44" s="184"/>
      <c r="IGS44" s="184"/>
      <c r="IGT44" s="184"/>
      <c r="IGU44" s="184"/>
      <c r="IGV44" s="184"/>
      <c r="IHI44" s="215"/>
      <c r="IHJ44" s="202"/>
      <c r="IHK44" s="203"/>
      <c r="IHL44" s="203"/>
      <c r="IHM44" s="203"/>
      <c r="IHN44" s="204"/>
      <c r="IHO44" s="200"/>
      <c r="IHP44" s="227"/>
      <c r="IHQ44" s="184"/>
      <c r="IHR44" s="184"/>
      <c r="IHS44" s="184"/>
      <c r="IHT44" s="184"/>
      <c r="IHU44" s="184"/>
      <c r="IHV44" s="184"/>
      <c r="IHW44" s="184"/>
      <c r="IHX44" s="184"/>
      <c r="IHY44" s="184"/>
      <c r="IHZ44" s="184"/>
      <c r="IIA44" s="184"/>
      <c r="IIB44" s="184"/>
      <c r="IIC44" s="184"/>
      <c r="IID44" s="184"/>
      <c r="IIE44" s="184"/>
      <c r="IIF44" s="184"/>
      <c r="IIG44" s="184"/>
      <c r="IIH44" s="184"/>
      <c r="III44" s="184"/>
      <c r="IIJ44" s="184"/>
      <c r="IIK44" s="184"/>
      <c r="IIL44" s="184"/>
      <c r="IIM44" s="184"/>
      <c r="IIN44" s="184"/>
      <c r="IIO44" s="184"/>
      <c r="IIP44" s="184"/>
      <c r="IIQ44" s="184"/>
      <c r="IIR44" s="184"/>
      <c r="IIS44" s="184"/>
      <c r="IIT44" s="184"/>
      <c r="IIU44" s="184"/>
      <c r="IIV44" s="184"/>
      <c r="IIW44" s="184"/>
      <c r="IIX44" s="184"/>
      <c r="IIY44" s="184"/>
      <c r="IIZ44" s="184"/>
      <c r="IJA44" s="184"/>
      <c r="IJB44" s="184"/>
      <c r="IJC44" s="184"/>
      <c r="IJD44" s="184"/>
      <c r="IJE44" s="184"/>
      <c r="IJF44" s="184"/>
      <c r="IJG44" s="184"/>
      <c r="IJH44" s="184"/>
      <c r="IJI44" s="184"/>
      <c r="IJJ44" s="184"/>
      <c r="IJK44" s="184"/>
      <c r="IJL44" s="184"/>
      <c r="IJM44" s="184"/>
      <c r="IJN44" s="184"/>
      <c r="IJO44" s="184"/>
      <c r="IJP44" s="184"/>
      <c r="IJQ44" s="184"/>
      <c r="IJR44" s="184"/>
      <c r="IJS44" s="184"/>
      <c r="IJT44" s="184"/>
      <c r="IJU44" s="184"/>
      <c r="IJV44" s="184"/>
      <c r="IJW44" s="184"/>
      <c r="IJX44" s="184"/>
      <c r="IJY44" s="184"/>
      <c r="IJZ44" s="184"/>
      <c r="IKA44" s="184"/>
      <c r="IKB44" s="184"/>
      <c r="IKO44" s="215"/>
      <c r="IKP44" s="202"/>
      <c r="IKQ44" s="203"/>
      <c r="IKR44" s="203"/>
      <c r="IKS44" s="203"/>
      <c r="IKT44" s="204"/>
      <c r="IKU44" s="200"/>
      <c r="IKV44" s="227"/>
      <c r="IKW44" s="184"/>
      <c r="IKX44" s="184"/>
      <c r="IKY44" s="184"/>
      <c r="IKZ44" s="184"/>
      <c r="ILA44" s="184"/>
      <c r="ILB44" s="184"/>
      <c r="ILC44" s="184"/>
      <c r="ILD44" s="184"/>
      <c r="ILE44" s="184"/>
      <c r="ILF44" s="184"/>
      <c r="ILG44" s="184"/>
      <c r="ILH44" s="184"/>
      <c r="ILI44" s="184"/>
      <c r="ILJ44" s="184"/>
      <c r="ILK44" s="184"/>
      <c r="ILL44" s="184"/>
      <c r="ILM44" s="184"/>
      <c r="ILN44" s="184"/>
      <c r="ILO44" s="184"/>
      <c r="ILP44" s="184"/>
      <c r="ILQ44" s="184"/>
      <c r="ILR44" s="184"/>
      <c r="ILS44" s="184"/>
      <c r="ILT44" s="184"/>
      <c r="ILU44" s="184"/>
      <c r="ILV44" s="184"/>
      <c r="ILW44" s="184"/>
      <c r="ILX44" s="184"/>
      <c r="ILY44" s="184"/>
      <c r="ILZ44" s="184"/>
      <c r="IMA44" s="184"/>
      <c r="IMB44" s="184"/>
      <c r="IMC44" s="184"/>
      <c r="IMD44" s="184"/>
      <c r="IME44" s="184"/>
      <c r="IMF44" s="184"/>
      <c r="IMG44" s="184"/>
      <c r="IMH44" s="184"/>
      <c r="IMI44" s="184"/>
      <c r="IMJ44" s="184"/>
      <c r="IMK44" s="184"/>
      <c r="IML44" s="184"/>
      <c r="IMM44" s="184"/>
      <c r="IMN44" s="184"/>
      <c r="IMO44" s="184"/>
      <c r="IMP44" s="184"/>
      <c r="IMQ44" s="184"/>
      <c r="IMR44" s="184"/>
      <c r="IMS44" s="184"/>
      <c r="IMT44" s="184"/>
      <c r="IMU44" s="184"/>
      <c r="IMV44" s="184"/>
      <c r="IMW44" s="184"/>
      <c r="IMX44" s="184"/>
      <c r="IMY44" s="184"/>
      <c r="IMZ44" s="184"/>
      <c r="INA44" s="184"/>
      <c r="INB44" s="184"/>
      <c r="INC44" s="184"/>
      <c r="IND44" s="184"/>
      <c r="INE44" s="184"/>
      <c r="INF44" s="184"/>
      <c r="ING44" s="184"/>
      <c r="INH44" s="184"/>
      <c r="INU44" s="215"/>
      <c r="INV44" s="202"/>
      <c r="INW44" s="203"/>
      <c r="INX44" s="203"/>
      <c r="INY44" s="203"/>
      <c r="INZ44" s="204"/>
      <c r="IOA44" s="200"/>
      <c r="IOB44" s="227"/>
      <c r="IOC44" s="184"/>
      <c r="IOD44" s="184"/>
      <c r="IOE44" s="184"/>
      <c r="IOF44" s="184"/>
      <c r="IOG44" s="184"/>
      <c r="IOH44" s="184"/>
      <c r="IOI44" s="184"/>
      <c r="IOJ44" s="184"/>
      <c r="IOK44" s="184"/>
      <c r="IOL44" s="184"/>
      <c r="IOM44" s="184"/>
      <c r="ION44" s="184"/>
      <c r="IOO44" s="184"/>
      <c r="IOP44" s="184"/>
      <c r="IOQ44" s="184"/>
      <c r="IOR44" s="184"/>
      <c r="IOS44" s="184"/>
      <c r="IOT44" s="184"/>
      <c r="IOU44" s="184"/>
      <c r="IOV44" s="184"/>
      <c r="IOW44" s="184"/>
      <c r="IOX44" s="184"/>
      <c r="IOY44" s="184"/>
      <c r="IOZ44" s="184"/>
      <c r="IPA44" s="184"/>
      <c r="IPB44" s="184"/>
      <c r="IPC44" s="184"/>
      <c r="IPD44" s="184"/>
      <c r="IPE44" s="184"/>
      <c r="IPF44" s="184"/>
      <c r="IPG44" s="184"/>
      <c r="IPH44" s="184"/>
      <c r="IPI44" s="184"/>
      <c r="IPJ44" s="184"/>
      <c r="IPK44" s="184"/>
      <c r="IPL44" s="184"/>
      <c r="IPM44" s="184"/>
      <c r="IPN44" s="184"/>
      <c r="IPO44" s="184"/>
      <c r="IPP44" s="184"/>
      <c r="IPQ44" s="184"/>
      <c r="IPR44" s="184"/>
      <c r="IPS44" s="184"/>
      <c r="IPT44" s="184"/>
      <c r="IPU44" s="184"/>
      <c r="IPV44" s="184"/>
      <c r="IPW44" s="184"/>
      <c r="IPX44" s="184"/>
      <c r="IPY44" s="184"/>
      <c r="IPZ44" s="184"/>
      <c r="IQA44" s="184"/>
      <c r="IQB44" s="184"/>
      <c r="IQC44" s="184"/>
      <c r="IQD44" s="184"/>
      <c r="IQE44" s="184"/>
      <c r="IQF44" s="184"/>
      <c r="IQG44" s="184"/>
      <c r="IQH44" s="184"/>
      <c r="IQI44" s="184"/>
      <c r="IQJ44" s="184"/>
      <c r="IQK44" s="184"/>
      <c r="IQL44" s="184"/>
      <c r="IQM44" s="184"/>
      <c r="IQN44" s="184"/>
      <c r="IRA44" s="215"/>
      <c r="IRB44" s="202"/>
      <c r="IRC44" s="203"/>
      <c r="IRD44" s="203"/>
      <c r="IRE44" s="203"/>
      <c r="IRF44" s="204"/>
      <c r="IRG44" s="200"/>
      <c r="IRH44" s="227"/>
      <c r="IRI44" s="184"/>
      <c r="IRJ44" s="184"/>
      <c r="IRK44" s="184"/>
      <c r="IRL44" s="184"/>
      <c r="IRM44" s="184"/>
      <c r="IRN44" s="184"/>
      <c r="IRO44" s="184"/>
      <c r="IRP44" s="184"/>
      <c r="IRQ44" s="184"/>
      <c r="IRR44" s="184"/>
      <c r="IRS44" s="184"/>
      <c r="IRT44" s="184"/>
      <c r="IRU44" s="184"/>
      <c r="IRV44" s="184"/>
      <c r="IRW44" s="184"/>
      <c r="IRX44" s="184"/>
      <c r="IRY44" s="184"/>
      <c r="IRZ44" s="184"/>
      <c r="ISA44" s="184"/>
      <c r="ISB44" s="184"/>
      <c r="ISC44" s="184"/>
      <c r="ISD44" s="184"/>
      <c r="ISE44" s="184"/>
      <c r="ISF44" s="184"/>
      <c r="ISG44" s="184"/>
      <c r="ISH44" s="184"/>
      <c r="ISI44" s="184"/>
      <c r="ISJ44" s="184"/>
      <c r="ISK44" s="184"/>
      <c r="ISL44" s="184"/>
      <c r="ISM44" s="184"/>
      <c r="ISN44" s="184"/>
      <c r="ISO44" s="184"/>
      <c r="ISP44" s="184"/>
      <c r="ISQ44" s="184"/>
      <c r="ISR44" s="184"/>
      <c r="ISS44" s="184"/>
      <c r="IST44" s="184"/>
      <c r="ISU44" s="184"/>
      <c r="ISV44" s="184"/>
      <c r="ISW44" s="184"/>
      <c r="ISX44" s="184"/>
      <c r="ISY44" s="184"/>
      <c r="ISZ44" s="184"/>
      <c r="ITA44" s="184"/>
      <c r="ITB44" s="184"/>
      <c r="ITC44" s="184"/>
      <c r="ITD44" s="184"/>
      <c r="ITE44" s="184"/>
      <c r="ITF44" s="184"/>
      <c r="ITG44" s="184"/>
      <c r="ITH44" s="184"/>
      <c r="ITI44" s="184"/>
      <c r="ITJ44" s="184"/>
      <c r="ITK44" s="184"/>
      <c r="ITL44" s="184"/>
      <c r="ITM44" s="184"/>
      <c r="ITN44" s="184"/>
      <c r="ITO44" s="184"/>
      <c r="ITP44" s="184"/>
      <c r="ITQ44" s="184"/>
      <c r="ITR44" s="184"/>
      <c r="ITS44" s="184"/>
      <c r="ITT44" s="184"/>
      <c r="IUG44" s="215"/>
      <c r="IUH44" s="202"/>
      <c r="IUI44" s="203"/>
      <c r="IUJ44" s="203"/>
      <c r="IUK44" s="203"/>
      <c r="IUL44" s="204"/>
      <c r="IUM44" s="200"/>
      <c r="IUN44" s="227"/>
      <c r="IUO44" s="184"/>
      <c r="IUP44" s="184"/>
      <c r="IUQ44" s="184"/>
      <c r="IUR44" s="184"/>
      <c r="IUS44" s="184"/>
      <c r="IUT44" s="184"/>
      <c r="IUU44" s="184"/>
      <c r="IUV44" s="184"/>
      <c r="IUW44" s="184"/>
      <c r="IUX44" s="184"/>
      <c r="IUY44" s="184"/>
      <c r="IUZ44" s="184"/>
      <c r="IVA44" s="184"/>
      <c r="IVB44" s="184"/>
      <c r="IVC44" s="184"/>
      <c r="IVD44" s="184"/>
      <c r="IVE44" s="184"/>
      <c r="IVF44" s="184"/>
      <c r="IVG44" s="184"/>
      <c r="IVH44" s="184"/>
      <c r="IVI44" s="184"/>
      <c r="IVJ44" s="184"/>
      <c r="IVK44" s="184"/>
      <c r="IVL44" s="184"/>
      <c r="IVM44" s="184"/>
      <c r="IVN44" s="184"/>
      <c r="IVO44" s="184"/>
      <c r="IVP44" s="184"/>
      <c r="IVQ44" s="184"/>
      <c r="IVR44" s="184"/>
      <c r="IVS44" s="184"/>
      <c r="IVT44" s="184"/>
      <c r="IVU44" s="184"/>
      <c r="IVV44" s="184"/>
      <c r="IVW44" s="184"/>
      <c r="IVX44" s="184"/>
      <c r="IVY44" s="184"/>
      <c r="IVZ44" s="184"/>
      <c r="IWA44" s="184"/>
      <c r="IWB44" s="184"/>
      <c r="IWC44" s="184"/>
      <c r="IWD44" s="184"/>
      <c r="IWE44" s="184"/>
      <c r="IWF44" s="184"/>
      <c r="IWG44" s="184"/>
      <c r="IWH44" s="184"/>
      <c r="IWI44" s="184"/>
      <c r="IWJ44" s="184"/>
      <c r="IWK44" s="184"/>
      <c r="IWL44" s="184"/>
      <c r="IWM44" s="184"/>
      <c r="IWN44" s="184"/>
      <c r="IWO44" s="184"/>
      <c r="IWP44" s="184"/>
      <c r="IWQ44" s="184"/>
      <c r="IWR44" s="184"/>
      <c r="IWS44" s="184"/>
      <c r="IWT44" s="184"/>
      <c r="IWU44" s="184"/>
      <c r="IWV44" s="184"/>
      <c r="IWW44" s="184"/>
      <c r="IWX44" s="184"/>
      <c r="IWY44" s="184"/>
      <c r="IWZ44" s="184"/>
      <c r="IXM44" s="215"/>
      <c r="IXN44" s="202"/>
      <c r="IXO44" s="203"/>
      <c r="IXP44" s="203"/>
      <c r="IXQ44" s="203"/>
      <c r="IXR44" s="204"/>
      <c r="IXS44" s="200"/>
      <c r="IXT44" s="227"/>
      <c r="IXU44" s="184"/>
      <c r="IXV44" s="184"/>
      <c r="IXW44" s="184"/>
      <c r="IXX44" s="184"/>
      <c r="IXY44" s="184"/>
      <c r="IXZ44" s="184"/>
      <c r="IYA44" s="184"/>
      <c r="IYB44" s="184"/>
      <c r="IYC44" s="184"/>
      <c r="IYD44" s="184"/>
      <c r="IYE44" s="184"/>
      <c r="IYF44" s="184"/>
      <c r="IYG44" s="184"/>
      <c r="IYH44" s="184"/>
      <c r="IYI44" s="184"/>
      <c r="IYJ44" s="184"/>
      <c r="IYK44" s="184"/>
      <c r="IYL44" s="184"/>
      <c r="IYM44" s="184"/>
      <c r="IYN44" s="184"/>
      <c r="IYO44" s="184"/>
      <c r="IYP44" s="184"/>
      <c r="IYQ44" s="184"/>
      <c r="IYR44" s="184"/>
      <c r="IYS44" s="184"/>
      <c r="IYT44" s="184"/>
      <c r="IYU44" s="184"/>
      <c r="IYV44" s="184"/>
      <c r="IYW44" s="184"/>
      <c r="IYX44" s="184"/>
      <c r="IYY44" s="184"/>
      <c r="IYZ44" s="184"/>
      <c r="IZA44" s="184"/>
      <c r="IZB44" s="184"/>
      <c r="IZC44" s="184"/>
      <c r="IZD44" s="184"/>
      <c r="IZE44" s="184"/>
      <c r="IZF44" s="184"/>
      <c r="IZG44" s="184"/>
      <c r="IZH44" s="184"/>
      <c r="IZI44" s="184"/>
      <c r="IZJ44" s="184"/>
      <c r="IZK44" s="184"/>
      <c r="IZL44" s="184"/>
      <c r="IZM44" s="184"/>
      <c r="IZN44" s="184"/>
      <c r="IZO44" s="184"/>
      <c r="IZP44" s="184"/>
      <c r="IZQ44" s="184"/>
      <c r="IZR44" s="184"/>
      <c r="IZS44" s="184"/>
      <c r="IZT44" s="184"/>
      <c r="IZU44" s="184"/>
      <c r="IZV44" s="184"/>
      <c r="IZW44" s="184"/>
      <c r="IZX44" s="184"/>
      <c r="IZY44" s="184"/>
      <c r="IZZ44" s="184"/>
      <c r="JAA44" s="184"/>
      <c r="JAB44" s="184"/>
      <c r="JAC44" s="184"/>
      <c r="JAD44" s="184"/>
      <c r="JAE44" s="184"/>
      <c r="JAF44" s="184"/>
      <c r="JAS44" s="215"/>
      <c r="JAT44" s="202"/>
      <c r="JAU44" s="203"/>
      <c r="JAV44" s="203"/>
      <c r="JAW44" s="203"/>
      <c r="JAX44" s="204"/>
      <c r="JAY44" s="200"/>
      <c r="JAZ44" s="227"/>
      <c r="JBA44" s="184"/>
      <c r="JBB44" s="184"/>
      <c r="JBC44" s="184"/>
      <c r="JBD44" s="184"/>
      <c r="JBE44" s="184"/>
      <c r="JBF44" s="184"/>
      <c r="JBG44" s="184"/>
      <c r="JBH44" s="184"/>
      <c r="JBI44" s="184"/>
      <c r="JBJ44" s="184"/>
      <c r="JBK44" s="184"/>
      <c r="JBL44" s="184"/>
      <c r="JBM44" s="184"/>
      <c r="JBN44" s="184"/>
      <c r="JBO44" s="184"/>
      <c r="JBP44" s="184"/>
      <c r="JBQ44" s="184"/>
      <c r="JBR44" s="184"/>
      <c r="JBS44" s="184"/>
      <c r="JBT44" s="184"/>
      <c r="JBU44" s="184"/>
      <c r="JBV44" s="184"/>
      <c r="JBW44" s="184"/>
      <c r="JBX44" s="184"/>
      <c r="JBY44" s="184"/>
      <c r="JBZ44" s="184"/>
      <c r="JCA44" s="184"/>
      <c r="JCB44" s="184"/>
      <c r="JCC44" s="184"/>
      <c r="JCD44" s="184"/>
      <c r="JCE44" s="184"/>
      <c r="JCF44" s="184"/>
      <c r="JCG44" s="184"/>
      <c r="JCH44" s="184"/>
      <c r="JCI44" s="184"/>
      <c r="JCJ44" s="184"/>
      <c r="JCK44" s="184"/>
      <c r="JCL44" s="184"/>
      <c r="JCM44" s="184"/>
      <c r="JCN44" s="184"/>
      <c r="JCO44" s="184"/>
      <c r="JCP44" s="184"/>
      <c r="JCQ44" s="184"/>
      <c r="JCR44" s="184"/>
      <c r="JCS44" s="184"/>
      <c r="JCT44" s="184"/>
      <c r="JCU44" s="184"/>
      <c r="JCV44" s="184"/>
      <c r="JCW44" s="184"/>
      <c r="JCX44" s="184"/>
      <c r="JCY44" s="184"/>
      <c r="JCZ44" s="184"/>
      <c r="JDA44" s="184"/>
      <c r="JDB44" s="184"/>
      <c r="JDC44" s="184"/>
      <c r="JDD44" s="184"/>
      <c r="JDE44" s="184"/>
      <c r="JDF44" s="184"/>
      <c r="JDG44" s="184"/>
      <c r="JDH44" s="184"/>
      <c r="JDI44" s="184"/>
      <c r="JDJ44" s="184"/>
      <c r="JDK44" s="184"/>
      <c r="JDL44" s="184"/>
      <c r="JDY44" s="215"/>
      <c r="JDZ44" s="202"/>
      <c r="JEA44" s="203"/>
      <c r="JEB44" s="203"/>
      <c r="JEC44" s="203"/>
      <c r="JED44" s="204"/>
      <c r="JEE44" s="200"/>
      <c r="JEF44" s="227"/>
      <c r="JEG44" s="184"/>
      <c r="JEH44" s="184"/>
      <c r="JEI44" s="184"/>
      <c r="JEJ44" s="184"/>
      <c r="JEK44" s="184"/>
      <c r="JEL44" s="184"/>
      <c r="JEM44" s="184"/>
      <c r="JEN44" s="184"/>
      <c r="JEO44" s="184"/>
      <c r="JEP44" s="184"/>
      <c r="JEQ44" s="184"/>
      <c r="JER44" s="184"/>
      <c r="JES44" s="184"/>
      <c r="JET44" s="184"/>
      <c r="JEU44" s="184"/>
      <c r="JEV44" s="184"/>
      <c r="JEW44" s="184"/>
      <c r="JEX44" s="184"/>
      <c r="JEY44" s="184"/>
      <c r="JEZ44" s="184"/>
      <c r="JFA44" s="184"/>
      <c r="JFB44" s="184"/>
      <c r="JFC44" s="184"/>
      <c r="JFD44" s="184"/>
      <c r="JFE44" s="184"/>
      <c r="JFF44" s="184"/>
      <c r="JFG44" s="184"/>
      <c r="JFH44" s="184"/>
      <c r="JFI44" s="184"/>
      <c r="JFJ44" s="184"/>
      <c r="JFK44" s="184"/>
      <c r="JFL44" s="184"/>
      <c r="JFM44" s="184"/>
      <c r="JFN44" s="184"/>
      <c r="JFO44" s="184"/>
      <c r="JFP44" s="184"/>
      <c r="JFQ44" s="184"/>
      <c r="JFR44" s="184"/>
      <c r="JFS44" s="184"/>
      <c r="JFT44" s="184"/>
      <c r="JFU44" s="184"/>
      <c r="JFV44" s="184"/>
      <c r="JFW44" s="184"/>
      <c r="JFX44" s="184"/>
      <c r="JFY44" s="184"/>
      <c r="JFZ44" s="184"/>
      <c r="JGA44" s="184"/>
      <c r="JGB44" s="184"/>
      <c r="JGC44" s="184"/>
      <c r="JGD44" s="184"/>
      <c r="JGE44" s="184"/>
      <c r="JGF44" s="184"/>
      <c r="JGG44" s="184"/>
      <c r="JGH44" s="184"/>
      <c r="JGI44" s="184"/>
      <c r="JGJ44" s="184"/>
      <c r="JGK44" s="184"/>
      <c r="JGL44" s="184"/>
      <c r="JGM44" s="184"/>
      <c r="JGN44" s="184"/>
      <c r="JGO44" s="184"/>
      <c r="JGP44" s="184"/>
      <c r="JGQ44" s="184"/>
      <c r="JGR44" s="184"/>
      <c r="JHE44" s="215"/>
      <c r="JHF44" s="202"/>
      <c r="JHG44" s="203"/>
      <c r="JHH44" s="203"/>
      <c r="JHI44" s="203"/>
      <c r="JHJ44" s="204"/>
      <c r="JHK44" s="200"/>
      <c r="JHL44" s="227"/>
      <c r="JHM44" s="184"/>
      <c r="JHN44" s="184"/>
      <c r="JHO44" s="184"/>
      <c r="JHP44" s="184"/>
      <c r="JHQ44" s="184"/>
      <c r="JHR44" s="184"/>
      <c r="JHS44" s="184"/>
      <c r="JHT44" s="184"/>
      <c r="JHU44" s="184"/>
      <c r="JHV44" s="184"/>
      <c r="JHW44" s="184"/>
      <c r="JHX44" s="184"/>
      <c r="JHY44" s="184"/>
      <c r="JHZ44" s="184"/>
      <c r="JIA44" s="184"/>
      <c r="JIB44" s="184"/>
      <c r="JIC44" s="184"/>
      <c r="JID44" s="184"/>
      <c r="JIE44" s="184"/>
      <c r="JIF44" s="184"/>
      <c r="JIG44" s="184"/>
      <c r="JIH44" s="184"/>
      <c r="JII44" s="184"/>
      <c r="JIJ44" s="184"/>
      <c r="JIK44" s="184"/>
      <c r="JIL44" s="184"/>
      <c r="JIM44" s="184"/>
      <c r="JIN44" s="184"/>
      <c r="JIO44" s="184"/>
      <c r="JIP44" s="184"/>
      <c r="JIQ44" s="184"/>
      <c r="JIR44" s="184"/>
      <c r="JIS44" s="184"/>
      <c r="JIT44" s="184"/>
      <c r="JIU44" s="184"/>
      <c r="JIV44" s="184"/>
      <c r="JIW44" s="184"/>
      <c r="JIX44" s="184"/>
      <c r="JIY44" s="184"/>
      <c r="JIZ44" s="184"/>
      <c r="JJA44" s="184"/>
      <c r="JJB44" s="184"/>
      <c r="JJC44" s="184"/>
      <c r="JJD44" s="184"/>
      <c r="JJE44" s="184"/>
      <c r="JJF44" s="184"/>
      <c r="JJG44" s="184"/>
      <c r="JJH44" s="184"/>
      <c r="JJI44" s="184"/>
      <c r="JJJ44" s="184"/>
      <c r="JJK44" s="184"/>
      <c r="JJL44" s="184"/>
      <c r="JJM44" s="184"/>
      <c r="JJN44" s="184"/>
      <c r="JJO44" s="184"/>
      <c r="JJP44" s="184"/>
      <c r="JJQ44" s="184"/>
      <c r="JJR44" s="184"/>
      <c r="JJS44" s="184"/>
      <c r="JJT44" s="184"/>
      <c r="JJU44" s="184"/>
      <c r="JJV44" s="184"/>
      <c r="JJW44" s="184"/>
      <c r="JJX44" s="184"/>
      <c r="JKK44" s="215"/>
      <c r="JKL44" s="202"/>
      <c r="JKM44" s="203"/>
      <c r="JKN44" s="203"/>
      <c r="JKO44" s="203"/>
      <c r="JKP44" s="204"/>
      <c r="JKQ44" s="200"/>
      <c r="JKR44" s="227"/>
      <c r="JKS44" s="184"/>
      <c r="JKT44" s="184"/>
      <c r="JKU44" s="184"/>
      <c r="JKV44" s="184"/>
      <c r="JKW44" s="184"/>
      <c r="JKX44" s="184"/>
      <c r="JKY44" s="184"/>
      <c r="JKZ44" s="184"/>
      <c r="JLA44" s="184"/>
      <c r="JLB44" s="184"/>
      <c r="JLC44" s="184"/>
      <c r="JLD44" s="184"/>
      <c r="JLE44" s="184"/>
      <c r="JLF44" s="184"/>
      <c r="JLG44" s="184"/>
      <c r="JLH44" s="184"/>
      <c r="JLI44" s="184"/>
      <c r="JLJ44" s="184"/>
      <c r="JLK44" s="184"/>
      <c r="JLL44" s="184"/>
      <c r="JLM44" s="184"/>
      <c r="JLN44" s="184"/>
      <c r="JLO44" s="184"/>
      <c r="JLP44" s="184"/>
      <c r="JLQ44" s="184"/>
      <c r="JLR44" s="184"/>
      <c r="JLS44" s="184"/>
      <c r="JLT44" s="184"/>
      <c r="JLU44" s="184"/>
      <c r="JLV44" s="184"/>
      <c r="JLW44" s="184"/>
      <c r="JLX44" s="184"/>
      <c r="JLY44" s="184"/>
      <c r="JLZ44" s="184"/>
      <c r="JMA44" s="184"/>
      <c r="JMB44" s="184"/>
      <c r="JMC44" s="184"/>
      <c r="JMD44" s="184"/>
      <c r="JME44" s="184"/>
      <c r="JMF44" s="184"/>
      <c r="JMG44" s="184"/>
      <c r="JMH44" s="184"/>
      <c r="JMI44" s="184"/>
      <c r="JMJ44" s="184"/>
      <c r="JMK44" s="184"/>
      <c r="JML44" s="184"/>
      <c r="JMM44" s="184"/>
      <c r="JMN44" s="184"/>
      <c r="JMO44" s="184"/>
      <c r="JMP44" s="184"/>
      <c r="JMQ44" s="184"/>
      <c r="JMR44" s="184"/>
      <c r="JMS44" s="184"/>
      <c r="JMT44" s="184"/>
      <c r="JMU44" s="184"/>
      <c r="JMV44" s="184"/>
      <c r="JMW44" s="184"/>
      <c r="JMX44" s="184"/>
      <c r="JMY44" s="184"/>
      <c r="JMZ44" s="184"/>
      <c r="JNA44" s="184"/>
      <c r="JNB44" s="184"/>
      <c r="JNC44" s="184"/>
      <c r="JND44" s="184"/>
      <c r="JNQ44" s="215"/>
      <c r="JNR44" s="202"/>
      <c r="JNS44" s="203"/>
      <c r="JNT44" s="203"/>
      <c r="JNU44" s="203"/>
      <c r="JNV44" s="204"/>
      <c r="JNW44" s="200"/>
      <c r="JNX44" s="227"/>
      <c r="JNY44" s="184"/>
      <c r="JNZ44" s="184"/>
      <c r="JOA44" s="184"/>
      <c r="JOB44" s="184"/>
      <c r="JOC44" s="184"/>
      <c r="JOD44" s="184"/>
      <c r="JOE44" s="184"/>
      <c r="JOF44" s="184"/>
      <c r="JOG44" s="184"/>
      <c r="JOH44" s="184"/>
      <c r="JOI44" s="184"/>
      <c r="JOJ44" s="184"/>
      <c r="JOK44" s="184"/>
      <c r="JOL44" s="184"/>
      <c r="JOM44" s="184"/>
      <c r="JON44" s="184"/>
      <c r="JOO44" s="184"/>
      <c r="JOP44" s="184"/>
      <c r="JOQ44" s="184"/>
      <c r="JOR44" s="184"/>
      <c r="JOS44" s="184"/>
      <c r="JOT44" s="184"/>
      <c r="JOU44" s="184"/>
      <c r="JOV44" s="184"/>
      <c r="JOW44" s="184"/>
      <c r="JOX44" s="184"/>
      <c r="JOY44" s="184"/>
      <c r="JOZ44" s="184"/>
      <c r="JPA44" s="184"/>
      <c r="JPB44" s="184"/>
      <c r="JPC44" s="184"/>
      <c r="JPD44" s="184"/>
      <c r="JPE44" s="184"/>
      <c r="JPF44" s="184"/>
      <c r="JPG44" s="184"/>
      <c r="JPH44" s="184"/>
      <c r="JPI44" s="184"/>
      <c r="JPJ44" s="184"/>
      <c r="JPK44" s="184"/>
      <c r="JPL44" s="184"/>
      <c r="JPM44" s="184"/>
      <c r="JPN44" s="184"/>
      <c r="JPO44" s="184"/>
      <c r="JPP44" s="184"/>
      <c r="JPQ44" s="184"/>
      <c r="JPR44" s="184"/>
      <c r="JPS44" s="184"/>
      <c r="JPT44" s="184"/>
      <c r="JPU44" s="184"/>
      <c r="JPV44" s="184"/>
      <c r="JPW44" s="184"/>
      <c r="JPX44" s="184"/>
      <c r="JPY44" s="184"/>
      <c r="JPZ44" s="184"/>
      <c r="JQA44" s="184"/>
      <c r="JQB44" s="184"/>
      <c r="JQC44" s="184"/>
      <c r="JQD44" s="184"/>
      <c r="JQE44" s="184"/>
      <c r="JQF44" s="184"/>
      <c r="JQG44" s="184"/>
      <c r="JQH44" s="184"/>
      <c r="JQI44" s="184"/>
      <c r="JQJ44" s="184"/>
      <c r="JQW44" s="215"/>
      <c r="JQX44" s="202"/>
      <c r="JQY44" s="203"/>
      <c r="JQZ44" s="203"/>
      <c r="JRA44" s="203"/>
      <c r="JRB44" s="204"/>
      <c r="JRC44" s="200"/>
      <c r="JRD44" s="227"/>
      <c r="JRE44" s="184"/>
      <c r="JRF44" s="184"/>
      <c r="JRG44" s="184"/>
      <c r="JRH44" s="184"/>
      <c r="JRI44" s="184"/>
      <c r="JRJ44" s="184"/>
      <c r="JRK44" s="184"/>
      <c r="JRL44" s="184"/>
      <c r="JRM44" s="184"/>
      <c r="JRN44" s="184"/>
      <c r="JRO44" s="184"/>
      <c r="JRP44" s="184"/>
      <c r="JRQ44" s="184"/>
      <c r="JRR44" s="184"/>
      <c r="JRS44" s="184"/>
      <c r="JRT44" s="184"/>
      <c r="JRU44" s="184"/>
      <c r="JRV44" s="184"/>
      <c r="JRW44" s="184"/>
      <c r="JRX44" s="184"/>
      <c r="JRY44" s="184"/>
      <c r="JRZ44" s="184"/>
      <c r="JSA44" s="184"/>
      <c r="JSB44" s="184"/>
      <c r="JSC44" s="184"/>
      <c r="JSD44" s="184"/>
      <c r="JSE44" s="184"/>
      <c r="JSF44" s="184"/>
      <c r="JSG44" s="184"/>
      <c r="JSH44" s="184"/>
      <c r="JSI44" s="184"/>
      <c r="JSJ44" s="184"/>
      <c r="JSK44" s="184"/>
      <c r="JSL44" s="184"/>
      <c r="JSM44" s="184"/>
      <c r="JSN44" s="184"/>
      <c r="JSO44" s="184"/>
      <c r="JSP44" s="184"/>
      <c r="JSQ44" s="184"/>
      <c r="JSR44" s="184"/>
      <c r="JSS44" s="184"/>
      <c r="JST44" s="184"/>
      <c r="JSU44" s="184"/>
      <c r="JSV44" s="184"/>
      <c r="JSW44" s="184"/>
      <c r="JSX44" s="184"/>
      <c r="JSY44" s="184"/>
      <c r="JSZ44" s="184"/>
      <c r="JTA44" s="184"/>
      <c r="JTB44" s="184"/>
      <c r="JTC44" s="184"/>
      <c r="JTD44" s="184"/>
      <c r="JTE44" s="184"/>
      <c r="JTF44" s="184"/>
      <c r="JTG44" s="184"/>
      <c r="JTH44" s="184"/>
      <c r="JTI44" s="184"/>
      <c r="JTJ44" s="184"/>
      <c r="JTK44" s="184"/>
      <c r="JTL44" s="184"/>
      <c r="JTM44" s="184"/>
      <c r="JTN44" s="184"/>
      <c r="JTO44" s="184"/>
      <c r="JTP44" s="184"/>
      <c r="JUC44" s="215"/>
      <c r="JUD44" s="202"/>
      <c r="JUE44" s="203"/>
      <c r="JUF44" s="203"/>
      <c r="JUG44" s="203"/>
      <c r="JUH44" s="204"/>
      <c r="JUI44" s="200"/>
      <c r="JUJ44" s="227"/>
      <c r="JUK44" s="184"/>
      <c r="JUL44" s="184"/>
      <c r="JUM44" s="184"/>
      <c r="JUN44" s="184"/>
      <c r="JUO44" s="184"/>
      <c r="JUP44" s="184"/>
      <c r="JUQ44" s="184"/>
      <c r="JUR44" s="184"/>
      <c r="JUS44" s="184"/>
      <c r="JUT44" s="184"/>
      <c r="JUU44" s="184"/>
      <c r="JUV44" s="184"/>
      <c r="JUW44" s="184"/>
      <c r="JUX44" s="184"/>
      <c r="JUY44" s="184"/>
      <c r="JUZ44" s="184"/>
      <c r="JVA44" s="184"/>
      <c r="JVB44" s="184"/>
      <c r="JVC44" s="184"/>
      <c r="JVD44" s="184"/>
      <c r="JVE44" s="184"/>
      <c r="JVF44" s="184"/>
      <c r="JVG44" s="184"/>
      <c r="JVH44" s="184"/>
      <c r="JVI44" s="184"/>
      <c r="JVJ44" s="184"/>
      <c r="JVK44" s="184"/>
      <c r="JVL44" s="184"/>
      <c r="JVM44" s="184"/>
      <c r="JVN44" s="184"/>
      <c r="JVO44" s="184"/>
      <c r="JVP44" s="184"/>
      <c r="JVQ44" s="184"/>
      <c r="JVR44" s="184"/>
      <c r="JVS44" s="184"/>
      <c r="JVT44" s="184"/>
      <c r="JVU44" s="184"/>
      <c r="JVV44" s="184"/>
      <c r="JVW44" s="184"/>
      <c r="JVX44" s="184"/>
      <c r="JVY44" s="184"/>
      <c r="JVZ44" s="184"/>
      <c r="JWA44" s="184"/>
      <c r="JWB44" s="184"/>
      <c r="JWC44" s="184"/>
      <c r="JWD44" s="184"/>
      <c r="JWE44" s="184"/>
      <c r="JWF44" s="184"/>
      <c r="JWG44" s="184"/>
      <c r="JWH44" s="184"/>
      <c r="JWI44" s="184"/>
      <c r="JWJ44" s="184"/>
      <c r="JWK44" s="184"/>
      <c r="JWL44" s="184"/>
      <c r="JWM44" s="184"/>
      <c r="JWN44" s="184"/>
      <c r="JWO44" s="184"/>
      <c r="JWP44" s="184"/>
      <c r="JWQ44" s="184"/>
      <c r="JWR44" s="184"/>
      <c r="JWS44" s="184"/>
      <c r="JWT44" s="184"/>
      <c r="JWU44" s="184"/>
      <c r="JWV44" s="184"/>
      <c r="JXI44" s="215"/>
      <c r="JXJ44" s="202"/>
      <c r="JXK44" s="203"/>
      <c r="JXL44" s="203"/>
      <c r="JXM44" s="203"/>
      <c r="JXN44" s="204"/>
      <c r="JXO44" s="200"/>
      <c r="JXP44" s="227"/>
      <c r="JXQ44" s="184"/>
      <c r="JXR44" s="184"/>
      <c r="JXS44" s="184"/>
      <c r="JXT44" s="184"/>
      <c r="JXU44" s="184"/>
      <c r="JXV44" s="184"/>
      <c r="JXW44" s="184"/>
      <c r="JXX44" s="184"/>
      <c r="JXY44" s="184"/>
      <c r="JXZ44" s="184"/>
      <c r="JYA44" s="184"/>
      <c r="JYB44" s="184"/>
      <c r="JYC44" s="184"/>
      <c r="JYD44" s="184"/>
      <c r="JYE44" s="184"/>
      <c r="JYF44" s="184"/>
      <c r="JYG44" s="184"/>
      <c r="JYH44" s="184"/>
      <c r="JYI44" s="184"/>
      <c r="JYJ44" s="184"/>
      <c r="JYK44" s="184"/>
      <c r="JYL44" s="184"/>
      <c r="JYM44" s="184"/>
      <c r="JYN44" s="184"/>
      <c r="JYO44" s="184"/>
      <c r="JYP44" s="184"/>
      <c r="JYQ44" s="184"/>
      <c r="JYR44" s="184"/>
      <c r="JYS44" s="184"/>
      <c r="JYT44" s="184"/>
      <c r="JYU44" s="184"/>
      <c r="JYV44" s="184"/>
      <c r="JYW44" s="184"/>
      <c r="JYX44" s="184"/>
      <c r="JYY44" s="184"/>
      <c r="JYZ44" s="184"/>
      <c r="JZA44" s="184"/>
      <c r="JZB44" s="184"/>
      <c r="JZC44" s="184"/>
      <c r="JZD44" s="184"/>
      <c r="JZE44" s="184"/>
      <c r="JZF44" s="184"/>
      <c r="JZG44" s="184"/>
      <c r="JZH44" s="184"/>
      <c r="JZI44" s="184"/>
      <c r="JZJ44" s="184"/>
      <c r="JZK44" s="184"/>
      <c r="JZL44" s="184"/>
      <c r="JZM44" s="184"/>
      <c r="JZN44" s="184"/>
      <c r="JZO44" s="184"/>
      <c r="JZP44" s="184"/>
      <c r="JZQ44" s="184"/>
      <c r="JZR44" s="184"/>
      <c r="JZS44" s="184"/>
      <c r="JZT44" s="184"/>
      <c r="JZU44" s="184"/>
      <c r="JZV44" s="184"/>
      <c r="JZW44" s="184"/>
      <c r="JZX44" s="184"/>
      <c r="JZY44" s="184"/>
      <c r="JZZ44" s="184"/>
      <c r="KAA44" s="184"/>
      <c r="KAB44" s="184"/>
      <c r="KAO44" s="215"/>
      <c r="KAP44" s="202"/>
      <c r="KAQ44" s="203"/>
      <c r="KAR44" s="203"/>
      <c r="KAS44" s="203"/>
      <c r="KAT44" s="204"/>
      <c r="KAU44" s="200"/>
      <c r="KAV44" s="227"/>
      <c r="KAW44" s="184"/>
      <c r="KAX44" s="184"/>
      <c r="KAY44" s="184"/>
      <c r="KAZ44" s="184"/>
      <c r="KBA44" s="184"/>
      <c r="KBB44" s="184"/>
      <c r="KBC44" s="184"/>
      <c r="KBD44" s="184"/>
      <c r="KBE44" s="184"/>
      <c r="KBF44" s="184"/>
      <c r="KBG44" s="184"/>
      <c r="KBH44" s="184"/>
      <c r="KBI44" s="184"/>
      <c r="KBJ44" s="184"/>
      <c r="KBK44" s="184"/>
      <c r="KBL44" s="184"/>
      <c r="KBM44" s="184"/>
      <c r="KBN44" s="184"/>
      <c r="KBO44" s="184"/>
      <c r="KBP44" s="184"/>
      <c r="KBQ44" s="184"/>
      <c r="KBR44" s="184"/>
      <c r="KBS44" s="184"/>
      <c r="KBT44" s="184"/>
      <c r="KBU44" s="184"/>
      <c r="KBV44" s="184"/>
      <c r="KBW44" s="184"/>
      <c r="KBX44" s="184"/>
      <c r="KBY44" s="184"/>
      <c r="KBZ44" s="184"/>
      <c r="KCA44" s="184"/>
      <c r="KCB44" s="184"/>
      <c r="KCC44" s="184"/>
      <c r="KCD44" s="184"/>
      <c r="KCE44" s="184"/>
      <c r="KCF44" s="184"/>
      <c r="KCG44" s="184"/>
      <c r="KCH44" s="184"/>
      <c r="KCI44" s="184"/>
      <c r="KCJ44" s="184"/>
      <c r="KCK44" s="184"/>
      <c r="KCL44" s="184"/>
      <c r="KCM44" s="184"/>
      <c r="KCN44" s="184"/>
      <c r="KCO44" s="184"/>
      <c r="KCP44" s="184"/>
      <c r="KCQ44" s="184"/>
      <c r="KCR44" s="184"/>
      <c r="KCS44" s="184"/>
      <c r="KCT44" s="184"/>
      <c r="KCU44" s="184"/>
      <c r="KCV44" s="184"/>
      <c r="KCW44" s="184"/>
      <c r="KCX44" s="184"/>
      <c r="KCY44" s="184"/>
      <c r="KCZ44" s="184"/>
      <c r="KDA44" s="184"/>
      <c r="KDB44" s="184"/>
      <c r="KDC44" s="184"/>
      <c r="KDD44" s="184"/>
      <c r="KDE44" s="184"/>
      <c r="KDF44" s="184"/>
      <c r="KDG44" s="184"/>
      <c r="KDH44" s="184"/>
      <c r="KDU44" s="215"/>
      <c r="KDV44" s="202"/>
      <c r="KDW44" s="203"/>
      <c r="KDX44" s="203"/>
      <c r="KDY44" s="203"/>
      <c r="KDZ44" s="204"/>
      <c r="KEA44" s="200"/>
      <c r="KEB44" s="227"/>
      <c r="KEC44" s="184"/>
      <c r="KED44" s="184"/>
      <c r="KEE44" s="184"/>
      <c r="KEF44" s="184"/>
      <c r="KEG44" s="184"/>
      <c r="KEH44" s="184"/>
      <c r="KEI44" s="184"/>
      <c r="KEJ44" s="184"/>
      <c r="KEK44" s="184"/>
      <c r="KEL44" s="184"/>
      <c r="KEM44" s="184"/>
      <c r="KEN44" s="184"/>
      <c r="KEO44" s="184"/>
      <c r="KEP44" s="184"/>
      <c r="KEQ44" s="184"/>
      <c r="KER44" s="184"/>
      <c r="KES44" s="184"/>
      <c r="KET44" s="184"/>
      <c r="KEU44" s="184"/>
      <c r="KEV44" s="184"/>
      <c r="KEW44" s="184"/>
      <c r="KEX44" s="184"/>
      <c r="KEY44" s="184"/>
      <c r="KEZ44" s="184"/>
      <c r="KFA44" s="184"/>
      <c r="KFB44" s="184"/>
      <c r="KFC44" s="184"/>
      <c r="KFD44" s="184"/>
      <c r="KFE44" s="184"/>
      <c r="KFF44" s="184"/>
      <c r="KFG44" s="184"/>
      <c r="KFH44" s="184"/>
      <c r="KFI44" s="184"/>
      <c r="KFJ44" s="184"/>
      <c r="KFK44" s="184"/>
      <c r="KFL44" s="184"/>
      <c r="KFM44" s="184"/>
      <c r="KFN44" s="184"/>
      <c r="KFO44" s="184"/>
      <c r="KFP44" s="184"/>
      <c r="KFQ44" s="184"/>
      <c r="KFR44" s="184"/>
      <c r="KFS44" s="184"/>
      <c r="KFT44" s="184"/>
      <c r="KFU44" s="184"/>
      <c r="KFV44" s="184"/>
      <c r="KFW44" s="184"/>
      <c r="KFX44" s="184"/>
      <c r="KFY44" s="184"/>
      <c r="KFZ44" s="184"/>
      <c r="KGA44" s="184"/>
      <c r="KGB44" s="184"/>
      <c r="KGC44" s="184"/>
      <c r="KGD44" s="184"/>
      <c r="KGE44" s="184"/>
      <c r="KGF44" s="184"/>
      <c r="KGG44" s="184"/>
      <c r="KGH44" s="184"/>
      <c r="KGI44" s="184"/>
      <c r="KGJ44" s="184"/>
      <c r="KGK44" s="184"/>
      <c r="KGL44" s="184"/>
      <c r="KGM44" s="184"/>
      <c r="KGN44" s="184"/>
      <c r="KHA44" s="215"/>
      <c r="KHB44" s="202"/>
      <c r="KHC44" s="203"/>
      <c r="KHD44" s="203"/>
      <c r="KHE44" s="203"/>
      <c r="KHF44" s="204"/>
      <c r="KHG44" s="200"/>
      <c r="KHH44" s="227"/>
      <c r="KHI44" s="184"/>
      <c r="KHJ44" s="184"/>
      <c r="KHK44" s="184"/>
      <c r="KHL44" s="184"/>
      <c r="KHM44" s="184"/>
      <c r="KHN44" s="184"/>
      <c r="KHO44" s="184"/>
      <c r="KHP44" s="184"/>
      <c r="KHQ44" s="184"/>
      <c r="KHR44" s="184"/>
      <c r="KHS44" s="184"/>
      <c r="KHT44" s="184"/>
      <c r="KHU44" s="184"/>
      <c r="KHV44" s="184"/>
      <c r="KHW44" s="184"/>
      <c r="KHX44" s="184"/>
      <c r="KHY44" s="184"/>
      <c r="KHZ44" s="184"/>
      <c r="KIA44" s="184"/>
      <c r="KIB44" s="184"/>
      <c r="KIC44" s="184"/>
      <c r="KID44" s="184"/>
      <c r="KIE44" s="184"/>
      <c r="KIF44" s="184"/>
      <c r="KIG44" s="184"/>
      <c r="KIH44" s="184"/>
      <c r="KII44" s="184"/>
      <c r="KIJ44" s="184"/>
      <c r="KIK44" s="184"/>
      <c r="KIL44" s="184"/>
      <c r="KIM44" s="184"/>
      <c r="KIN44" s="184"/>
      <c r="KIO44" s="184"/>
      <c r="KIP44" s="184"/>
      <c r="KIQ44" s="184"/>
      <c r="KIR44" s="184"/>
      <c r="KIS44" s="184"/>
      <c r="KIT44" s="184"/>
      <c r="KIU44" s="184"/>
      <c r="KIV44" s="184"/>
      <c r="KIW44" s="184"/>
      <c r="KIX44" s="184"/>
      <c r="KIY44" s="184"/>
      <c r="KIZ44" s="184"/>
      <c r="KJA44" s="184"/>
      <c r="KJB44" s="184"/>
      <c r="KJC44" s="184"/>
      <c r="KJD44" s="184"/>
      <c r="KJE44" s="184"/>
      <c r="KJF44" s="184"/>
      <c r="KJG44" s="184"/>
      <c r="KJH44" s="184"/>
      <c r="KJI44" s="184"/>
      <c r="KJJ44" s="184"/>
      <c r="KJK44" s="184"/>
      <c r="KJL44" s="184"/>
      <c r="KJM44" s="184"/>
      <c r="KJN44" s="184"/>
      <c r="KJO44" s="184"/>
      <c r="KJP44" s="184"/>
      <c r="KJQ44" s="184"/>
      <c r="KJR44" s="184"/>
      <c r="KJS44" s="184"/>
      <c r="KJT44" s="184"/>
      <c r="KKG44" s="215"/>
      <c r="KKH44" s="202"/>
      <c r="KKI44" s="203"/>
      <c r="KKJ44" s="203"/>
      <c r="KKK44" s="203"/>
      <c r="KKL44" s="204"/>
      <c r="KKM44" s="200"/>
      <c r="KKN44" s="227"/>
      <c r="KKO44" s="184"/>
      <c r="KKP44" s="184"/>
      <c r="KKQ44" s="184"/>
      <c r="KKR44" s="184"/>
      <c r="KKS44" s="184"/>
      <c r="KKT44" s="184"/>
      <c r="KKU44" s="184"/>
      <c r="KKV44" s="184"/>
      <c r="KKW44" s="184"/>
      <c r="KKX44" s="184"/>
      <c r="KKY44" s="184"/>
      <c r="KKZ44" s="184"/>
      <c r="KLA44" s="184"/>
      <c r="KLB44" s="184"/>
      <c r="KLC44" s="184"/>
      <c r="KLD44" s="184"/>
      <c r="KLE44" s="184"/>
      <c r="KLF44" s="184"/>
      <c r="KLG44" s="184"/>
      <c r="KLH44" s="184"/>
      <c r="KLI44" s="184"/>
      <c r="KLJ44" s="184"/>
      <c r="KLK44" s="184"/>
      <c r="KLL44" s="184"/>
      <c r="KLM44" s="184"/>
      <c r="KLN44" s="184"/>
      <c r="KLO44" s="184"/>
      <c r="KLP44" s="184"/>
      <c r="KLQ44" s="184"/>
      <c r="KLR44" s="184"/>
      <c r="KLS44" s="184"/>
      <c r="KLT44" s="184"/>
      <c r="KLU44" s="184"/>
      <c r="KLV44" s="184"/>
      <c r="KLW44" s="184"/>
      <c r="KLX44" s="184"/>
      <c r="KLY44" s="184"/>
      <c r="KLZ44" s="184"/>
      <c r="KMA44" s="184"/>
      <c r="KMB44" s="184"/>
      <c r="KMC44" s="184"/>
      <c r="KMD44" s="184"/>
      <c r="KME44" s="184"/>
      <c r="KMF44" s="184"/>
      <c r="KMG44" s="184"/>
      <c r="KMH44" s="184"/>
      <c r="KMI44" s="184"/>
      <c r="KMJ44" s="184"/>
      <c r="KMK44" s="184"/>
      <c r="KML44" s="184"/>
      <c r="KMM44" s="184"/>
      <c r="KMN44" s="184"/>
      <c r="KMO44" s="184"/>
      <c r="KMP44" s="184"/>
      <c r="KMQ44" s="184"/>
      <c r="KMR44" s="184"/>
      <c r="KMS44" s="184"/>
      <c r="KMT44" s="184"/>
      <c r="KMU44" s="184"/>
      <c r="KMV44" s="184"/>
      <c r="KMW44" s="184"/>
      <c r="KMX44" s="184"/>
      <c r="KMY44" s="184"/>
      <c r="KMZ44" s="184"/>
      <c r="KNM44" s="215"/>
      <c r="KNN44" s="202"/>
      <c r="KNO44" s="203"/>
      <c r="KNP44" s="203"/>
      <c r="KNQ44" s="203"/>
      <c r="KNR44" s="204"/>
      <c r="KNS44" s="200"/>
      <c r="KNT44" s="227"/>
      <c r="KNU44" s="184"/>
      <c r="KNV44" s="184"/>
      <c r="KNW44" s="184"/>
      <c r="KNX44" s="184"/>
      <c r="KNY44" s="184"/>
      <c r="KNZ44" s="184"/>
      <c r="KOA44" s="184"/>
      <c r="KOB44" s="184"/>
      <c r="KOC44" s="184"/>
      <c r="KOD44" s="184"/>
      <c r="KOE44" s="184"/>
      <c r="KOF44" s="184"/>
      <c r="KOG44" s="184"/>
      <c r="KOH44" s="184"/>
      <c r="KOI44" s="184"/>
      <c r="KOJ44" s="184"/>
      <c r="KOK44" s="184"/>
      <c r="KOL44" s="184"/>
      <c r="KOM44" s="184"/>
      <c r="KON44" s="184"/>
      <c r="KOO44" s="184"/>
      <c r="KOP44" s="184"/>
      <c r="KOQ44" s="184"/>
      <c r="KOR44" s="184"/>
      <c r="KOS44" s="184"/>
      <c r="KOT44" s="184"/>
      <c r="KOU44" s="184"/>
      <c r="KOV44" s="184"/>
      <c r="KOW44" s="184"/>
      <c r="KOX44" s="184"/>
      <c r="KOY44" s="184"/>
      <c r="KOZ44" s="184"/>
      <c r="KPA44" s="184"/>
      <c r="KPB44" s="184"/>
      <c r="KPC44" s="184"/>
      <c r="KPD44" s="184"/>
      <c r="KPE44" s="184"/>
      <c r="KPF44" s="184"/>
      <c r="KPG44" s="184"/>
      <c r="KPH44" s="184"/>
      <c r="KPI44" s="184"/>
      <c r="KPJ44" s="184"/>
      <c r="KPK44" s="184"/>
      <c r="KPL44" s="184"/>
      <c r="KPM44" s="184"/>
      <c r="KPN44" s="184"/>
      <c r="KPO44" s="184"/>
      <c r="KPP44" s="184"/>
      <c r="KPQ44" s="184"/>
      <c r="KPR44" s="184"/>
      <c r="KPS44" s="184"/>
      <c r="KPT44" s="184"/>
      <c r="KPU44" s="184"/>
      <c r="KPV44" s="184"/>
      <c r="KPW44" s="184"/>
      <c r="KPX44" s="184"/>
      <c r="KPY44" s="184"/>
      <c r="KPZ44" s="184"/>
      <c r="KQA44" s="184"/>
      <c r="KQB44" s="184"/>
      <c r="KQC44" s="184"/>
      <c r="KQD44" s="184"/>
      <c r="KQE44" s="184"/>
      <c r="KQF44" s="184"/>
      <c r="KQS44" s="215"/>
      <c r="KQT44" s="202"/>
      <c r="KQU44" s="203"/>
      <c r="KQV44" s="203"/>
      <c r="KQW44" s="203"/>
      <c r="KQX44" s="204"/>
      <c r="KQY44" s="200"/>
      <c r="KQZ44" s="227"/>
      <c r="KRA44" s="184"/>
      <c r="KRB44" s="184"/>
      <c r="KRC44" s="184"/>
      <c r="KRD44" s="184"/>
      <c r="KRE44" s="184"/>
      <c r="KRF44" s="184"/>
      <c r="KRG44" s="184"/>
      <c r="KRH44" s="184"/>
      <c r="KRI44" s="184"/>
      <c r="KRJ44" s="184"/>
      <c r="KRK44" s="184"/>
      <c r="KRL44" s="184"/>
      <c r="KRM44" s="184"/>
      <c r="KRN44" s="184"/>
      <c r="KRO44" s="184"/>
      <c r="KRP44" s="184"/>
      <c r="KRQ44" s="184"/>
      <c r="KRR44" s="184"/>
      <c r="KRS44" s="184"/>
      <c r="KRT44" s="184"/>
      <c r="KRU44" s="184"/>
      <c r="KRV44" s="184"/>
      <c r="KRW44" s="184"/>
      <c r="KRX44" s="184"/>
      <c r="KRY44" s="184"/>
      <c r="KRZ44" s="184"/>
      <c r="KSA44" s="184"/>
      <c r="KSB44" s="184"/>
      <c r="KSC44" s="184"/>
      <c r="KSD44" s="184"/>
      <c r="KSE44" s="184"/>
      <c r="KSF44" s="184"/>
      <c r="KSG44" s="184"/>
      <c r="KSH44" s="184"/>
      <c r="KSI44" s="184"/>
      <c r="KSJ44" s="184"/>
      <c r="KSK44" s="184"/>
      <c r="KSL44" s="184"/>
      <c r="KSM44" s="184"/>
      <c r="KSN44" s="184"/>
      <c r="KSO44" s="184"/>
      <c r="KSP44" s="184"/>
      <c r="KSQ44" s="184"/>
      <c r="KSR44" s="184"/>
      <c r="KSS44" s="184"/>
      <c r="KST44" s="184"/>
      <c r="KSU44" s="184"/>
      <c r="KSV44" s="184"/>
      <c r="KSW44" s="184"/>
      <c r="KSX44" s="184"/>
      <c r="KSY44" s="184"/>
      <c r="KSZ44" s="184"/>
      <c r="KTA44" s="184"/>
      <c r="KTB44" s="184"/>
      <c r="KTC44" s="184"/>
      <c r="KTD44" s="184"/>
      <c r="KTE44" s="184"/>
      <c r="KTF44" s="184"/>
      <c r="KTG44" s="184"/>
      <c r="KTH44" s="184"/>
      <c r="KTI44" s="184"/>
      <c r="KTJ44" s="184"/>
      <c r="KTK44" s="184"/>
      <c r="KTL44" s="184"/>
      <c r="KTY44" s="215"/>
      <c r="KTZ44" s="202"/>
      <c r="KUA44" s="203"/>
      <c r="KUB44" s="203"/>
      <c r="KUC44" s="203"/>
      <c r="KUD44" s="204"/>
      <c r="KUE44" s="200"/>
      <c r="KUF44" s="227"/>
      <c r="KUG44" s="184"/>
      <c r="KUH44" s="184"/>
      <c r="KUI44" s="184"/>
      <c r="KUJ44" s="184"/>
      <c r="KUK44" s="184"/>
      <c r="KUL44" s="184"/>
      <c r="KUM44" s="184"/>
      <c r="KUN44" s="184"/>
      <c r="KUO44" s="184"/>
      <c r="KUP44" s="184"/>
      <c r="KUQ44" s="184"/>
      <c r="KUR44" s="184"/>
      <c r="KUS44" s="184"/>
      <c r="KUT44" s="184"/>
      <c r="KUU44" s="184"/>
      <c r="KUV44" s="184"/>
      <c r="KUW44" s="184"/>
      <c r="KUX44" s="184"/>
      <c r="KUY44" s="184"/>
      <c r="KUZ44" s="184"/>
      <c r="KVA44" s="184"/>
      <c r="KVB44" s="184"/>
      <c r="KVC44" s="184"/>
      <c r="KVD44" s="184"/>
      <c r="KVE44" s="184"/>
      <c r="KVF44" s="184"/>
      <c r="KVG44" s="184"/>
      <c r="KVH44" s="184"/>
      <c r="KVI44" s="184"/>
      <c r="KVJ44" s="184"/>
      <c r="KVK44" s="184"/>
      <c r="KVL44" s="184"/>
      <c r="KVM44" s="184"/>
      <c r="KVN44" s="184"/>
      <c r="KVO44" s="184"/>
      <c r="KVP44" s="184"/>
      <c r="KVQ44" s="184"/>
      <c r="KVR44" s="184"/>
      <c r="KVS44" s="184"/>
      <c r="KVT44" s="184"/>
      <c r="KVU44" s="184"/>
      <c r="KVV44" s="184"/>
      <c r="KVW44" s="184"/>
      <c r="KVX44" s="184"/>
      <c r="KVY44" s="184"/>
      <c r="KVZ44" s="184"/>
      <c r="KWA44" s="184"/>
      <c r="KWB44" s="184"/>
      <c r="KWC44" s="184"/>
      <c r="KWD44" s="184"/>
      <c r="KWE44" s="184"/>
      <c r="KWF44" s="184"/>
      <c r="KWG44" s="184"/>
      <c r="KWH44" s="184"/>
      <c r="KWI44" s="184"/>
      <c r="KWJ44" s="184"/>
      <c r="KWK44" s="184"/>
      <c r="KWL44" s="184"/>
      <c r="KWM44" s="184"/>
      <c r="KWN44" s="184"/>
      <c r="KWO44" s="184"/>
      <c r="KWP44" s="184"/>
      <c r="KWQ44" s="184"/>
      <c r="KWR44" s="184"/>
      <c r="KXE44" s="215"/>
      <c r="KXF44" s="202"/>
      <c r="KXG44" s="203"/>
      <c r="KXH44" s="203"/>
      <c r="KXI44" s="203"/>
      <c r="KXJ44" s="204"/>
      <c r="KXK44" s="200"/>
      <c r="KXL44" s="227"/>
      <c r="KXM44" s="184"/>
      <c r="KXN44" s="184"/>
      <c r="KXO44" s="184"/>
      <c r="KXP44" s="184"/>
      <c r="KXQ44" s="184"/>
      <c r="KXR44" s="184"/>
      <c r="KXS44" s="184"/>
      <c r="KXT44" s="184"/>
      <c r="KXU44" s="184"/>
      <c r="KXV44" s="184"/>
      <c r="KXW44" s="184"/>
      <c r="KXX44" s="184"/>
      <c r="KXY44" s="184"/>
      <c r="KXZ44" s="184"/>
      <c r="KYA44" s="184"/>
      <c r="KYB44" s="184"/>
      <c r="KYC44" s="184"/>
      <c r="KYD44" s="184"/>
      <c r="KYE44" s="184"/>
      <c r="KYF44" s="184"/>
      <c r="KYG44" s="184"/>
      <c r="KYH44" s="184"/>
      <c r="KYI44" s="184"/>
      <c r="KYJ44" s="184"/>
      <c r="KYK44" s="184"/>
      <c r="KYL44" s="184"/>
      <c r="KYM44" s="184"/>
      <c r="KYN44" s="184"/>
      <c r="KYO44" s="184"/>
      <c r="KYP44" s="184"/>
      <c r="KYQ44" s="184"/>
      <c r="KYR44" s="184"/>
      <c r="KYS44" s="184"/>
      <c r="KYT44" s="184"/>
      <c r="KYU44" s="184"/>
      <c r="KYV44" s="184"/>
      <c r="KYW44" s="184"/>
      <c r="KYX44" s="184"/>
      <c r="KYY44" s="184"/>
      <c r="KYZ44" s="184"/>
      <c r="KZA44" s="184"/>
      <c r="KZB44" s="184"/>
      <c r="KZC44" s="184"/>
      <c r="KZD44" s="184"/>
      <c r="KZE44" s="184"/>
      <c r="KZF44" s="184"/>
      <c r="KZG44" s="184"/>
      <c r="KZH44" s="184"/>
      <c r="KZI44" s="184"/>
      <c r="KZJ44" s="184"/>
      <c r="KZK44" s="184"/>
      <c r="KZL44" s="184"/>
      <c r="KZM44" s="184"/>
      <c r="KZN44" s="184"/>
      <c r="KZO44" s="184"/>
      <c r="KZP44" s="184"/>
      <c r="KZQ44" s="184"/>
      <c r="KZR44" s="184"/>
      <c r="KZS44" s="184"/>
      <c r="KZT44" s="184"/>
      <c r="KZU44" s="184"/>
      <c r="KZV44" s="184"/>
      <c r="KZW44" s="184"/>
      <c r="KZX44" s="184"/>
      <c r="LAK44" s="215"/>
      <c r="LAL44" s="202"/>
      <c r="LAM44" s="203"/>
      <c r="LAN44" s="203"/>
      <c r="LAO44" s="203"/>
      <c r="LAP44" s="204"/>
      <c r="LAQ44" s="200"/>
      <c r="LAR44" s="227"/>
      <c r="LAS44" s="184"/>
      <c r="LAT44" s="184"/>
      <c r="LAU44" s="184"/>
      <c r="LAV44" s="184"/>
      <c r="LAW44" s="184"/>
      <c r="LAX44" s="184"/>
      <c r="LAY44" s="184"/>
      <c r="LAZ44" s="184"/>
      <c r="LBA44" s="184"/>
      <c r="LBB44" s="184"/>
      <c r="LBC44" s="184"/>
      <c r="LBD44" s="184"/>
      <c r="LBE44" s="184"/>
      <c r="LBF44" s="184"/>
      <c r="LBG44" s="184"/>
      <c r="LBH44" s="184"/>
      <c r="LBI44" s="184"/>
      <c r="LBJ44" s="184"/>
      <c r="LBK44" s="184"/>
      <c r="LBL44" s="184"/>
      <c r="LBM44" s="184"/>
      <c r="LBN44" s="184"/>
      <c r="LBO44" s="184"/>
      <c r="LBP44" s="184"/>
      <c r="LBQ44" s="184"/>
      <c r="LBR44" s="184"/>
      <c r="LBS44" s="184"/>
      <c r="LBT44" s="184"/>
      <c r="LBU44" s="184"/>
      <c r="LBV44" s="184"/>
      <c r="LBW44" s="184"/>
      <c r="LBX44" s="184"/>
      <c r="LBY44" s="184"/>
      <c r="LBZ44" s="184"/>
      <c r="LCA44" s="184"/>
      <c r="LCB44" s="184"/>
      <c r="LCC44" s="184"/>
      <c r="LCD44" s="184"/>
      <c r="LCE44" s="184"/>
      <c r="LCF44" s="184"/>
      <c r="LCG44" s="184"/>
      <c r="LCH44" s="184"/>
      <c r="LCI44" s="184"/>
      <c r="LCJ44" s="184"/>
      <c r="LCK44" s="184"/>
      <c r="LCL44" s="184"/>
      <c r="LCM44" s="184"/>
      <c r="LCN44" s="184"/>
      <c r="LCO44" s="184"/>
      <c r="LCP44" s="184"/>
      <c r="LCQ44" s="184"/>
      <c r="LCR44" s="184"/>
      <c r="LCS44" s="184"/>
      <c r="LCT44" s="184"/>
      <c r="LCU44" s="184"/>
      <c r="LCV44" s="184"/>
      <c r="LCW44" s="184"/>
      <c r="LCX44" s="184"/>
      <c r="LCY44" s="184"/>
      <c r="LCZ44" s="184"/>
      <c r="LDA44" s="184"/>
      <c r="LDB44" s="184"/>
      <c r="LDC44" s="184"/>
      <c r="LDD44" s="184"/>
      <c r="LDQ44" s="215"/>
      <c r="LDR44" s="202"/>
      <c r="LDS44" s="203"/>
      <c r="LDT44" s="203"/>
      <c r="LDU44" s="203"/>
      <c r="LDV44" s="204"/>
      <c r="LDW44" s="200"/>
      <c r="LDX44" s="227"/>
      <c r="LDY44" s="184"/>
      <c r="LDZ44" s="184"/>
      <c r="LEA44" s="184"/>
      <c r="LEB44" s="184"/>
      <c r="LEC44" s="184"/>
      <c r="LED44" s="184"/>
      <c r="LEE44" s="184"/>
      <c r="LEF44" s="184"/>
      <c r="LEG44" s="184"/>
      <c r="LEH44" s="184"/>
      <c r="LEI44" s="184"/>
      <c r="LEJ44" s="184"/>
      <c r="LEK44" s="184"/>
      <c r="LEL44" s="184"/>
      <c r="LEM44" s="184"/>
      <c r="LEN44" s="184"/>
      <c r="LEO44" s="184"/>
      <c r="LEP44" s="184"/>
      <c r="LEQ44" s="184"/>
      <c r="LER44" s="184"/>
      <c r="LES44" s="184"/>
      <c r="LET44" s="184"/>
      <c r="LEU44" s="184"/>
      <c r="LEV44" s="184"/>
      <c r="LEW44" s="184"/>
      <c r="LEX44" s="184"/>
      <c r="LEY44" s="184"/>
      <c r="LEZ44" s="184"/>
      <c r="LFA44" s="184"/>
      <c r="LFB44" s="184"/>
      <c r="LFC44" s="184"/>
      <c r="LFD44" s="184"/>
      <c r="LFE44" s="184"/>
      <c r="LFF44" s="184"/>
      <c r="LFG44" s="184"/>
      <c r="LFH44" s="184"/>
      <c r="LFI44" s="184"/>
      <c r="LFJ44" s="184"/>
      <c r="LFK44" s="184"/>
      <c r="LFL44" s="184"/>
      <c r="LFM44" s="184"/>
      <c r="LFN44" s="184"/>
      <c r="LFO44" s="184"/>
      <c r="LFP44" s="184"/>
      <c r="LFQ44" s="184"/>
      <c r="LFR44" s="184"/>
      <c r="LFS44" s="184"/>
      <c r="LFT44" s="184"/>
      <c r="LFU44" s="184"/>
      <c r="LFV44" s="184"/>
      <c r="LFW44" s="184"/>
      <c r="LFX44" s="184"/>
      <c r="LFY44" s="184"/>
      <c r="LFZ44" s="184"/>
      <c r="LGA44" s="184"/>
      <c r="LGB44" s="184"/>
      <c r="LGC44" s="184"/>
      <c r="LGD44" s="184"/>
      <c r="LGE44" s="184"/>
      <c r="LGF44" s="184"/>
      <c r="LGG44" s="184"/>
      <c r="LGH44" s="184"/>
      <c r="LGI44" s="184"/>
      <c r="LGJ44" s="184"/>
      <c r="LGW44" s="215"/>
      <c r="LGX44" s="202"/>
      <c r="LGY44" s="203"/>
      <c r="LGZ44" s="203"/>
      <c r="LHA44" s="203"/>
      <c r="LHB44" s="204"/>
      <c r="LHC44" s="200"/>
      <c r="LHD44" s="227"/>
      <c r="LHE44" s="184"/>
      <c r="LHF44" s="184"/>
      <c r="LHG44" s="184"/>
      <c r="LHH44" s="184"/>
      <c r="LHI44" s="184"/>
      <c r="LHJ44" s="184"/>
      <c r="LHK44" s="184"/>
      <c r="LHL44" s="184"/>
      <c r="LHM44" s="184"/>
      <c r="LHN44" s="184"/>
      <c r="LHO44" s="184"/>
      <c r="LHP44" s="184"/>
      <c r="LHQ44" s="184"/>
      <c r="LHR44" s="184"/>
      <c r="LHS44" s="184"/>
      <c r="LHT44" s="184"/>
      <c r="LHU44" s="184"/>
      <c r="LHV44" s="184"/>
      <c r="LHW44" s="184"/>
      <c r="LHX44" s="184"/>
      <c r="LHY44" s="184"/>
      <c r="LHZ44" s="184"/>
      <c r="LIA44" s="184"/>
      <c r="LIB44" s="184"/>
      <c r="LIC44" s="184"/>
      <c r="LID44" s="184"/>
      <c r="LIE44" s="184"/>
      <c r="LIF44" s="184"/>
      <c r="LIG44" s="184"/>
      <c r="LIH44" s="184"/>
      <c r="LII44" s="184"/>
      <c r="LIJ44" s="184"/>
      <c r="LIK44" s="184"/>
      <c r="LIL44" s="184"/>
      <c r="LIM44" s="184"/>
      <c r="LIN44" s="184"/>
      <c r="LIO44" s="184"/>
      <c r="LIP44" s="184"/>
      <c r="LIQ44" s="184"/>
      <c r="LIR44" s="184"/>
      <c r="LIS44" s="184"/>
      <c r="LIT44" s="184"/>
      <c r="LIU44" s="184"/>
      <c r="LIV44" s="184"/>
      <c r="LIW44" s="184"/>
      <c r="LIX44" s="184"/>
      <c r="LIY44" s="184"/>
      <c r="LIZ44" s="184"/>
      <c r="LJA44" s="184"/>
      <c r="LJB44" s="184"/>
      <c r="LJC44" s="184"/>
      <c r="LJD44" s="184"/>
      <c r="LJE44" s="184"/>
      <c r="LJF44" s="184"/>
      <c r="LJG44" s="184"/>
      <c r="LJH44" s="184"/>
      <c r="LJI44" s="184"/>
      <c r="LJJ44" s="184"/>
      <c r="LJK44" s="184"/>
      <c r="LJL44" s="184"/>
      <c r="LJM44" s="184"/>
      <c r="LJN44" s="184"/>
      <c r="LJO44" s="184"/>
      <c r="LJP44" s="184"/>
      <c r="LKC44" s="215"/>
      <c r="LKD44" s="202"/>
      <c r="LKE44" s="203"/>
      <c r="LKF44" s="203"/>
      <c r="LKG44" s="203"/>
      <c r="LKH44" s="204"/>
      <c r="LKI44" s="200"/>
      <c r="LKJ44" s="227"/>
      <c r="LKK44" s="184"/>
      <c r="LKL44" s="184"/>
      <c r="LKM44" s="184"/>
      <c r="LKN44" s="184"/>
      <c r="LKO44" s="184"/>
      <c r="LKP44" s="184"/>
      <c r="LKQ44" s="184"/>
      <c r="LKR44" s="184"/>
      <c r="LKS44" s="184"/>
      <c r="LKT44" s="184"/>
      <c r="LKU44" s="184"/>
      <c r="LKV44" s="184"/>
      <c r="LKW44" s="184"/>
      <c r="LKX44" s="184"/>
      <c r="LKY44" s="184"/>
      <c r="LKZ44" s="184"/>
      <c r="LLA44" s="184"/>
      <c r="LLB44" s="184"/>
      <c r="LLC44" s="184"/>
      <c r="LLD44" s="184"/>
      <c r="LLE44" s="184"/>
      <c r="LLF44" s="184"/>
      <c r="LLG44" s="184"/>
      <c r="LLH44" s="184"/>
      <c r="LLI44" s="184"/>
      <c r="LLJ44" s="184"/>
      <c r="LLK44" s="184"/>
      <c r="LLL44" s="184"/>
      <c r="LLM44" s="184"/>
      <c r="LLN44" s="184"/>
      <c r="LLO44" s="184"/>
      <c r="LLP44" s="184"/>
      <c r="LLQ44" s="184"/>
      <c r="LLR44" s="184"/>
      <c r="LLS44" s="184"/>
      <c r="LLT44" s="184"/>
      <c r="LLU44" s="184"/>
      <c r="LLV44" s="184"/>
      <c r="LLW44" s="184"/>
      <c r="LLX44" s="184"/>
      <c r="LLY44" s="184"/>
      <c r="LLZ44" s="184"/>
      <c r="LMA44" s="184"/>
      <c r="LMB44" s="184"/>
      <c r="LMC44" s="184"/>
      <c r="LMD44" s="184"/>
      <c r="LME44" s="184"/>
      <c r="LMF44" s="184"/>
      <c r="LMG44" s="184"/>
      <c r="LMH44" s="184"/>
      <c r="LMI44" s="184"/>
      <c r="LMJ44" s="184"/>
      <c r="LMK44" s="184"/>
      <c r="LML44" s="184"/>
      <c r="LMM44" s="184"/>
      <c r="LMN44" s="184"/>
      <c r="LMO44" s="184"/>
      <c r="LMP44" s="184"/>
      <c r="LMQ44" s="184"/>
      <c r="LMR44" s="184"/>
      <c r="LMS44" s="184"/>
      <c r="LMT44" s="184"/>
      <c r="LMU44" s="184"/>
      <c r="LMV44" s="184"/>
      <c r="LNI44" s="215"/>
      <c r="LNJ44" s="202"/>
      <c r="LNK44" s="203"/>
      <c r="LNL44" s="203"/>
      <c r="LNM44" s="203"/>
      <c r="LNN44" s="204"/>
      <c r="LNO44" s="200"/>
      <c r="LNP44" s="227"/>
      <c r="LNQ44" s="184"/>
      <c r="LNR44" s="184"/>
      <c r="LNS44" s="184"/>
      <c r="LNT44" s="184"/>
      <c r="LNU44" s="184"/>
      <c r="LNV44" s="184"/>
      <c r="LNW44" s="184"/>
      <c r="LNX44" s="184"/>
      <c r="LNY44" s="184"/>
      <c r="LNZ44" s="184"/>
      <c r="LOA44" s="184"/>
      <c r="LOB44" s="184"/>
      <c r="LOC44" s="184"/>
      <c r="LOD44" s="184"/>
      <c r="LOE44" s="184"/>
      <c r="LOF44" s="184"/>
      <c r="LOG44" s="184"/>
      <c r="LOH44" s="184"/>
      <c r="LOI44" s="184"/>
      <c r="LOJ44" s="184"/>
      <c r="LOK44" s="184"/>
      <c r="LOL44" s="184"/>
      <c r="LOM44" s="184"/>
      <c r="LON44" s="184"/>
      <c r="LOO44" s="184"/>
      <c r="LOP44" s="184"/>
      <c r="LOQ44" s="184"/>
      <c r="LOR44" s="184"/>
      <c r="LOS44" s="184"/>
      <c r="LOT44" s="184"/>
      <c r="LOU44" s="184"/>
      <c r="LOV44" s="184"/>
      <c r="LOW44" s="184"/>
      <c r="LOX44" s="184"/>
      <c r="LOY44" s="184"/>
      <c r="LOZ44" s="184"/>
      <c r="LPA44" s="184"/>
      <c r="LPB44" s="184"/>
      <c r="LPC44" s="184"/>
      <c r="LPD44" s="184"/>
      <c r="LPE44" s="184"/>
      <c r="LPF44" s="184"/>
      <c r="LPG44" s="184"/>
      <c r="LPH44" s="184"/>
      <c r="LPI44" s="184"/>
      <c r="LPJ44" s="184"/>
      <c r="LPK44" s="184"/>
      <c r="LPL44" s="184"/>
      <c r="LPM44" s="184"/>
      <c r="LPN44" s="184"/>
      <c r="LPO44" s="184"/>
      <c r="LPP44" s="184"/>
      <c r="LPQ44" s="184"/>
      <c r="LPR44" s="184"/>
      <c r="LPS44" s="184"/>
      <c r="LPT44" s="184"/>
      <c r="LPU44" s="184"/>
      <c r="LPV44" s="184"/>
      <c r="LPW44" s="184"/>
      <c r="LPX44" s="184"/>
      <c r="LPY44" s="184"/>
      <c r="LPZ44" s="184"/>
      <c r="LQA44" s="184"/>
      <c r="LQB44" s="184"/>
      <c r="LQO44" s="215"/>
      <c r="LQP44" s="202"/>
      <c r="LQQ44" s="203"/>
      <c r="LQR44" s="203"/>
      <c r="LQS44" s="203"/>
      <c r="LQT44" s="204"/>
      <c r="LQU44" s="200"/>
      <c r="LQV44" s="227"/>
      <c r="LQW44" s="184"/>
      <c r="LQX44" s="184"/>
      <c r="LQY44" s="184"/>
      <c r="LQZ44" s="184"/>
      <c r="LRA44" s="184"/>
      <c r="LRB44" s="184"/>
      <c r="LRC44" s="184"/>
      <c r="LRD44" s="184"/>
      <c r="LRE44" s="184"/>
      <c r="LRF44" s="184"/>
      <c r="LRG44" s="184"/>
      <c r="LRH44" s="184"/>
      <c r="LRI44" s="184"/>
      <c r="LRJ44" s="184"/>
      <c r="LRK44" s="184"/>
      <c r="LRL44" s="184"/>
      <c r="LRM44" s="184"/>
      <c r="LRN44" s="184"/>
      <c r="LRO44" s="184"/>
      <c r="LRP44" s="184"/>
      <c r="LRQ44" s="184"/>
      <c r="LRR44" s="184"/>
      <c r="LRS44" s="184"/>
      <c r="LRT44" s="184"/>
      <c r="LRU44" s="184"/>
      <c r="LRV44" s="184"/>
      <c r="LRW44" s="184"/>
      <c r="LRX44" s="184"/>
      <c r="LRY44" s="184"/>
      <c r="LRZ44" s="184"/>
      <c r="LSA44" s="184"/>
      <c r="LSB44" s="184"/>
      <c r="LSC44" s="184"/>
      <c r="LSD44" s="184"/>
      <c r="LSE44" s="184"/>
      <c r="LSF44" s="184"/>
      <c r="LSG44" s="184"/>
      <c r="LSH44" s="184"/>
      <c r="LSI44" s="184"/>
      <c r="LSJ44" s="184"/>
      <c r="LSK44" s="184"/>
      <c r="LSL44" s="184"/>
      <c r="LSM44" s="184"/>
      <c r="LSN44" s="184"/>
      <c r="LSO44" s="184"/>
      <c r="LSP44" s="184"/>
      <c r="LSQ44" s="184"/>
      <c r="LSR44" s="184"/>
      <c r="LSS44" s="184"/>
      <c r="LST44" s="184"/>
      <c r="LSU44" s="184"/>
      <c r="LSV44" s="184"/>
      <c r="LSW44" s="184"/>
      <c r="LSX44" s="184"/>
      <c r="LSY44" s="184"/>
      <c r="LSZ44" s="184"/>
      <c r="LTA44" s="184"/>
      <c r="LTB44" s="184"/>
      <c r="LTC44" s="184"/>
      <c r="LTD44" s="184"/>
      <c r="LTE44" s="184"/>
      <c r="LTF44" s="184"/>
      <c r="LTG44" s="184"/>
      <c r="LTH44" s="184"/>
      <c r="LTU44" s="215"/>
      <c r="LTV44" s="202"/>
      <c r="LTW44" s="203"/>
      <c r="LTX44" s="203"/>
      <c r="LTY44" s="203"/>
      <c r="LTZ44" s="204"/>
      <c r="LUA44" s="200"/>
      <c r="LUB44" s="227"/>
      <c r="LUC44" s="184"/>
      <c r="LUD44" s="184"/>
      <c r="LUE44" s="184"/>
      <c r="LUF44" s="184"/>
      <c r="LUG44" s="184"/>
      <c r="LUH44" s="184"/>
      <c r="LUI44" s="184"/>
      <c r="LUJ44" s="184"/>
      <c r="LUK44" s="184"/>
      <c r="LUL44" s="184"/>
      <c r="LUM44" s="184"/>
      <c r="LUN44" s="184"/>
      <c r="LUO44" s="184"/>
      <c r="LUP44" s="184"/>
      <c r="LUQ44" s="184"/>
      <c r="LUR44" s="184"/>
      <c r="LUS44" s="184"/>
      <c r="LUT44" s="184"/>
      <c r="LUU44" s="184"/>
      <c r="LUV44" s="184"/>
      <c r="LUW44" s="184"/>
      <c r="LUX44" s="184"/>
      <c r="LUY44" s="184"/>
      <c r="LUZ44" s="184"/>
      <c r="LVA44" s="184"/>
      <c r="LVB44" s="184"/>
      <c r="LVC44" s="184"/>
      <c r="LVD44" s="184"/>
      <c r="LVE44" s="184"/>
      <c r="LVF44" s="184"/>
      <c r="LVG44" s="184"/>
      <c r="LVH44" s="184"/>
      <c r="LVI44" s="184"/>
      <c r="LVJ44" s="184"/>
      <c r="LVK44" s="184"/>
      <c r="LVL44" s="184"/>
      <c r="LVM44" s="184"/>
      <c r="LVN44" s="184"/>
      <c r="LVO44" s="184"/>
      <c r="LVP44" s="184"/>
      <c r="LVQ44" s="184"/>
      <c r="LVR44" s="184"/>
      <c r="LVS44" s="184"/>
      <c r="LVT44" s="184"/>
      <c r="LVU44" s="184"/>
      <c r="LVV44" s="184"/>
      <c r="LVW44" s="184"/>
      <c r="LVX44" s="184"/>
      <c r="LVY44" s="184"/>
      <c r="LVZ44" s="184"/>
      <c r="LWA44" s="184"/>
      <c r="LWB44" s="184"/>
      <c r="LWC44" s="184"/>
      <c r="LWD44" s="184"/>
      <c r="LWE44" s="184"/>
      <c r="LWF44" s="184"/>
      <c r="LWG44" s="184"/>
      <c r="LWH44" s="184"/>
      <c r="LWI44" s="184"/>
      <c r="LWJ44" s="184"/>
      <c r="LWK44" s="184"/>
      <c r="LWL44" s="184"/>
      <c r="LWM44" s="184"/>
      <c r="LWN44" s="184"/>
      <c r="LXA44" s="215"/>
      <c r="LXB44" s="202"/>
      <c r="LXC44" s="203"/>
      <c r="LXD44" s="203"/>
      <c r="LXE44" s="203"/>
      <c r="LXF44" s="204"/>
      <c r="LXG44" s="200"/>
      <c r="LXH44" s="227"/>
      <c r="LXI44" s="184"/>
      <c r="LXJ44" s="184"/>
      <c r="LXK44" s="184"/>
      <c r="LXL44" s="184"/>
      <c r="LXM44" s="184"/>
      <c r="LXN44" s="184"/>
      <c r="LXO44" s="184"/>
      <c r="LXP44" s="184"/>
      <c r="LXQ44" s="184"/>
      <c r="LXR44" s="184"/>
      <c r="LXS44" s="184"/>
      <c r="LXT44" s="184"/>
      <c r="LXU44" s="184"/>
      <c r="LXV44" s="184"/>
      <c r="LXW44" s="184"/>
      <c r="LXX44" s="184"/>
      <c r="LXY44" s="184"/>
      <c r="LXZ44" s="184"/>
      <c r="LYA44" s="184"/>
      <c r="LYB44" s="184"/>
      <c r="LYC44" s="184"/>
      <c r="LYD44" s="184"/>
      <c r="LYE44" s="184"/>
      <c r="LYF44" s="184"/>
      <c r="LYG44" s="184"/>
      <c r="LYH44" s="184"/>
      <c r="LYI44" s="184"/>
      <c r="LYJ44" s="184"/>
      <c r="LYK44" s="184"/>
      <c r="LYL44" s="184"/>
      <c r="LYM44" s="184"/>
      <c r="LYN44" s="184"/>
      <c r="LYO44" s="184"/>
      <c r="LYP44" s="184"/>
      <c r="LYQ44" s="184"/>
      <c r="LYR44" s="184"/>
      <c r="LYS44" s="184"/>
      <c r="LYT44" s="184"/>
      <c r="LYU44" s="184"/>
      <c r="LYV44" s="184"/>
      <c r="LYW44" s="184"/>
      <c r="LYX44" s="184"/>
      <c r="LYY44" s="184"/>
      <c r="LYZ44" s="184"/>
      <c r="LZA44" s="184"/>
      <c r="LZB44" s="184"/>
      <c r="LZC44" s="184"/>
      <c r="LZD44" s="184"/>
      <c r="LZE44" s="184"/>
      <c r="LZF44" s="184"/>
      <c r="LZG44" s="184"/>
      <c r="LZH44" s="184"/>
      <c r="LZI44" s="184"/>
      <c r="LZJ44" s="184"/>
      <c r="LZK44" s="184"/>
      <c r="LZL44" s="184"/>
      <c r="LZM44" s="184"/>
      <c r="LZN44" s="184"/>
      <c r="LZO44" s="184"/>
      <c r="LZP44" s="184"/>
      <c r="LZQ44" s="184"/>
      <c r="LZR44" s="184"/>
      <c r="LZS44" s="184"/>
      <c r="LZT44" s="184"/>
      <c r="MAG44" s="215"/>
      <c r="MAH44" s="202"/>
      <c r="MAI44" s="203"/>
      <c r="MAJ44" s="203"/>
      <c r="MAK44" s="203"/>
      <c r="MAL44" s="204"/>
      <c r="MAM44" s="200"/>
      <c r="MAN44" s="227"/>
      <c r="MAO44" s="184"/>
      <c r="MAP44" s="184"/>
      <c r="MAQ44" s="184"/>
      <c r="MAR44" s="184"/>
      <c r="MAS44" s="184"/>
      <c r="MAT44" s="184"/>
      <c r="MAU44" s="184"/>
      <c r="MAV44" s="184"/>
      <c r="MAW44" s="184"/>
      <c r="MAX44" s="184"/>
      <c r="MAY44" s="184"/>
      <c r="MAZ44" s="184"/>
      <c r="MBA44" s="184"/>
      <c r="MBB44" s="184"/>
      <c r="MBC44" s="184"/>
      <c r="MBD44" s="184"/>
      <c r="MBE44" s="184"/>
      <c r="MBF44" s="184"/>
      <c r="MBG44" s="184"/>
      <c r="MBH44" s="184"/>
      <c r="MBI44" s="184"/>
      <c r="MBJ44" s="184"/>
      <c r="MBK44" s="184"/>
      <c r="MBL44" s="184"/>
      <c r="MBM44" s="184"/>
      <c r="MBN44" s="184"/>
      <c r="MBO44" s="184"/>
      <c r="MBP44" s="184"/>
      <c r="MBQ44" s="184"/>
      <c r="MBR44" s="184"/>
      <c r="MBS44" s="184"/>
      <c r="MBT44" s="184"/>
      <c r="MBU44" s="184"/>
      <c r="MBV44" s="184"/>
      <c r="MBW44" s="184"/>
      <c r="MBX44" s="184"/>
      <c r="MBY44" s="184"/>
      <c r="MBZ44" s="184"/>
      <c r="MCA44" s="184"/>
      <c r="MCB44" s="184"/>
      <c r="MCC44" s="184"/>
      <c r="MCD44" s="184"/>
      <c r="MCE44" s="184"/>
      <c r="MCF44" s="184"/>
      <c r="MCG44" s="184"/>
      <c r="MCH44" s="184"/>
      <c r="MCI44" s="184"/>
      <c r="MCJ44" s="184"/>
      <c r="MCK44" s="184"/>
      <c r="MCL44" s="184"/>
      <c r="MCM44" s="184"/>
      <c r="MCN44" s="184"/>
      <c r="MCO44" s="184"/>
      <c r="MCP44" s="184"/>
      <c r="MCQ44" s="184"/>
      <c r="MCR44" s="184"/>
      <c r="MCS44" s="184"/>
      <c r="MCT44" s="184"/>
      <c r="MCU44" s="184"/>
      <c r="MCV44" s="184"/>
      <c r="MCW44" s="184"/>
      <c r="MCX44" s="184"/>
      <c r="MCY44" s="184"/>
      <c r="MCZ44" s="184"/>
      <c r="MDM44" s="215"/>
      <c r="MDN44" s="202"/>
      <c r="MDO44" s="203"/>
      <c r="MDP44" s="203"/>
      <c r="MDQ44" s="203"/>
      <c r="MDR44" s="204"/>
      <c r="MDS44" s="200"/>
      <c r="MDT44" s="227"/>
      <c r="MDU44" s="184"/>
      <c r="MDV44" s="184"/>
      <c r="MDW44" s="184"/>
      <c r="MDX44" s="184"/>
      <c r="MDY44" s="184"/>
      <c r="MDZ44" s="184"/>
      <c r="MEA44" s="184"/>
      <c r="MEB44" s="184"/>
      <c r="MEC44" s="184"/>
      <c r="MED44" s="184"/>
      <c r="MEE44" s="184"/>
      <c r="MEF44" s="184"/>
      <c r="MEG44" s="184"/>
      <c r="MEH44" s="184"/>
      <c r="MEI44" s="184"/>
      <c r="MEJ44" s="184"/>
      <c r="MEK44" s="184"/>
      <c r="MEL44" s="184"/>
      <c r="MEM44" s="184"/>
      <c r="MEN44" s="184"/>
      <c r="MEO44" s="184"/>
      <c r="MEP44" s="184"/>
      <c r="MEQ44" s="184"/>
      <c r="MER44" s="184"/>
      <c r="MES44" s="184"/>
      <c r="MET44" s="184"/>
      <c r="MEU44" s="184"/>
      <c r="MEV44" s="184"/>
      <c r="MEW44" s="184"/>
      <c r="MEX44" s="184"/>
      <c r="MEY44" s="184"/>
      <c r="MEZ44" s="184"/>
      <c r="MFA44" s="184"/>
      <c r="MFB44" s="184"/>
      <c r="MFC44" s="184"/>
      <c r="MFD44" s="184"/>
      <c r="MFE44" s="184"/>
      <c r="MFF44" s="184"/>
      <c r="MFG44" s="184"/>
      <c r="MFH44" s="184"/>
      <c r="MFI44" s="184"/>
      <c r="MFJ44" s="184"/>
      <c r="MFK44" s="184"/>
      <c r="MFL44" s="184"/>
      <c r="MFM44" s="184"/>
      <c r="MFN44" s="184"/>
      <c r="MFO44" s="184"/>
      <c r="MFP44" s="184"/>
      <c r="MFQ44" s="184"/>
      <c r="MFR44" s="184"/>
      <c r="MFS44" s="184"/>
      <c r="MFT44" s="184"/>
      <c r="MFU44" s="184"/>
      <c r="MFV44" s="184"/>
      <c r="MFW44" s="184"/>
      <c r="MFX44" s="184"/>
      <c r="MFY44" s="184"/>
      <c r="MFZ44" s="184"/>
      <c r="MGA44" s="184"/>
      <c r="MGB44" s="184"/>
      <c r="MGC44" s="184"/>
      <c r="MGD44" s="184"/>
      <c r="MGE44" s="184"/>
      <c r="MGF44" s="184"/>
      <c r="MGS44" s="215"/>
      <c r="MGT44" s="202"/>
      <c r="MGU44" s="203"/>
      <c r="MGV44" s="203"/>
      <c r="MGW44" s="203"/>
      <c r="MGX44" s="204"/>
      <c r="MGY44" s="200"/>
      <c r="MGZ44" s="227"/>
      <c r="MHA44" s="184"/>
      <c r="MHB44" s="184"/>
      <c r="MHC44" s="184"/>
      <c r="MHD44" s="184"/>
      <c r="MHE44" s="184"/>
      <c r="MHF44" s="184"/>
      <c r="MHG44" s="184"/>
      <c r="MHH44" s="184"/>
      <c r="MHI44" s="184"/>
      <c r="MHJ44" s="184"/>
      <c r="MHK44" s="184"/>
      <c r="MHL44" s="184"/>
      <c r="MHM44" s="184"/>
      <c r="MHN44" s="184"/>
      <c r="MHO44" s="184"/>
      <c r="MHP44" s="184"/>
      <c r="MHQ44" s="184"/>
      <c r="MHR44" s="184"/>
      <c r="MHS44" s="184"/>
      <c r="MHT44" s="184"/>
      <c r="MHU44" s="184"/>
      <c r="MHV44" s="184"/>
      <c r="MHW44" s="184"/>
      <c r="MHX44" s="184"/>
      <c r="MHY44" s="184"/>
      <c r="MHZ44" s="184"/>
      <c r="MIA44" s="184"/>
      <c r="MIB44" s="184"/>
      <c r="MIC44" s="184"/>
      <c r="MID44" s="184"/>
      <c r="MIE44" s="184"/>
      <c r="MIF44" s="184"/>
      <c r="MIG44" s="184"/>
      <c r="MIH44" s="184"/>
      <c r="MII44" s="184"/>
      <c r="MIJ44" s="184"/>
      <c r="MIK44" s="184"/>
      <c r="MIL44" s="184"/>
      <c r="MIM44" s="184"/>
      <c r="MIN44" s="184"/>
      <c r="MIO44" s="184"/>
      <c r="MIP44" s="184"/>
      <c r="MIQ44" s="184"/>
      <c r="MIR44" s="184"/>
      <c r="MIS44" s="184"/>
      <c r="MIT44" s="184"/>
      <c r="MIU44" s="184"/>
      <c r="MIV44" s="184"/>
      <c r="MIW44" s="184"/>
      <c r="MIX44" s="184"/>
      <c r="MIY44" s="184"/>
      <c r="MIZ44" s="184"/>
      <c r="MJA44" s="184"/>
      <c r="MJB44" s="184"/>
      <c r="MJC44" s="184"/>
      <c r="MJD44" s="184"/>
      <c r="MJE44" s="184"/>
      <c r="MJF44" s="184"/>
      <c r="MJG44" s="184"/>
      <c r="MJH44" s="184"/>
      <c r="MJI44" s="184"/>
      <c r="MJJ44" s="184"/>
      <c r="MJK44" s="184"/>
      <c r="MJL44" s="184"/>
      <c r="MJY44" s="215"/>
      <c r="MJZ44" s="202"/>
      <c r="MKA44" s="203"/>
      <c r="MKB44" s="203"/>
      <c r="MKC44" s="203"/>
      <c r="MKD44" s="204"/>
      <c r="MKE44" s="200"/>
      <c r="MKF44" s="227"/>
      <c r="MKG44" s="184"/>
      <c r="MKH44" s="184"/>
      <c r="MKI44" s="184"/>
      <c r="MKJ44" s="184"/>
      <c r="MKK44" s="184"/>
      <c r="MKL44" s="184"/>
      <c r="MKM44" s="184"/>
      <c r="MKN44" s="184"/>
      <c r="MKO44" s="184"/>
      <c r="MKP44" s="184"/>
      <c r="MKQ44" s="184"/>
      <c r="MKR44" s="184"/>
      <c r="MKS44" s="184"/>
      <c r="MKT44" s="184"/>
      <c r="MKU44" s="184"/>
      <c r="MKV44" s="184"/>
      <c r="MKW44" s="184"/>
      <c r="MKX44" s="184"/>
      <c r="MKY44" s="184"/>
      <c r="MKZ44" s="184"/>
      <c r="MLA44" s="184"/>
      <c r="MLB44" s="184"/>
      <c r="MLC44" s="184"/>
      <c r="MLD44" s="184"/>
      <c r="MLE44" s="184"/>
      <c r="MLF44" s="184"/>
      <c r="MLG44" s="184"/>
      <c r="MLH44" s="184"/>
      <c r="MLI44" s="184"/>
      <c r="MLJ44" s="184"/>
      <c r="MLK44" s="184"/>
      <c r="MLL44" s="184"/>
      <c r="MLM44" s="184"/>
      <c r="MLN44" s="184"/>
      <c r="MLO44" s="184"/>
      <c r="MLP44" s="184"/>
      <c r="MLQ44" s="184"/>
      <c r="MLR44" s="184"/>
      <c r="MLS44" s="184"/>
      <c r="MLT44" s="184"/>
      <c r="MLU44" s="184"/>
      <c r="MLV44" s="184"/>
      <c r="MLW44" s="184"/>
      <c r="MLX44" s="184"/>
      <c r="MLY44" s="184"/>
      <c r="MLZ44" s="184"/>
      <c r="MMA44" s="184"/>
      <c r="MMB44" s="184"/>
      <c r="MMC44" s="184"/>
      <c r="MMD44" s="184"/>
      <c r="MME44" s="184"/>
      <c r="MMF44" s="184"/>
      <c r="MMG44" s="184"/>
      <c r="MMH44" s="184"/>
      <c r="MMI44" s="184"/>
      <c r="MMJ44" s="184"/>
      <c r="MMK44" s="184"/>
      <c r="MML44" s="184"/>
      <c r="MMM44" s="184"/>
      <c r="MMN44" s="184"/>
      <c r="MMO44" s="184"/>
      <c r="MMP44" s="184"/>
      <c r="MMQ44" s="184"/>
      <c r="MMR44" s="184"/>
      <c r="MNE44" s="215"/>
      <c r="MNF44" s="202"/>
      <c r="MNG44" s="203"/>
      <c r="MNH44" s="203"/>
      <c r="MNI44" s="203"/>
      <c r="MNJ44" s="204"/>
      <c r="MNK44" s="200"/>
      <c r="MNL44" s="227"/>
      <c r="MNM44" s="184"/>
      <c r="MNN44" s="184"/>
      <c r="MNO44" s="184"/>
      <c r="MNP44" s="184"/>
      <c r="MNQ44" s="184"/>
      <c r="MNR44" s="184"/>
      <c r="MNS44" s="184"/>
      <c r="MNT44" s="184"/>
      <c r="MNU44" s="184"/>
      <c r="MNV44" s="184"/>
      <c r="MNW44" s="184"/>
      <c r="MNX44" s="184"/>
      <c r="MNY44" s="184"/>
      <c r="MNZ44" s="184"/>
      <c r="MOA44" s="184"/>
      <c r="MOB44" s="184"/>
      <c r="MOC44" s="184"/>
      <c r="MOD44" s="184"/>
      <c r="MOE44" s="184"/>
      <c r="MOF44" s="184"/>
      <c r="MOG44" s="184"/>
      <c r="MOH44" s="184"/>
      <c r="MOI44" s="184"/>
      <c r="MOJ44" s="184"/>
      <c r="MOK44" s="184"/>
      <c r="MOL44" s="184"/>
      <c r="MOM44" s="184"/>
      <c r="MON44" s="184"/>
      <c r="MOO44" s="184"/>
      <c r="MOP44" s="184"/>
      <c r="MOQ44" s="184"/>
      <c r="MOR44" s="184"/>
      <c r="MOS44" s="184"/>
      <c r="MOT44" s="184"/>
      <c r="MOU44" s="184"/>
      <c r="MOV44" s="184"/>
      <c r="MOW44" s="184"/>
      <c r="MOX44" s="184"/>
      <c r="MOY44" s="184"/>
      <c r="MOZ44" s="184"/>
      <c r="MPA44" s="184"/>
      <c r="MPB44" s="184"/>
      <c r="MPC44" s="184"/>
      <c r="MPD44" s="184"/>
      <c r="MPE44" s="184"/>
      <c r="MPF44" s="184"/>
      <c r="MPG44" s="184"/>
      <c r="MPH44" s="184"/>
      <c r="MPI44" s="184"/>
      <c r="MPJ44" s="184"/>
      <c r="MPK44" s="184"/>
      <c r="MPL44" s="184"/>
      <c r="MPM44" s="184"/>
      <c r="MPN44" s="184"/>
      <c r="MPO44" s="184"/>
      <c r="MPP44" s="184"/>
      <c r="MPQ44" s="184"/>
      <c r="MPR44" s="184"/>
      <c r="MPS44" s="184"/>
      <c r="MPT44" s="184"/>
      <c r="MPU44" s="184"/>
      <c r="MPV44" s="184"/>
      <c r="MPW44" s="184"/>
      <c r="MPX44" s="184"/>
      <c r="MQK44" s="215"/>
      <c r="MQL44" s="202"/>
      <c r="MQM44" s="203"/>
      <c r="MQN44" s="203"/>
      <c r="MQO44" s="203"/>
      <c r="MQP44" s="204"/>
      <c r="MQQ44" s="200"/>
      <c r="MQR44" s="227"/>
      <c r="MQS44" s="184"/>
      <c r="MQT44" s="184"/>
      <c r="MQU44" s="184"/>
      <c r="MQV44" s="184"/>
      <c r="MQW44" s="184"/>
      <c r="MQX44" s="184"/>
      <c r="MQY44" s="184"/>
      <c r="MQZ44" s="184"/>
      <c r="MRA44" s="184"/>
      <c r="MRB44" s="184"/>
      <c r="MRC44" s="184"/>
      <c r="MRD44" s="184"/>
      <c r="MRE44" s="184"/>
      <c r="MRF44" s="184"/>
      <c r="MRG44" s="184"/>
      <c r="MRH44" s="184"/>
      <c r="MRI44" s="184"/>
      <c r="MRJ44" s="184"/>
      <c r="MRK44" s="184"/>
      <c r="MRL44" s="184"/>
      <c r="MRM44" s="184"/>
      <c r="MRN44" s="184"/>
      <c r="MRO44" s="184"/>
      <c r="MRP44" s="184"/>
      <c r="MRQ44" s="184"/>
      <c r="MRR44" s="184"/>
      <c r="MRS44" s="184"/>
      <c r="MRT44" s="184"/>
      <c r="MRU44" s="184"/>
      <c r="MRV44" s="184"/>
      <c r="MRW44" s="184"/>
      <c r="MRX44" s="184"/>
      <c r="MRY44" s="184"/>
      <c r="MRZ44" s="184"/>
      <c r="MSA44" s="184"/>
      <c r="MSB44" s="184"/>
      <c r="MSC44" s="184"/>
      <c r="MSD44" s="184"/>
      <c r="MSE44" s="184"/>
      <c r="MSF44" s="184"/>
      <c r="MSG44" s="184"/>
      <c r="MSH44" s="184"/>
      <c r="MSI44" s="184"/>
      <c r="MSJ44" s="184"/>
      <c r="MSK44" s="184"/>
      <c r="MSL44" s="184"/>
      <c r="MSM44" s="184"/>
      <c r="MSN44" s="184"/>
      <c r="MSO44" s="184"/>
      <c r="MSP44" s="184"/>
      <c r="MSQ44" s="184"/>
      <c r="MSR44" s="184"/>
      <c r="MSS44" s="184"/>
      <c r="MST44" s="184"/>
      <c r="MSU44" s="184"/>
      <c r="MSV44" s="184"/>
      <c r="MSW44" s="184"/>
      <c r="MSX44" s="184"/>
      <c r="MSY44" s="184"/>
      <c r="MSZ44" s="184"/>
      <c r="MTA44" s="184"/>
      <c r="MTB44" s="184"/>
      <c r="MTC44" s="184"/>
      <c r="MTD44" s="184"/>
      <c r="MTQ44" s="215"/>
      <c r="MTR44" s="202"/>
      <c r="MTS44" s="203"/>
      <c r="MTT44" s="203"/>
      <c r="MTU44" s="203"/>
      <c r="MTV44" s="204"/>
      <c r="MTW44" s="200"/>
      <c r="MTX44" s="227"/>
      <c r="MTY44" s="184"/>
      <c r="MTZ44" s="184"/>
      <c r="MUA44" s="184"/>
      <c r="MUB44" s="184"/>
      <c r="MUC44" s="184"/>
      <c r="MUD44" s="184"/>
      <c r="MUE44" s="184"/>
      <c r="MUF44" s="184"/>
      <c r="MUG44" s="184"/>
      <c r="MUH44" s="184"/>
      <c r="MUI44" s="184"/>
      <c r="MUJ44" s="184"/>
      <c r="MUK44" s="184"/>
      <c r="MUL44" s="184"/>
      <c r="MUM44" s="184"/>
      <c r="MUN44" s="184"/>
      <c r="MUO44" s="184"/>
      <c r="MUP44" s="184"/>
      <c r="MUQ44" s="184"/>
      <c r="MUR44" s="184"/>
      <c r="MUS44" s="184"/>
      <c r="MUT44" s="184"/>
      <c r="MUU44" s="184"/>
      <c r="MUV44" s="184"/>
      <c r="MUW44" s="184"/>
      <c r="MUX44" s="184"/>
      <c r="MUY44" s="184"/>
      <c r="MUZ44" s="184"/>
      <c r="MVA44" s="184"/>
      <c r="MVB44" s="184"/>
      <c r="MVC44" s="184"/>
      <c r="MVD44" s="184"/>
      <c r="MVE44" s="184"/>
      <c r="MVF44" s="184"/>
      <c r="MVG44" s="184"/>
      <c r="MVH44" s="184"/>
      <c r="MVI44" s="184"/>
      <c r="MVJ44" s="184"/>
      <c r="MVK44" s="184"/>
      <c r="MVL44" s="184"/>
      <c r="MVM44" s="184"/>
      <c r="MVN44" s="184"/>
      <c r="MVO44" s="184"/>
      <c r="MVP44" s="184"/>
      <c r="MVQ44" s="184"/>
      <c r="MVR44" s="184"/>
      <c r="MVS44" s="184"/>
      <c r="MVT44" s="184"/>
      <c r="MVU44" s="184"/>
      <c r="MVV44" s="184"/>
      <c r="MVW44" s="184"/>
      <c r="MVX44" s="184"/>
      <c r="MVY44" s="184"/>
      <c r="MVZ44" s="184"/>
      <c r="MWA44" s="184"/>
      <c r="MWB44" s="184"/>
      <c r="MWC44" s="184"/>
      <c r="MWD44" s="184"/>
      <c r="MWE44" s="184"/>
      <c r="MWF44" s="184"/>
      <c r="MWG44" s="184"/>
      <c r="MWH44" s="184"/>
      <c r="MWI44" s="184"/>
      <c r="MWJ44" s="184"/>
      <c r="MWW44" s="215"/>
      <c r="MWX44" s="202"/>
      <c r="MWY44" s="203"/>
      <c r="MWZ44" s="203"/>
      <c r="MXA44" s="203"/>
      <c r="MXB44" s="204"/>
      <c r="MXC44" s="200"/>
      <c r="MXD44" s="227"/>
      <c r="MXE44" s="184"/>
      <c r="MXF44" s="184"/>
      <c r="MXG44" s="184"/>
      <c r="MXH44" s="184"/>
      <c r="MXI44" s="184"/>
      <c r="MXJ44" s="184"/>
      <c r="MXK44" s="184"/>
      <c r="MXL44" s="184"/>
      <c r="MXM44" s="184"/>
      <c r="MXN44" s="184"/>
      <c r="MXO44" s="184"/>
      <c r="MXP44" s="184"/>
      <c r="MXQ44" s="184"/>
      <c r="MXR44" s="184"/>
      <c r="MXS44" s="184"/>
      <c r="MXT44" s="184"/>
      <c r="MXU44" s="184"/>
      <c r="MXV44" s="184"/>
      <c r="MXW44" s="184"/>
      <c r="MXX44" s="184"/>
      <c r="MXY44" s="184"/>
      <c r="MXZ44" s="184"/>
      <c r="MYA44" s="184"/>
      <c r="MYB44" s="184"/>
      <c r="MYC44" s="184"/>
      <c r="MYD44" s="184"/>
      <c r="MYE44" s="184"/>
      <c r="MYF44" s="184"/>
      <c r="MYG44" s="184"/>
      <c r="MYH44" s="184"/>
      <c r="MYI44" s="184"/>
      <c r="MYJ44" s="184"/>
      <c r="MYK44" s="184"/>
      <c r="MYL44" s="184"/>
      <c r="MYM44" s="184"/>
      <c r="MYN44" s="184"/>
      <c r="MYO44" s="184"/>
      <c r="MYP44" s="184"/>
      <c r="MYQ44" s="184"/>
      <c r="MYR44" s="184"/>
      <c r="MYS44" s="184"/>
      <c r="MYT44" s="184"/>
      <c r="MYU44" s="184"/>
      <c r="MYV44" s="184"/>
      <c r="MYW44" s="184"/>
      <c r="MYX44" s="184"/>
      <c r="MYY44" s="184"/>
      <c r="MYZ44" s="184"/>
      <c r="MZA44" s="184"/>
      <c r="MZB44" s="184"/>
      <c r="MZC44" s="184"/>
      <c r="MZD44" s="184"/>
      <c r="MZE44" s="184"/>
      <c r="MZF44" s="184"/>
      <c r="MZG44" s="184"/>
      <c r="MZH44" s="184"/>
      <c r="MZI44" s="184"/>
      <c r="MZJ44" s="184"/>
      <c r="MZK44" s="184"/>
      <c r="MZL44" s="184"/>
      <c r="MZM44" s="184"/>
      <c r="MZN44" s="184"/>
      <c r="MZO44" s="184"/>
      <c r="MZP44" s="184"/>
      <c r="NAC44" s="215"/>
      <c r="NAD44" s="202"/>
      <c r="NAE44" s="203"/>
      <c r="NAF44" s="203"/>
      <c r="NAG44" s="203"/>
      <c r="NAH44" s="204"/>
      <c r="NAI44" s="200"/>
      <c r="NAJ44" s="227"/>
      <c r="NAK44" s="184"/>
      <c r="NAL44" s="184"/>
      <c r="NAM44" s="184"/>
      <c r="NAN44" s="184"/>
      <c r="NAO44" s="184"/>
      <c r="NAP44" s="184"/>
      <c r="NAQ44" s="184"/>
      <c r="NAR44" s="184"/>
      <c r="NAS44" s="184"/>
      <c r="NAT44" s="184"/>
      <c r="NAU44" s="184"/>
      <c r="NAV44" s="184"/>
      <c r="NAW44" s="184"/>
      <c r="NAX44" s="184"/>
      <c r="NAY44" s="184"/>
      <c r="NAZ44" s="184"/>
      <c r="NBA44" s="184"/>
      <c r="NBB44" s="184"/>
      <c r="NBC44" s="184"/>
      <c r="NBD44" s="184"/>
      <c r="NBE44" s="184"/>
      <c r="NBF44" s="184"/>
      <c r="NBG44" s="184"/>
      <c r="NBH44" s="184"/>
      <c r="NBI44" s="184"/>
      <c r="NBJ44" s="184"/>
      <c r="NBK44" s="184"/>
      <c r="NBL44" s="184"/>
      <c r="NBM44" s="184"/>
      <c r="NBN44" s="184"/>
      <c r="NBO44" s="184"/>
      <c r="NBP44" s="184"/>
      <c r="NBQ44" s="184"/>
      <c r="NBR44" s="184"/>
      <c r="NBS44" s="184"/>
      <c r="NBT44" s="184"/>
      <c r="NBU44" s="184"/>
      <c r="NBV44" s="184"/>
      <c r="NBW44" s="184"/>
      <c r="NBX44" s="184"/>
      <c r="NBY44" s="184"/>
      <c r="NBZ44" s="184"/>
      <c r="NCA44" s="184"/>
      <c r="NCB44" s="184"/>
      <c r="NCC44" s="184"/>
      <c r="NCD44" s="184"/>
      <c r="NCE44" s="184"/>
      <c r="NCF44" s="184"/>
      <c r="NCG44" s="184"/>
      <c r="NCH44" s="184"/>
      <c r="NCI44" s="184"/>
      <c r="NCJ44" s="184"/>
      <c r="NCK44" s="184"/>
      <c r="NCL44" s="184"/>
      <c r="NCM44" s="184"/>
      <c r="NCN44" s="184"/>
      <c r="NCO44" s="184"/>
      <c r="NCP44" s="184"/>
      <c r="NCQ44" s="184"/>
      <c r="NCR44" s="184"/>
      <c r="NCS44" s="184"/>
      <c r="NCT44" s="184"/>
      <c r="NCU44" s="184"/>
      <c r="NCV44" s="184"/>
      <c r="NDI44" s="215"/>
      <c r="NDJ44" s="202"/>
      <c r="NDK44" s="203"/>
      <c r="NDL44" s="203"/>
      <c r="NDM44" s="203"/>
      <c r="NDN44" s="204"/>
      <c r="NDO44" s="200"/>
      <c r="NDP44" s="227"/>
      <c r="NDQ44" s="184"/>
      <c r="NDR44" s="184"/>
      <c r="NDS44" s="184"/>
      <c r="NDT44" s="184"/>
      <c r="NDU44" s="184"/>
      <c r="NDV44" s="184"/>
      <c r="NDW44" s="184"/>
      <c r="NDX44" s="184"/>
      <c r="NDY44" s="184"/>
      <c r="NDZ44" s="184"/>
      <c r="NEA44" s="184"/>
      <c r="NEB44" s="184"/>
      <c r="NEC44" s="184"/>
      <c r="NED44" s="184"/>
      <c r="NEE44" s="184"/>
      <c r="NEF44" s="184"/>
      <c r="NEG44" s="184"/>
      <c r="NEH44" s="184"/>
      <c r="NEI44" s="184"/>
      <c r="NEJ44" s="184"/>
      <c r="NEK44" s="184"/>
      <c r="NEL44" s="184"/>
      <c r="NEM44" s="184"/>
      <c r="NEN44" s="184"/>
      <c r="NEO44" s="184"/>
      <c r="NEP44" s="184"/>
      <c r="NEQ44" s="184"/>
      <c r="NER44" s="184"/>
      <c r="NES44" s="184"/>
      <c r="NET44" s="184"/>
      <c r="NEU44" s="184"/>
      <c r="NEV44" s="184"/>
      <c r="NEW44" s="184"/>
      <c r="NEX44" s="184"/>
      <c r="NEY44" s="184"/>
      <c r="NEZ44" s="184"/>
      <c r="NFA44" s="184"/>
      <c r="NFB44" s="184"/>
      <c r="NFC44" s="184"/>
      <c r="NFD44" s="184"/>
      <c r="NFE44" s="184"/>
      <c r="NFF44" s="184"/>
      <c r="NFG44" s="184"/>
      <c r="NFH44" s="184"/>
      <c r="NFI44" s="184"/>
      <c r="NFJ44" s="184"/>
      <c r="NFK44" s="184"/>
      <c r="NFL44" s="184"/>
      <c r="NFM44" s="184"/>
      <c r="NFN44" s="184"/>
      <c r="NFO44" s="184"/>
      <c r="NFP44" s="184"/>
      <c r="NFQ44" s="184"/>
      <c r="NFR44" s="184"/>
      <c r="NFS44" s="184"/>
      <c r="NFT44" s="184"/>
      <c r="NFU44" s="184"/>
      <c r="NFV44" s="184"/>
      <c r="NFW44" s="184"/>
      <c r="NFX44" s="184"/>
      <c r="NFY44" s="184"/>
      <c r="NFZ44" s="184"/>
      <c r="NGA44" s="184"/>
      <c r="NGB44" s="184"/>
      <c r="NGO44" s="215"/>
      <c r="NGP44" s="202"/>
      <c r="NGQ44" s="203"/>
      <c r="NGR44" s="203"/>
      <c r="NGS44" s="203"/>
      <c r="NGT44" s="204"/>
      <c r="NGU44" s="200"/>
      <c r="NGV44" s="227"/>
      <c r="NGW44" s="184"/>
      <c r="NGX44" s="184"/>
      <c r="NGY44" s="184"/>
      <c r="NGZ44" s="184"/>
      <c r="NHA44" s="184"/>
      <c r="NHB44" s="184"/>
      <c r="NHC44" s="184"/>
      <c r="NHD44" s="184"/>
      <c r="NHE44" s="184"/>
      <c r="NHF44" s="184"/>
      <c r="NHG44" s="184"/>
      <c r="NHH44" s="184"/>
      <c r="NHI44" s="184"/>
      <c r="NHJ44" s="184"/>
      <c r="NHK44" s="184"/>
      <c r="NHL44" s="184"/>
      <c r="NHM44" s="184"/>
      <c r="NHN44" s="184"/>
      <c r="NHO44" s="184"/>
      <c r="NHP44" s="184"/>
      <c r="NHQ44" s="184"/>
      <c r="NHR44" s="184"/>
      <c r="NHS44" s="184"/>
      <c r="NHT44" s="184"/>
      <c r="NHU44" s="184"/>
      <c r="NHV44" s="184"/>
      <c r="NHW44" s="184"/>
      <c r="NHX44" s="184"/>
      <c r="NHY44" s="184"/>
      <c r="NHZ44" s="184"/>
      <c r="NIA44" s="184"/>
      <c r="NIB44" s="184"/>
      <c r="NIC44" s="184"/>
      <c r="NID44" s="184"/>
      <c r="NIE44" s="184"/>
      <c r="NIF44" s="184"/>
      <c r="NIG44" s="184"/>
      <c r="NIH44" s="184"/>
      <c r="NII44" s="184"/>
      <c r="NIJ44" s="184"/>
      <c r="NIK44" s="184"/>
      <c r="NIL44" s="184"/>
      <c r="NIM44" s="184"/>
      <c r="NIN44" s="184"/>
      <c r="NIO44" s="184"/>
      <c r="NIP44" s="184"/>
      <c r="NIQ44" s="184"/>
      <c r="NIR44" s="184"/>
      <c r="NIS44" s="184"/>
      <c r="NIT44" s="184"/>
      <c r="NIU44" s="184"/>
      <c r="NIV44" s="184"/>
      <c r="NIW44" s="184"/>
      <c r="NIX44" s="184"/>
      <c r="NIY44" s="184"/>
      <c r="NIZ44" s="184"/>
      <c r="NJA44" s="184"/>
      <c r="NJB44" s="184"/>
      <c r="NJC44" s="184"/>
      <c r="NJD44" s="184"/>
      <c r="NJE44" s="184"/>
      <c r="NJF44" s="184"/>
      <c r="NJG44" s="184"/>
      <c r="NJH44" s="184"/>
      <c r="NJU44" s="215"/>
      <c r="NJV44" s="202"/>
      <c r="NJW44" s="203"/>
      <c r="NJX44" s="203"/>
      <c r="NJY44" s="203"/>
      <c r="NJZ44" s="204"/>
      <c r="NKA44" s="200"/>
      <c r="NKB44" s="227"/>
      <c r="NKC44" s="184"/>
      <c r="NKD44" s="184"/>
      <c r="NKE44" s="184"/>
      <c r="NKF44" s="184"/>
      <c r="NKG44" s="184"/>
      <c r="NKH44" s="184"/>
      <c r="NKI44" s="184"/>
      <c r="NKJ44" s="184"/>
      <c r="NKK44" s="184"/>
      <c r="NKL44" s="184"/>
      <c r="NKM44" s="184"/>
      <c r="NKN44" s="184"/>
      <c r="NKO44" s="184"/>
      <c r="NKP44" s="184"/>
      <c r="NKQ44" s="184"/>
      <c r="NKR44" s="184"/>
      <c r="NKS44" s="184"/>
      <c r="NKT44" s="184"/>
      <c r="NKU44" s="184"/>
      <c r="NKV44" s="184"/>
      <c r="NKW44" s="184"/>
      <c r="NKX44" s="184"/>
      <c r="NKY44" s="184"/>
      <c r="NKZ44" s="184"/>
      <c r="NLA44" s="184"/>
      <c r="NLB44" s="184"/>
      <c r="NLC44" s="184"/>
      <c r="NLD44" s="184"/>
      <c r="NLE44" s="184"/>
      <c r="NLF44" s="184"/>
      <c r="NLG44" s="184"/>
      <c r="NLH44" s="184"/>
      <c r="NLI44" s="184"/>
      <c r="NLJ44" s="184"/>
      <c r="NLK44" s="184"/>
      <c r="NLL44" s="184"/>
      <c r="NLM44" s="184"/>
      <c r="NLN44" s="184"/>
      <c r="NLO44" s="184"/>
      <c r="NLP44" s="184"/>
      <c r="NLQ44" s="184"/>
      <c r="NLR44" s="184"/>
      <c r="NLS44" s="184"/>
      <c r="NLT44" s="184"/>
      <c r="NLU44" s="184"/>
      <c r="NLV44" s="184"/>
      <c r="NLW44" s="184"/>
      <c r="NLX44" s="184"/>
      <c r="NLY44" s="184"/>
      <c r="NLZ44" s="184"/>
      <c r="NMA44" s="184"/>
      <c r="NMB44" s="184"/>
      <c r="NMC44" s="184"/>
      <c r="NMD44" s="184"/>
      <c r="NME44" s="184"/>
      <c r="NMF44" s="184"/>
      <c r="NMG44" s="184"/>
      <c r="NMH44" s="184"/>
      <c r="NMI44" s="184"/>
      <c r="NMJ44" s="184"/>
      <c r="NMK44" s="184"/>
      <c r="NML44" s="184"/>
      <c r="NMM44" s="184"/>
      <c r="NMN44" s="184"/>
      <c r="NNA44" s="215"/>
      <c r="NNB44" s="202"/>
      <c r="NNC44" s="203"/>
      <c r="NND44" s="203"/>
      <c r="NNE44" s="203"/>
      <c r="NNF44" s="204"/>
      <c r="NNG44" s="200"/>
      <c r="NNH44" s="227"/>
      <c r="NNI44" s="184"/>
      <c r="NNJ44" s="184"/>
      <c r="NNK44" s="184"/>
      <c r="NNL44" s="184"/>
      <c r="NNM44" s="184"/>
      <c r="NNN44" s="184"/>
      <c r="NNO44" s="184"/>
      <c r="NNP44" s="184"/>
      <c r="NNQ44" s="184"/>
      <c r="NNR44" s="184"/>
      <c r="NNS44" s="184"/>
      <c r="NNT44" s="184"/>
      <c r="NNU44" s="184"/>
      <c r="NNV44" s="184"/>
      <c r="NNW44" s="184"/>
      <c r="NNX44" s="184"/>
      <c r="NNY44" s="184"/>
      <c r="NNZ44" s="184"/>
      <c r="NOA44" s="184"/>
      <c r="NOB44" s="184"/>
      <c r="NOC44" s="184"/>
      <c r="NOD44" s="184"/>
      <c r="NOE44" s="184"/>
      <c r="NOF44" s="184"/>
      <c r="NOG44" s="184"/>
      <c r="NOH44" s="184"/>
      <c r="NOI44" s="184"/>
      <c r="NOJ44" s="184"/>
      <c r="NOK44" s="184"/>
      <c r="NOL44" s="184"/>
      <c r="NOM44" s="184"/>
      <c r="NON44" s="184"/>
      <c r="NOO44" s="184"/>
      <c r="NOP44" s="184"/>
      <c r="NOQ44" s="184"/>
      <c r="NOR44" s="184"/>
      <c r="NOS44" s="184"/>
      <c r="NOT44" s="184"/>
      <c r="NOU44" s="184"/>
      <c r="NOV44" s="184"/>
      <c r="NOW44" s="184"/>
      <c r="NOX44" s="184"/>
      <c r="NOY44" s="184"/>
      <c r="NOZ44" s="184"/>
      <c r="NPA44" s="184"/>
      <c r="NPB44" s="184"/>
      <c r="NPC44" s="184"/>
      <c r="NPD44" s="184"/>
      <c r="NPE44" s="184"/>
      <c r="NPF44" s="184"/>
      <c r="NPG44" s="184"/>
      <c r="NPH44" s="184"/>
      <c r="NPI44" s="184"/>
      <c r="NPJ44" s="184"/>
      <c r="NPK44" s="184"/>
      <c r="NPL44" s="184"/>
      <c r="NPM44" s="184"/>
      <c r="NPN44" s="184"/>
      <c r="NPO44" s="184"/>
      <c r="NPP44" s="184"/>
      <c r="NPQ44" s="184"/>
      <c r="NPR44" s="184"/>
      <c r="NPS44" s="184"/>
      <c r="NPT44" s="184"/>
      <c r="NQG44" s="215"/>
      <c r="NQH44" s="202"/>
      <c r="NQI44" s="203"/>
      <c r="NQJ44" s="203"/>
      <c r="NQK44" s="203"/>
      <c r="NQL44" s="204"/>
      <c r="NQM44" s="200"/>
      <c r="NQN44" s="227"/>
      <c r="NQO44" s="184"/>
      <c r="NQP44" s="184"/>
      <c r="NQQ44" s="184"/>
      <c r="NQR44" s="184"/>
      <c r="NQS44" s="184"/>
      <c r="NQT44" s="184"/>
      <c r="NQU44" s="184"/>
      <c r="NQV44" s="184"/>
      <c r="NQW44" s="184"/>
      <c r="NQX44" s="184"/>
      <c r="NQY44" s="184"/>
      <c r="NQZ44" s="184"/>
      <c r="NRA44" s="184"/>
      <c r="NRB44" s="184"/>
      <c r="NRC44" s="184"/>
      <c r="NRD44" s="184"/>
      <c r="NRE44" s="184"/>
      <c r="NRF44" s="184"/>
      <c r="NRG44" s="184"/>
      <c r="NRH44" s="184"/>
      <c r="NRI44" s="184"/>
      <c r="NRJ44" s="184"/>
      <c r="NRK44" s="184"/>
      <c r="NRL44" s="184"/>
      <c r="NRM44" s="184"/>
      <c r="NRN44" s="184"/>
      <c r="NRO44" s="184"/>
      <c r="NRP44" s="184"/>
      <c r="NRQ44" s="184"/>
      <c r="NRR44" s="184"/>
      <c r="NRS44" s="184"/>
      <c r="NRT44" s="184"/>
      <c r="NRU44" s="184"/>
      <c r="NRV44" s="184"/>
      <c r="NRW44" s="184"/>
      <c r="NRX44" s="184"/>
      <c r="NRY44" s="184"/>
      <c r="NRZ44" s="184"/>
      <c r="NSA44" s="184"/>
      <c r="NSB44" s="184"/>
      <c r="NSC44" s="184"/>
      <c r="NSD44" s="184"/>
      <c r="NSE44" s="184"/>
      <c r="NSF44" s="184"/>
      <c r="NSG44" s="184"/>
      <c r="NSH44" s="184"/>
      <c r="NSI44" s="184"/>
      <c r="NSJ44" s="184"/>
      <c r="NSK44" s="184"/>
      <c r="NSL44" s="184"/>
      <c r="NSM44" s="184"/>
      <c r="NSN44" s="184"/>
      <c r="NSO44" s="184"/>
      <c r="NSP44" s="184"/>
      <c r="NSQ44" s="184"/>
      <c r="NSR44" s="184"/>
      <c r="NSS44" s="184"/>
      <c r="NST44" s="184"/>
      <c r="NSU44" s="184"/>
      <c r="NSV44" s="184"/>
      <c r="NSW44" s="184"/>
      <c r="NSX44" s="184"/>
      <c r="NSY44" s="184"/>
      <c r="NSZ44" s="184"/>
      <c r="NTM44" s="215"/>
      <c r="NTN44" s="202"/>
      <c r="NTO44" s="203"/>
      <c r="NTP44" s="203"/>
      <c r="NTQ44" s="203"/>
      <c r="NTR44" s="204"/>
      <c r="NTS44" s="200"/>
      <c r="NTT44" s="227"/>
      <c r="NTU44" s="184"/>
      <c r="NTV44" s="184"/>
      <c r="NTW44" s="184"/>
      <c r="NTX44" s="184"/>
      <c r="NTY44" s="184"/>
      <c r="NTZ44" s="184"/>
      <c r="NUA44" s="184"/>
      <c r="NUB44" s="184"/>
      <c r="NUC44" s="184"/>
      <c r="NUD44" s="184"/>
      <c r="NUE44" s="184"/>
      <c r="NUF44" s="184"/>
      <c r="NUG44" s="184"/>
      <c r="NUH44" s="184"/>
      <c r="NUI44" s="184"/>
      <c r="NUJ44" s="184"/>
      <c r="NUK44" s="184"/>
      <c r="NUL44" s="184"/>
      <c r="NUM44" s="184"/>
      <c r="NUN44" s="184"/>
      <c r="NUO44" s="184"/>
      <c r="NUP44" s="184"/>
      <c r="NUQ44" s="184"/>
      <c r="NUR44" s="184"/>
      <c r="NUS44" s="184"/>
      <c r="NUT44" s="184"/>
      <c r="NUU44" s="184"/>
      <c r="NUV44" s="184"/>
      <c r="NUW44" s="184"/>
      <c r="NUX44" s="184"/>
      <c r="NUY44" s="184"/>
      <c r="NUZ44" s="184"/>
      <c r="NVA44" s="184"/>
      <c r="NVB44" s="184"/>
      <c r="NVC44" s="184"/>
      <c r="NVD44" s="184"/>
      <c r="NVE44" s="184"/>
      <c r="NVF44" s="184"/>
      <c r="NVG44" s="184"/>
      <c r="NVH44" s="184"/>
      <c r="NVI44" s="184"/>
      <c r="NVJ44" s="184"/>
      <c r="NVK44" s="184"/>
      <c r="NVL44" s="184"/>
      <c r="NVM44" s="184"/>
      <c r="NVN44" s="184"/>
      <c r="NVO44" s="184"/>
      <c r="NVP44" s="184"/>
      <c r="NVQ44" s="184"/>
      <c r="NVR44" s="184"/>
      <c r="NVS44" s="184"/>
      <c r="NVT44" s="184"/>
      <c r="NVU44" s="184"/>
      <c r="NVV44" s="184"/>
      <c r="NVW44" s="184"/>
      <c r="NVX44" s="184"/>
      <c r="NVY44" s="184"/>
      <c r="NVZ44" s="184"/>
      <c r="NWA44" s="184"/>
      <c r="NWB44" s="184"/>
      <c r="NWC44" s="184"/>
      <c r="NWD44" s="184"/>
      <c r="NWE44" s="184"/>
      <c r="NWF44" s="184"/>
      <c r="NWS44" s="215"/>
      <c r="NWT44" s="202"/>
      <c r="NWU44" s="203"/>
      <c r="NWV44" s="203"/>
      <c r="NWW44" s="203"/>
      <c r="NWX44" s="204"/>
      <c r="NWY44" s="200"/>
      <c r="NWZ44" s="227"/>
      <c r="NXA44" s="184"/>
      <c r="NXB44" s="184"/>
      <c r="NXC44" s="184"/>
      <c r="NXD44" s="184"/>
      <c r="NXE44" s="184"/>
      <c r="NXF44" s="184"/>
      <c r="NXG44" s="184"/>
      <c r="NXH44" s="184"/>
      <c r="NXI44" s="184"/>
      <c r="NXJ44" s="184"/>
      <c r="NXK44" s="184"/>
      <c r="NXL44" s="184"/>
      <c r="NXM44" s="184"/>
      <c r="NXN44" s="184"/>
      <c r="NXO44" s="184"/>
      <c r="NXP44" s="184"/>
      <c r="NXQ44" s="184"/>
      <c r="NXR44" s="184"/>
      <c r="NXS44" s="184"/>
      <c r="NXT44" s="184"/>
      <c r="NXU44" s="184"/>
      <c r="NXV44" s="184"/>
      <c r="NXW44" s="184"/>
      <c r="NXX44" s="184"/>
      <c r="NXY44" s="184"/>
      <c r="NXZ44" s="184"/>
      <c r="NYA44" s="184"/>
      <c r="NYB44" s="184"/>
      <c r="NYC44" s="184"/>
      <c r="NYD44" s="184"/>
      <c r="NYE44" s="184"/>
      <c r="NYF44" s="184"/>
      <c r="NYG44" s="184"/>
      <c r="NYH44" s="184"/>
      <c r="NYI44" s="184"/>
      <c r="NYJ44" s="184"/>
      <c r="NYK44" s="184"/>
      <c r="NYL44" s="184"/>
      <c r="NYM44" s="184"/>
      <c r="NYN44" s="184"/>
      <c r="NYO44" s="184"/>
      <c r="NYP44" s="184"/>
      <c r="NYQ44" s="184"/>
      <c r="NYR44" s="184"/>
      <c r="NYS44" s="184"/>
      <c r="NYT44" s="184"/>
      <c r="NYU44" s="184"/>
      <c r="NYV44" s="184"/>
      <c r="NYW44" s="184"/>
      <c r="NYX44" s="184"/>
      <c r="NYY44" s="184"/>
      <c r="NYZ44" s="184"/>
      <c r="NZA44" s="184"/>
      <c r="NZB44" s="184"/>
      <c r="NZC44" s="184"/>
      <c r="NZD44" s="184"/>
      <c r="NZE44" s="184"/>
      <c r="NZF44" s="184"/>
      <c r="NZG44" s="184"/>
      <c r="NZH44" s="184"/>
      <c r="NZI44" s="184"/>
      <c r="NZJ44" s="184"/>
      <c r="NZK44" s="184"/>
      <c r="NZL44" s="184"/>
      <c r="NZY44" s="215"/>
      <c r="NZZ44" s="202"/>
      <c r="OAA44" s="203"/>
      <c r="OAB44" s="203"/>
      <c r="OAC44" s="203"/>
      <c r="OAD44" s="204"/>
      <c r="OAE44" s="200"/>
      <c r="OAF44" s="227"/>
      <c r="OAG44" s="184"/>
      <c r="OAH44" s="184"/>
      <c r="OAI44" s="184"/>
      <c r="OAJ44" s="184"/>
      <c r="OAK44" s="184"/>
      <c r="OAL44" s="184"/>
      <c r="OAM44" s="184"/>
      <c r="OAN44" s="184"/>
      <c r="OAO44" s="184"/>
      <c r="OAP44" s="184"/>
      <c r="OAQ44" s="184"/>
      <c r="OAR44" s="184"/>
      <c r="OAS44" s="184"/>
      <c r="OAT44" s="184"/>
      <c r="OAU44" s="184"/>
      <c r="OAV44" s="184"/>
      <c r="OAW44" s="184"/>
      <c r="OAX44" s="184"/>
      <c r="OAY44" s="184"/>
      <c r="OAZ44" s="184"/>
      <c r="OBA44" s="184"/>
      <c r="OBB44" s="184"/>
      <c r="OBC44" s="184"/>
      <c r="OBD44" s="184"/>
      <c r="OBE44" s="184"/>
      <c r="OBF44" s="184"/>
      <c r="OBG44" s="184"/>
      <c r="OBH44" s="184"/>
      <c r="OBI44" s="184"/>
      <c r="OBJ44" s="184"/>
      <c r="OBK44" s="184"/>
      <c r="OBL44" s="184"/>
      <c r="OBM44" s="184"/>
      <c r="OBN44" s="184"/>
      <c r="OBO44" s="184"/>
      <c r="OBP44" s="184"/>
      <c r="OBQ44" s="184"/>
      <c r="OBR44" s="184"/>
      <c r="OBS44" s="184"/>
      <c r="OBT44" s="184"/>
      <c r="OBU44" s="184"/>
      <c r="OBV44" s="184"/>
      <c r="OBW44" s="184"/>
      <c r="OBX44" s="184"/>
      <c r="OBY44" s="184"/>
      <c r="OBZ44" s="184"/>
      <c r="OCA44" s="184"/>
      <c r="OCB44" s="184"/>
      <c r="OCC44" s="184"/>
      <c r="OCD44" s="184"/>
      <c r="OCE44" s="184"/>
      <c r="OCF44" s="184"/>
      <c r="OCG44" s="184"/>
      <c r="OCH44" s="184"/>
      <c r="OCI44" s="184"/>
      <c r="OCJ44" s="184"/>
      <c r="OCK44" s="184"/>
      <c r="OCL44" s="184"/>
      <c r="OCM44" s="184"/>
      <c r="OCN44" s="184"/>
      <c r="OCO44" s="184"/>
      <c r="OCP44" s="184"/>
      <c r="OCQ44" s="184"/>
      <c r="OCR44" s="184"/>
      <c r="ODE44" s="215"/>
      <c r="ODF44" s="202"/>
      <c r="ODG44" s="203"/>
      <c r="ODH44" s="203"/>
      <c r="ODI44" s="203"/>
      <c r="ODJ44" s="204"/>
      <c r="ODK44" s="200"/>
      <c r="ODL44" s="227"/>
      <c r="ODM44" s="184"/>
      <c r="ODN44" s="184"/>
      <c r="ODO44" s="184"/>
      <c r="ODP44" s="184"/>
      <c r="ODQ44" s="184"/>
      <c r="ODR44" s="184"/>
      <c r="ODS44" s="184"/>
      <c r="ODT44" s="184"/>
      <c r="ODU44" s="184"/>
      <c r="ODV44" s="184"/>
      <c r="ODW44" s="184"/>
      <c r="ODX44" s="184"/>
      <c r="ODY44" s="184"/>
      <c r="ODZ44" s="184"/>
      <c r="OEA44" s="184"/>
      <c r="OEB44" s="184"/>
      <c r="OEC44" s="184"/>
      <c r="OED44" s="184"/>
      <c r="OEE44" s="184"/>
      <c r="OEF44" s="184"/>
      <c r="OEG44" s="184"/>
      <c r="OEH44" s="184"/>
      <c r="OEI44" s="184"/>
      <c r="OEJ44" s="184"/>
      <c r="OEK44" s="184"/>
      <c r="OEL44" s="184"/>
      <c r="OEM44" s="184"/>
      <c r="OEN44" s="184"/>
      <c r="OEO44" s="184"/>
      <c r="OEP44" s="184"/>
      <c r="OEQ44" s="184"/>
      <c r="OER44" s="184"/>
      <c r="OES44" s="184"/>
      <c r="OET44" s="184"/>
      <c r="OEU44" s="184"/>
      <c r="OEV44" s="184"/>
      <c r="OEW44" s="184"/>
      <c r="OEX44" s="184"/>
      <c r="OEY44" s="184"/>
      <c r="OEZ44" s="184"/>
      <c r="OFA44" s="184"/>
      <c r="OFB44" s="184"/>
      <c r="OFC44" s="184"/>
      <c r="OFD44" s="184"/>
      <c r="OFE44" s="184"/>
      <c r="OFF44" s="184"/>
      <c r="OFG44" s="184"/>
      <c r="OFH44" s="184"/>
      <c r="OFI44" s="184"/>
      <c r="OFJ44" s="184"/>
      <c r="OFK44" s="184"/>
      <c r="OFL44" s="184"/>
      <c r="OFM44" s="184"/>
      <c r="OFN44" s="184"/>
      <c r="OFO44" s="184"/>
      <c r="OFP44" s="184"/>
      <c r="OFQ44" s="184"/>
      <c r="OFR44" s="184"/>
      <c r="OFS44" s="184"/>
      <c r="OFT44" s="184"/>
      <c r="OFU44" s="184"/>
      <c r="OFV44" s="184"/>
      <c r="OFW44" s="184"/>
      <c r="OFX44" s="184"/>
      <c r="OGK44" s="215"/>
      <c r="OGL44" s="202"/>
      <c r="OGM44" s="203"/>
      <c r="OGN44" s="203"/>
      <c r="OGO44" s="203"/>
      <c r="OGP44" s="204"/>
      <c r="OGQ44" s="200"/>
      <c r="OGR44" s="227"/>
      <c r="OGS44" s="184"/>
      <c r="OGT44" s="184"/>
      <c r="OGU44" s="184"/>
      <c r="OGV44" s="184"/>
      <c r="OGW44" s="184"/>
      <c r="OGX44" s="184"/>
      <c r="OGY44" s="184"/>
      <c r="OGZ44" s="184"/>
      <c r="OHA44" s="184"/>
      <c r="OHB44" s="184"/>
      <c r="OHC44" s="184"/>
      <c r="OHD44" s="184"/>
      <c r="OHE44" s="184"/>
      <c r="OHF44" s="184"/>
      <c r="OHG44" s="184"/>
      <c r="OHH44" s="184"/>
      <c r="OHI44" s="184"/>
      <c r="OHJ44" s="184"/>
      <c r="OHK44" s="184"/>
      <c r="OHL44" s="184"/>
      <c r="OHM44" s="184"/>
      <c r="OHN44" s="184"/>
      <c r="OHO44" s="184"/>
      <c r="OHP44" s="184"/>
      <c r="OHQ44" s="184"/>
      <c r="OHR44" s="184"/>
      <c r="OHS44" s="184"/>
      <c r="OHT44" s="184"/>
      <c r="OHU44" s="184"/>
      <c r="OHV44" s="184"/>
      <c r="OHW44" s="184"/>
      <c r="OHX44" s="184"/>
      <c r="OHY44" s="184"/>
      <c r="OHZ44" s="184"/>
      <c r="OIA44" s="184"/>
      <c r="OIB44" s="184"/>
      <c r="OIC44" s="184"/>
      <c r="OID44" s="184"/>
      <c r="OIE44" s="184"/>
      <c r="OIF44" s="184"/>
      <c r="OIG44" s="184"/>
      <c r="OIH44" s="184"/>
      <c r="OII44" s="184"/>
      <c r="OIJ44" s="184"/>
      <c r="OIK44" s="184"/>
      <c r="OIL44" s="184"/>
      <c r="OIM44" s="184"/>
      <c r="OIN44" s="184"/>
      <c r="OIO44" s="184"/>
      <c r="OIP44" s="184"/>
      <c r="OIQ44" s="184"/>
      <c r="OIR44" s="184"/>
      <c r="OIS44" s="184"/>
      <c r="OIT44" s="184"/>
      <c r="OIU44" s="184"/>
      <c r="OIV44" s="184"/>
      <c r="OIW44" s="184"/>
      <c r="OIX44" s="184"/>
      <c r="OIY44" s="184"/>
      <c r="OIZ44" s="184"/>
      <c r="OJA44" s="184"/>
      <c r="OJB44" s="184"/>
      <c r="OJC44" s="184"/>
      <c r="OJD44" s="184"/>
      <c r="OJQ44" s="215"/>
      <c r="OJR44" s="202"/>
      <c r="OJS44" s="203"/>
      <c r="OJT44" s="203"/>
      <c r="OJU44" s="203"/>
      <c r="OJV44" s="204"/>
      <c r="OJW44" s="200"/>
      <c r="OJX44" s="227"/>
      <c r="OJY44" s="184"/>
      <c r="OJZ44" s="184"/>
      <c r="OKA44" s="184"/>
      <c r="OKB44" s="184"/>
      <c r="OKC44" s="184"/>
      <c r="OKD44" s="184"/>
      <c r="OKE44" s="184"/>
      <c r="OKF44" s="184"/>
      <c r="OKG44" s="184"/>
      <c r="OKH44" s="184"/>
      <c r="OKI44" s="184"/>
      <c r="OKJ44" s="184"/>
      <c r="OKK44" s="184"/>
      <c r="OKL44" s="184"/>
      <c r="OKM44" s="184"/>
      <c r="OKN44" s="184"/>
      <c r="OKO44" s="184"/>
      <c r="OKP44" s="184"/>
      <c r="OKQ44" s="184"/>
      <c r="OKR44" s="184"/>
      <c r="OKS44" s="184"/>
      <c r="OKT44" s="184"/>
      <c r="OKU44" s="184"/>
      <c r="OKV44" s="184"/>
      <c r="OKW44" s="184"/>
      <c r="OKX44" s="184"/>
      <c r="OKY44" s="184"/>
      <c r="OKZ44" s="184"/>
      <c r="OLA44" s="184"/>
      <c r="OLB44" s="184"/>
      <c r="OLC44" s="184"/>
      <c r="OLD44" s="184"/>
      <c r="OLE44" s="184"/>
      <c r="OLF44" s="184"/>
      <c r="OLG44" s="184"/>
      <c r="OLH44" s="184"/>
      <c r="OLI44" s="184"/>
      <c r="OLJ44" s="184"/>
      <c r="OLK44" s="184"/>
      <c r="OLL44" s="184"/>
      <c r="OLM44" s="184"/>
      <c r="OLN44" s="184"/>
      <c r="OLO44" s="184"/>
      <c r="OLP44" s="184"/>
      <c r="OLQ44" s="184"/>
      <c r="OLR44" s="184"/>
      <c r="OLS44" s="184"/>
      <c r="OLT44" s="184"/>
      <c r="OLU44" s="184"/>
      <c r="OLV44" s="184"/>
      <c r="OLW44" s="184"/>
      <c r="OLX44" s="184"/>
      <c r="OLY44" s="184"/>
      <c r="OLZ44" s="184"/>
      <c r="OMA44" s="184"/>
      <c r="OMB44" s="184"/>
      <c r="OMC44" s="184"/>
      <c r="OMD44" s="184"/>
      <c r="OME44" s="184"/>
      <c r="OMF44" s="184"/>
      <c r="OMG44" s="184"/>
      <c r="OMH44" s="184"/>
      <c r="OMI44" s="184"/>
      <c r="OMJ44" s="184"/>
      <c r="OMW44" s="215"/>
      <c r="OMX44" s="202"/>
      <c r="OMY44" s="203"/>
      <c r="OMZ44" s="203"/>
      <c r="ONA44" s="203"/>
      <c r="ONB44" s="204"/>
      <c r="ONC44" s="200"/>
      <c r="OND44" s="227"/>
      <c r="ONE44" s="184"/>
      <c r="ONF44" s="184"/>
      <c r="ONG44" s="184"/>
      <c r="ONH44" s="184"/>
      <c r="ONI44" s="184"/>
      <c r="ONJ44" s="184"/>
      <c r="ONK44" s="184"/>
      <c r="ONL44" s="184"/>
      <c r="ONM44" s="184"/>
      <c r="ONN44" s="184"/>
      <c r="ONO44" s="184"/>
      <c r="ONP44" s="184"/>
      <c r="ONQ44" s="184"/>
      <c r="ONR44" s="184"/>
      <c r="ONS44" s="184"/>
      <c r="ONT44" s="184"/>
      <c r="ONU44" s="184"/>
      <c r="ONV44" s="184"/>
      <c r="ONW44" s="184"/>
      <c r="ONX44" s="184"/>
      <c r="ONY44" s="184"/>
      <c r="ONZ44" s="184"/>
      <c r="OOA44" s="184"/>
      <c r="OOB44" s="184"/>
      <c r="OOC44" s="184"/>
      <c r="OOD44" s="184"/>
      <c r="OOE44" s="184"/>
      <c r="OOF44" s="184"/>
      <c r="OOG44" s="184"/>
      <c r="OOH44" s="184"/>
      <c r="OOI44" s="184"/>
      <c r="OOJ44" s="184"/>
      <c r="OOK44" s="184"/>
      <c r="OOL44" s="184"/>
      <c r="OOM44" s="184"/>
      <c r="OON44" s="184"/>
      <c r="OOO44" s="184"/>
      <c r="OOP44" s="184"/>
      <c r="OOQ44" s="184"/>
      <c r="OOR44" s="184"/>
      <c r="OOS44" s="184"/>
      <c r="OOT44" s="184"/>
      <c r="OOU44" s="184"/>
      <c r="OOV44" s="184"/>
      <c r="OOW44" s="184"/>
      <c r="OOX44" s="184"/>
      <c r="OOY44" s="184"/>
      <c r="OOZ44" s="184"/>
      <c r="OPA44" s="184"/>
      <c r="OPB44" s="184"/>
      <c r="OPC44" s="184"/>
      <c r="OPD44" s="184"/>
      <c r="OPE44" s="184"/>
      <c r="OPF44" s="184"/>
      <c r="OPG44" s="184"/>
      <c r="OPH44" s="184"/>
      <c r="OPI44" s="184"/>
      <c r="OPJ44" s="184"/>
      <c r="OPK44" s="184"/>
      <c r="OPL44" s="184"/>
      <c r="OPM44" s="184"/>
      <c r="OPN44" s="184"/>
      <c r="OPO44" s="184"/>
      <c r="OPP44" s="184"/>
      <c r="OQC44" s="215"/>
      <c r="OQD44" s="202"/>
      <c r="OQE44" s="203"/>
      <c r="OQF44" s="203"/>
      <c r="OQG44" s="203"/>
      <c r="OQH44" s="204"/>
      <c r="OQI44" s="200"/>
      <c r="OQJ44" s="227"/>
      <c r="OQK44" s="184"/>
      <c r="OQL44" s="184"/>
      <c r="OQM44" s="184"/>
      <c r="OQN44" s="184"/>
      <c r="OQO44" s="184"/>
      <c r="OQP44" s="184"/>
      <c r="OQQ44" s="184"/>
      <c r="OQR44" s="184"/>
      <c r="OQS44" s="184"/>
      <c r="OQT44" s="184"/>
      <c r="OQU44" s="184"/>
      <c r="OQV44" s="184"/>
      <c r="OQW44" s="184"/>
      <c r="OQX44" s="184"/>
      <c r="OQY44" s="184"/>
      <c r="OQZ44" s="184"/>
      <c r="ORA44" s="184"/>
      <c r="ORB44" s="184"/>
      <c r="ORC44" s="184"/>
      <c r="ORD44" s="184"/>
      <c r="ORE44" s="184"/>
      <c r="ORF44" s="184"/>
      <c r="ORG44" s="184"/>
      <c r="ORH44" s="184"/>
      <c r="ORI44" s="184"/>
      <c r="ORJ44" s="184"/>
      <c r="ORK44" s="184"/>
      <c r="ORL44" s="184"/>
      <c r="ORM44" s="184"/>
      <c r="ORN44" s="184"/>
      <c r="ORO44" s="184"/>
      <c r="ORP44" s="184"/>
      <c r="ORQ44" s="184"/>
      <c r="ORR44" s="184"/>
      <c r="ORS44" s="184"/>
      <c r="ORT44" s="184"/>
      <c r="ORU44" s="184"/>
      <c r="ORV44" s="184"/>
      <c r="ORW44" s="184"/>
      <c r="ORX44" s="184"/>
      <c r="ORY44" s="184"/>
      <c r="ORZ44" s="184"/>
      <c r="OSA44" s="184"/>
      <c r="OSB44" s="184"/>
      <c r="OSC44" s="184"/>
      <c r="OSD44" s="184"/>
      <c r="OSE44" s="184"/>
      <c r="OSF44" s="184"/>
      <c r="OSG44" s="184"/>
      <c r="OSH44" s="184"/>
      <c r="OSI44" s="184"/>
      <c r="OSJ44" s="184"/>
      <c r="OSK44" s="184"/>
      <c r="OSL44" s="184"/>
      <c r="OSM44" s="184"/>
      <c r="OSN44" s="184"/>
      <c r="OSO44" s="184"/>
      <c r="OSP44" s="184"/>
      <c r="OSQ44" s="184"/>
      <c r="OSR44" s="184"/>
      <c r="OSS44" s="184"/>
      <c r="OST44" s="184"/>
      <c r="OSU44" s="184"/>
      <c r="OSV44" s="184"/>
      <c r="OTI44" s="215"/>
      <c r="OTJ44" s="202"/>
      <c r="OTK44" s="203"/>
      <c r="OTL44" s="203"/>
      <c r="OTM44" s="203"/>
      <c r="OTN44" s="204"/>
      <c r="OTO44" s="200"/>
      <c r="OTP44" s="227"/>
      <c r="OTQ44" s="184"/>
      <c r="OTR44" s="184"/>
      <c r="OTS44" s="184"/>
      <c r="OTT44" s="184"/>
      <c r="OTU44" s="184"/>
      <c r="OTV44" s="184"/>
      <c r="OTW44" s="184"/>
      <c r="OTX44" s="184"/>
      <c r="OTY44" s="184"/>
      <c r="OTZ44" s="184"/>
      <c r="OUA44" s="184"/>
      <c r="OUB44" s="184"/>
      <c r="OUC44" s="184"/>
      <c r="OUD44" s="184"/>
      <c r="OUE44" s="184"/>
      <c r="OUF44" s="184"/>
      <c r="OUG44" s="184"/>
      <c r="OUH44" s="184"/>
      <c r="OUI44" s="184"/>
      <c r="OUJ44" s="184"/>
      <c r="OUK44" s="184"/>
      <c r="OUL44" s="184"/>
      <c r="OUM44" s="184"/>
      <c r="OUN44" s="184"/>
      <c r="OUO44" s="184"/>
      <c r="OUP44" s="184"/>
      <c r="OUQ44" s="184"/>
      <c r="OUR44" s="184"/>
      <c r="OUS44" s="184"/>
      <c r="OUT44" s="184"/>
      <c r="OUU44" s="184"/>
      <c r="OUV44" s="184"/>
      <c r="OUW44" s="184"/>
      <c r="OUX44" s="184"/>
      <c r="OUY44" s="184"/>
      <c r="OUZ44" s="184"/>
      <c r="OVA44" s="184"/>
      <c r="OVB44" s="184"/>
      <c r="OVC44" s="184"/>
      <c r="OVD44" s="184"/>
      <c r="OVE44" s="184"/>
      <c r="OVF44" s="184"/>
      <c r="OVG44" s="184"/>
      <c r="OVH44" s="184"/>
      <c r="OVI44" s="184"/>
      <c r="OVJ44" s="184"/>
      <c r="OVK44" s="184"/>
      <c r="OVL44" s="184"/>
      <c r="OVM44" s="184"/>
      <c r="OVN44" s="184"/>
      <c r="OVO44" s="184"/>
      <c r="OVP44" s="184"/>
      <c r="OVQ44" s="184"/>
      <c r="OVR44" s="184"/>
      <c r="OVS44" s="184"/>
      <c r="OVT44" s="184"/>
      <c r="OVU44" s="184"/>
      <c r="OVV44" s="184"/>
      <c r="OVW44" s="184"/>
      <c r="OVX44" s="184"/>
      <c r="OVY44" s="184"/>
      <c r="OVZ44" s="184"/>
      <c r="OWA44" s="184"/>
      <c r="OWB44" s="184"/>
      <c r="OWO44" s="215"/>
      <c r="OWP44" s="202"/>
      <c r="OWQ44" s="203"/>
      <c r="OWR44" s="203"/>
      <c r="OWS44" s="203"/>
      <c r="OWT44" s="204"/>
      <c r="OWU44" s="200"/>
      <c r="OWV44" s="227"/>
      <c r="OWW44" s="184"/>
      <c r="OWX44" s="184"/>
      <c r="OWY44" s="184"/>
      <c r="OWZ44" s="184"/>
      <c r="OXA44" s="184"/>
      <c r="OXB44" s="184"/>
      <c r="OXC44" s="184"/>
      <c r="OXD44" s="184"/>
      <c r="OXE44" s="184"/>
      <c r="OXF44" s="184"/>
      <c r="OXG44" s="184"/>
      <c r="OXH44" s="184"/>
      <c r="OXI44" s="184"/>
      <c r="OXJ44" s="184"/>
      <c r="OXK44" s="184"/>
      <c r="OXL44" s="184"/>
      <c r="OXM44" s="184"/>
      <c r="OXN44" s="184"/>
      <c r="OXO44" s="184"/>
      <c r="OXP44" s="184"/>
      <c r="OXQ44" s="184"/>
      <c r="OXR44" s="184"/>
      <c r="OXS44" s="184"/>
      <c r="OXT44" s="184"/>
      <c r="OXU44" s="184"/>
      <c r="OXV44" s="184"/>
      <c r="OXW44" s="184"/>
      <c r="OXX44" s="184"/>
      <c r="OXY44" s="184"/>
      <c r="OXZ44" s="184"/>
      <c r="OYA44" s="184"/>
      <c r="OYB44" s="184"/>
      <c r="OYC44" s="184"/>
      <c r="OYD44" s="184"/>
      <c r="OYE44" s="184"/>
      <c r="OYF44" s="184"/>
      <c r="OYG44" s="184"/>
      <c r="OYH44" s="184"/>
      <c r="OYI44" s="184"/>
      <c r="OYJ44" s="184"/>
      <c r="OYK44" s="184"/>
      <c r="OYL44" s="184"/>
      <c r="OYM44" s="184"/>
      <c r="OYN44" s="184"/>
      <c r="OYO44" s="184"/>
      <c r="OYP44" s="184"/>
      <c r="OYQ44" s="184"/>
      <c r="OYR44" s="184"/>
      <c r="OYS44" s="184"/>
      <c r="OYT44" s="184"/>
      <c r="OYU44" s="184"/>
      <c r="OYV44" s="184"/>
      <c r="OYW44" s="184"/>
      <c r="OYX44" s="184"/>
      <c r="OYY44" s="184"/>
      <c r="OYZ44" s="184"/>
      <c r="OZA44" s="184"/>
      <c r="OZB44" s="184"/>
      <c r="OZC44" s="184"/>
      <c r="OZD44" s="184"/>
      <c r="OZE44" s="184"/>
      <c r="OZF44" s="184"/>
      <c r="OZG44" s="184"/>
      <c r="OZH44" s="184"/>
      <c r="OZU44" s="215"/>
      <c r="OZV44" s="202"/>
      <c r="OZW44" s="203"/>
      <c r="OZX44" s="203"/>
      <c r="OZY44" s="203"/>
      <c r="OZZ44" s="204"/>
      <c r="PAA44" s="200"/>
      <c r="PAB44" s="227"/>
      <c r="PAC44" s="184"/>
      <c r="PAD44" s="184"/>
      <c r="PAE44" s="184"/>
      <c r="PAF44" s="184"/>
      <c r="PAG44" s="184"/>
      <c r="PAH44" s="184"/>
      <c r="PAI44" s="184"/>
      <c r="PAJ44" s="184"/>
      <c r="PAK44" s="184"/>
      <c r="PAL44" s="184"/>
      <c r="PAM44" s="184"/>
      <c r="PAN44" s="184"/>
      <c r="PAO44" s="184"/>
      <c r="PAP44" s="184"/>
      <c r="PAQ44" s="184"/>
      <c r="PAR44" s="184"/>
      <c r="PAS44" s="184"/>
      <c r="PAT44" s="184"/>
      <c r="PAU44" s="184"/>
      <c r="PAV44" s="184"/>
      <c r="PAW44" s="184"/>
      <c r="PAX44" s="184"/>
      <c r="PAY44" s="184"/>
      <c r="PAZ44" s="184"/>
      <c r="PBA44" s="184"/>
      <c r="PBB44" s="184"/>
      <c r="PBC44" s="184"/>
      <c r="PBD44" s="184"/>
      <c r="PBE44" s="184"/>
      <c r="PBF44" s="184"/>
      <c r="PBG44" s="184"/>
      <c r="PBH44" s="184"/>
      <c r="PBI44" s="184"/>
      <c r="PBJ44" s="184"/>
      <c r="PBK44" s="184"/>
      <c r="PBL44" s="184"/>
      <c r="PBM44" s="184"/>
      <c r="PBN44" s="184"/>
      <c r="PBO44" s="184"/>
      <c r="PBP44" s="184"/>
      <c r="PBQ44" s="184"/>
      <c r="PBR44" s="184"/>
      <c r="PBS44" s="184"/>
      <c r="PBT44" s="184"/>
      <c r="PBU44" s="184"/>
      <c r="PBV44" s="184"/>
      <c r="PBW44" s="184"/>
      <c r="PBX44" s="184"/>
      <c r="PBY44" s="184"/>
      <c r="PBZ44" s="184"/>
      <c r="PCA44" s="184"/>
      <c r="PCB44" s="184"/>
      <c r="PCC44" s="184"/>
      <c r="PCD44" s="184"/>
      <c r="PCE44" s="184"/>
      <c r="PCF44" s="184"/>
      <c r="PCG44" s="184"/>
      <c r="PCH44" s="184"/>
      <c r="PCI44" s="184"/>
      <c r="PCJ44" s="184"/>
      <c r="PCK44" s="184"/>
      <c r="PCL44" s="184"/>
      <c r="PCM44" s="184"/>
      <c r="PCN44" s="184"/>
      <c r="PDA44" s="215"/>
      <c r="PDB44" s="202"/>
      <c r="PDC44" s="203"/>
      <c r="PDD44" s="203"/>
      <c r="PDE44" s="203"/>
      <c r="PDF44" s="204"/>
      <c r="PDG44" s="200"/>
      <c r="PDH44" s="227"/>
      <c r="PDI44" s="184"/>
      <c r="PDJ44" s="184"/>
      <c r="PDK44" s="184"/>
      <c r="PDL44" s="184"/>
      <c r="PDM44" s="184"/>
      <c r="PDN44" s="184"/>
      <c r="PDO44" s="184"/>
      <c r="PDP44" s="184"/>
      <c r="PDQ44" s="184"/>
      <c r="PDR44" s="184"/>
      <c r="PDS44" s="184"/>
      <c r="PDT44" s="184"/>
      <c r="PDU44" s="184"/>
      <c r="PDV44" s="184"/>
      <c r="PDW44" s="184"/>
      <c r="PDX44" s="184"/>
      <c r="PDY44" s="184"/>
      <c r="PDZ44" s="184"/>
      <c r="PEA44" s="184"/>
      <c r="PEB44" s="184"/>
      <c r="PEC44" s="184"/>
      <c r="PED44" s="184"/>
      <c r="PEE44" s="184"/>
      <c r="PEF44" s="184"/>
      <c r="PEG44" s="184"/>
      <c r="PEH44" s="184"/>
      <c r="PEI44" s="184"/>
      <c r="PEJ44" s="184"/>
      <c r="PEK44" s="184"/>
      <c r="PEL44" s="184"/>
      <c r="PEM44" s="184"/>
      <c r="PEN44" s="184"/>
      <c r="PEO44" s="184"/>
      <c r="PEP44" s="184"/>
      <c r="PEQ44" s="184"/>
      <c r="PER44" s="184"/>
      <c r="PES44" s="184"/>
      <c r="PET44" s="184"/>
      <c r="PEU44" s="184"/>
      <c r="PEV44" s="184"/>
      <c r="PEW44" s="184"/>
      <c r="PEX44" s="184"/>
      <c r="PEY44" s="184"/>
      <c r="PEZ44" s="184"/>
      <c r="PFA44" s="184"/>
      <c r="PFB44" s="184"/>
      <c r="PFC44" s="184"/>
      <c r="PFD44" s="184"/>
      <c r="PFE44" s="184"/>
      <c r="PFF44" s="184"/>
      <c r="PFG44" s="184"/>
      <c r="PFH44" s="184"/>
      <c r="PFI44" s="184"/>
      <c r="PFJ44" s="184"/>
      <c r="PFK44" s="184"/>
      <c r="PFL44" s="184"/>
      <c r="PFM44" s="184"/>
      <c r="PFN44" s="184"/>
      <c r="PFO44" s="184"/>
      <c r="PFP44" s="184"/>
      <c r="PFQ44" s="184"/>
      <c r="PFR44" s="184"/>
      <c r="PFS44" s="184"/>
      <c r="PFT44" s="184"/>
      <c r="PGG44" s="215"/>
      <c r="PGH44" s="202"/>
      <c r="PGI44" s="203"/>
      <c r="PGJ44" s="203"/>
      <c r="PGK44" s="203"/>
      <c r="PGL44" s="204"/>
      <c r="PGM44" s="200"/>
      <c r="PGN44" s="227"/>
      <c r="PGO44" s="184"/>
      <c r="PGP44" s="184"/>
      <c r="PGQ44" s="184"/>
      <c r="PGR44" s="184"/>
      <c r="PGS44" s="184"/>
      <c r="PGT44" s="184"/>
      <c r="PGU44" s="184"/>
      <c r="PGV44" s="184"/>
      <c r="PGW44" s="184"/>
      <c r="PGX44" s="184"/>
      <c r="PGY44" s="184"/>
      <c r="PGZ44" s="184"/>
      <c r="PHA44" s="184"/>
      <c r="PHB44" s="184"/>
      <c r="PHC44" s="184"/>
      <c r="PHD44" s="184"/>
      <c r="PHE44" s="184"/>
      <c r="PHF44" s="184"/>
      <c r="PHG44" s="184"/>
      <c r="PHH44" s="184"/>
      <c r="PHI44" s="184"/>
      <c r="PHJ44" s="184"/>
      <c r="PHK44" s="184"/>
      <c r="PHL44" s="184"/>
      <c r="PHM44" s="184"/>
      <c r="PHN44" s="184"/>
      <c r="PHO44" s="184"/>
      <c r="PHP44" s="184"/>
      <c r="PHQ44" s="184"/>
      <c r="PHR44" s="184"/>
      <c r="PHS44" s="184"/>
      <c r="PHT44" s="184"/>
      <c r="PHU44" s="184"/>
      <c r="PHV44" s="184"/>
      <c r="PHW44" s="184"/>
      <c r="PHX44" s="184"/>
      <c r="PHY44" s="184"/>
      <c r="PHZ44" s="184"/>
      <c r="PIA44" s="184"/>
      <c r="PIB44" s="184"/>
      <c r="PIC44" s="184"/>
      <c r="PID44" s="184"/>
      <c r="PIE44" s="184"/>
      <c r="PIF44" s="184"/>
      <c r="PIG44" s="184"/>
      <c r="PIH44" s="184"/>
      <c r="PII44" s="184"/>
      <c r="PIJ44" s="184"/>
      <c r="PIK44" s="184"/>
      <c r="PIL44" s="184"/>
      <c r="PIM44" s="184"/>
      <c r="PIN44" s="184"/>
      <c r="PIO44" s="184"/>
      <c r="PIP44" s="184"/>
      <c r="PIQ44" s="184"/>
      <c r="PIR44" s="184"/>
      <c r="PIS44" s="184"/>
      <c r="PIT44" s="184"/>
      <c r="PIU44" s="184"/>
      <c r="PIV44" s="184"/>
      <c r="PIW44" s="184"/>
      <c r="PIX44" s="184"/>
      <c r="PIY44" s="184"/>
      <c r="PIZ44" s="184"/>
      <c r="PJM44" s="215"/>
      <c r="PJN44" s="202"/>
      <c r="PJO44" s="203"/>
      <c r="PJP44" s="203"/>
      <c r="PJQ44" s="203"/>
      <c r="PJR44" s="204"/>
      <c r="PJS44" s="200"/>
      <c r="PJT44" s="227"/>
      <c r="PJU44" s="184"/>
      <c r="PJV44" s="184"/>
      <c r="PJW44" s="184"/>
      <c r="PJX44" s="184"/>
      <c r="PJY44" s="184"/>
      <c r="PJZ44" s="184"/>
      <c r="PKA44" s="184"/>
      <c r="PKB44" s="184"/>
      <c r="PKC44" s="184"/>
      <c r="PKD44" s="184"/>
      <c r="PKE44" s="184"/>
      <c r="PKF44" s="184"/>
      <c r="PKG44" s="184"/>
      <c r="PKH44" s="184"/>
      <c r="PKI44" s="184"/>
      <c r="PKJ44" s="184"/>
      <c r="PKK44" s="184"/>
      <c r="PKL44" s="184"/>
      <c r="PKM44" s="184"/>
      <c r="PKN44" s="184"/>
      <c r="PKO44" s="184"/>
      <c r="PKP44" s="184"/>
      <c r="PKQ44" s="184"/>
      <c r="PKR44" s="184"/>
      <c r="PKS44" s="184"/>
      <c r="PKT44" s="184"/>
      <c r="PKU44" s="184"/>
      <c r="PKV44" s="184"/>
      <c r="PKW44" s="184"/>
      <c r="PKX44" s="184"/>
      <c r="PKY44" s="184"/>
      <c r="PKZ44" s="184"/>
      <c r="PLA44" s="184"/>
      <c r="PLB44" s="184"/>
      <c r="PLC44" s="184"/>
      <c r="PLD44" s="184"/>
      <c r="PLE44" s="184"/>
      <c r="PLF44" s="184"/>
      <c r="PLG44" s="184"/>
      <c r="PLH44" s="184"/>
      <c r="PLI44" s="184"/>
      <c r="PLJ44" s="184"/>
      <c r="PLK44" s="184"/>
      <c r="PLL44" s="184"/>
      <c r="PLM44" s="184"/>
      <c r="PLN44" s="184"/>
      <c r="PLO44" s="184"/>
      <c r="PLP44" s="184"/>
      <c r="PLQ44" s="184"/>
      <c r="PLR44" s="184"/>
      <c r="PLS44" s="184"/>
      <c r="PLT44" s="184"/>
      <c r="PLU44" s="184"/>
      <c r="PLV44" s="184"/>
      <c r="PLW44" s="184"/>
      <c r="PLX44" s="184"/>
      <c r="PLY44" s="184"/>
      <c r="PLZ44" s="184"/>
      <c r="PMA44" s="184"/>
      <c r="PMB44" s="184"/>
      <c r="PMC44" s="184"/>
      <c r="PMD44" s="184"/>
      <c r="PME44" s="184"/>
      <c r="PMF44" s="184"/>
      <c r="PMS44" s="215"/>
      <c r="PMT44" s="202"/>
      <c r="PMU44" s="203"/>
      <c r="PMV44" s="203"/>
      <c r="PMW44" s="203"/>
      <c r="PMX44" s="204"/>
      <c r="PMY44" s="200"/>
      <c r="PMZ44" s="227"/>
      <c r="PNA44" s="184"/>
      <c r="PNB44" s="184"/>
      <c r="PNC44" s="184"/>
      <c r="PND44" s="184"/>
      <c r="PNE44" s="184"/>
      <c r="PNF44" s="184"/>
      <c r="PNG44" s="184"/>
      <c r="PNH44" s="184"/>
      <c r="PNI44" s="184"/>
      <c r="PNJ44" s="184"/>
      <c r="PNK44" s="184"/>
      <c r="PNL44" s="184"/>
      <c r="PNM44" s="184"/>
      <c r="PNN44" s="184"/>
      <c r="PNO44" s="184"/>
      <c r="PNP44" s="184"/>
      <c r="PNQ44" s="184"/>
      <c r="PNR44" s="184"/>
      <c r="PNS44" s="184"/>
      <c r="PNT44" s="184"/>
      <c r="PNU44" s="184"/>
      <c r="PNV44" s="184"/>
      <c r="PNW44" s="184"/>
      <c r="PNX44" s="184"/>
      <c r="PNY44" s="184"/>
      <c r="PNZ44" s="184"/>
      <c r="POA44" s="184"/>
      <c r="POB44" s="184"/>
      <c r="POC44" s="184"/>
      <c r="POD44" s="184"/>
      <c r="POE44" s="184"/>
      <c r="POF44" s="184"/>
      <c r="POG44" s="184"/>
      <c r="POH44" s="184"/>
      <c r="POI44" s="184"/>
      <c r="POJ44" s="184"/>
      <c r="POK44" s="184"/>
      <c r="POL44" s="184"/>
      <c r="POM44" s="184"/>
      <c r="PON44" s="184"/>
      <c r="POO44" s="184"/>
      <c r="POP44" s="184"/>
      <c r="POQ44" s="184"/>
      <c r="POR44" s="184"/>
      <c r="POS44" s="184"/>
      <c r="POT44" s="184"/>
      <c r="POU44" s="184"/>
      <c r="POV44" s="184"/>
      <c r="POW44" s="184"/>
      <c r="POX44" s="184"/>
      <c r="POY44" s="184"/>
      <c r="POZ44" s="184"/>
      <c r="PPA44" s="184"/>
      <c r="PPB44" s="184"/>
      <c r="PPC44" s="184"/>
      <c r="PPD44" s="184"/>
      <c r="PPE44" s="184"/>
      <c r="PPF44" s="184"/>
      <c r="PPG44" s="184"/>
      <c r="PPH44" s="184"/>
      <c r="PPI44" s="184"/>
      <c r="PPJ44" s="184"/>
      <c r="PPK44" s="184"/>
      <c r="PPL44" s="184"/>
      <c r="PPY44" s="215"/>
      <c r="PPZ44" s="202"/>
      <c r="PQA44" s="203"/>
      <c r="PQB44" s="203"/>
      <c r="PQC44" s="203"/>
      <c r="PQD44" s="204"/>
      <c r="PQE44" s="200"/>
      <c r="PQF44" s="227"/>
      <c r="PQG44" s="184"/>
      <c r="PQH44" s="184"/>
      <c r="PQI44" s="184"/>
      <c r="PQJ44" s="184"/>
      <c r="PQK44" s="184"/>
      <c r="PQL44" s="184"/>
      <c r="PQM44" s="184"/>
      <c r="PQN44" s="184"/>
      <c r="PQO44" s="184"/>
      <c r="PQP44" s="184"/>
      <c r="PQQ44" s="184"/>
      <c r="PQR44" s="184"/>
      <c r="PQS44" s="184"/>
      <c r="PQT44" s="184"/>
      <c r="PQU44" s="184"/>
      <c r="PQV44" s="184"/>
      <c r="PQW44" s="184"/>
      <c r="PQX44" s="184"/>
      <c r="PQY44" s="184"/>
      <c r="PQZ44" s="184"/>
      <c r="PRA44" s="184"/>
      <c r="PRB44" s="184"/>
      <c r="PRC44" s="184"/>
      <c r="PRD44" s="184"/>
      <c r="PRE44" s="184"/>
      <c r="PRF44" s="184"/>
      <c r="PRG44" s="184"/>
      <c r="PRH44" s="184"/>
      <c r="PRI44" s="184"/>
      <c r="PRJ44" s="184"/>
      <c r="PRK44" s="184"/>
      <c r="PRL44" s="184"/>
      <c r="PRM44" s="184"/>
      <c r="PRN44" s="184"/>
      <c r="PRO44" s="184"/>
      <c r="PRP44" s="184"/>
      <c r="PRQ44" s="184"/>
      <c r="PRR44" s="184"/>
      <c r="PRS44" s="184"/>
      <c r="PRT44" s="184"/>
      <c r="PRU44" s="184"/>
      <c r="PRV44" s="184"/>
      <c r="PRW44" s="184"/>
      <c r="PRX44" s="184"/>
      <c r="PRY44" s="184"/>
      <c r="PRZ44" s="184"/>
      <c r="PSA44" s="184"/>
      <c r="PSB44" s="184"/>
      <c r="PSC44" s="184"/>
      <c r="PSD44" s="184"/>
      <c r="PSE44" s="184"/>
      <c r="PSF44" s="184"/>
      <c r="PSG44" s="184"/>
      <c r="PSH44" s="184"/>
      <c r="PSI44" s="184"/>
      <c r="PSJ44" s="184"/>
      <c r="PSK44" s="184"/>
      <c r="PSL44" s="184"/>
      <c r="PSM44" s="184"/>
      <c r="PSN44" s="184"/>
      <c r="PSO44" s="184"/>
      <c r="PSP44" s="184"/>
      <c r="PSQ44" s="184"/>
      <c r="PSR44" s="184"/>
      <c r="PTE44" s="215"/>
      <c r="PTF44" s="202"/>
      <c r="PTG44" s="203"/>
      <c r="PTH44" s="203"/>
      <c r="PTI44" s="203"/>
      <c r="PTJ44" s="204"/>
      <c r="PTK44" s="200"/>
      <c r="PTL44" s="227"/>
      <c r="PTM44" s="184"/>
      <c r="PTN44" s="184"/>
      <c r="PTO44" s="184"/>
      <c r="PTP44" s="184"/>
      <c r="PTQ44" s="184"/>
      <c r="PTR44" s="184"/>
      <c r="PTS44" s="184"/>
      <c r="PTT44" s="184"/>
      <c r="PTU44" s="184"/>
      <c r="PTV44" s="184"/>
      <c r="PTW44" s="184"/>
      <c r="PTX44" s="184"/>
      <c r="PTY44" s="184"/>
      <c r="PTZ44" s="184"/>
      <c r="PUA44" s="184"/>
      <c r="PUB44" s="184"/>
      <c r="PUC44" s="184"/>
      <c r="PUD44" s="184"/>
      <c r="PUE44" s="184"/>
      <c r="PUF44" s="184"/>
      <c r="PUG44" s="184"/>
      <c r="PUH44" s="184"/>
      <c r="PUI44" s="184"/>
      <c r="PUJ44" s="184"/>
      <c r="PUK44" s="184"/>
      <c r="PUL44" s="184"/>
      <c r="PUM44" s="184"/>
      <c r="PUN44" s="184"/>
      <c r="PUO44" s="184"/>
      <c r="PUP44" s="184"/>
      <c r="PUQ44" s="184"/>
      <c r="PUR44" s="184"/>
      <c r="PUS44" s="184"/>
      <c r="PUT44" s="184"/>
      <c r="PUU44" s="184"/>
      <c r="PUV44" s="184"/>
      <c r="PUW44" s="184"/>
      <c r="PUX44" s="184"/>
      <c r="PUY44" s="184"/>
      <c r="PUZ44" s="184"/>
      <c r="PVA44" s="184"/>
      <c r="PVB44" s="184"/>
      <c r="PVC44" s="184"/>
      <c r="PVD44" s="184"/>
      <c r="PVE44" s="184"/>
      <c r="PVF44" s="184"/>
      <c r="PVG44" s="184"/>
      <c r="PVH44" s="184"/>
      <c r="PVI44" s="184"/>
      <c r="PVJ44" s="184"/>
      <c r="PVK44" s="184"/>
      <c r="PVL44" s="184"/>
      <c r="PVM44" s="184"/>
      <c r="PVN44" s="184"/>
      <c r="PVO44" s="184"/>
      <c r="PVP44" s="184"/>
      <c r="PVQ44" s="184"/>
      <c r="PVR44" s="184"/>
      <c r="PVS44" s="184"/>
      <c r="PVT44" s="184"/>
      <c r="PVU44" s="184"/>
      <c r="PVV44" s="184"/>
      <c r="PVW44" s="184"/>
      <c r="PVX44" s="184"/>
      <c r="PWK44" s="215"/>
      <c r="PWL44" s="202"/>
      <c r="PWM44" s="203"/>
      <c r="PWN44" s="203"/>
      <c r="PWO44" s="203"/>
      <c r="PWP44" s="204"/>
      <c r="PWQ44" s="200"/>
      <c r="PWR44" s="227"/>
      <c r="PWS44" s="184"/>
      <c r="PWT44" s="184"/>
      <c r="PWU44" s="184"/>
      <c r="PWV44" s="184"/>
      <c r="PWW44" s="184"/>
      <c r="PWX44" s="184"/>
      <c r="PWY44" s="184"/>
      <c r="PWZ44" s="184"/>
      <c r="PXA44" s="184"/>
      <c r="PXB44" s="184"/>
      <c r="PXC44" s="184"/>
      <c r="PXD44" s="184"/>
      <c r="PXE44" s="184"/>
      <c r="PXF44" s="184"/>
      <c r="PXG44" s="184"/>
      <c r="PXH44" s="184"/>
      <c r="PXI44" s="184"/>
      <c r="PXJ44" s="184"/>
      <c r="PXK44" s="184"/>
      <c r="PXL44" s="184"/>
      <c r="PXM44" s="184"/>
      <c r="PXN44" s="184"/>
      <c r="PXO44" s="184"/>
      <c r="PXP44" s="184"/>
      <c r="PXQ44" s="184"/>
      <c r="PXR44" s="184"/>
      <c r="PXS44" s="184"/>
      <c r="PXT44" s="184"/>
      <c r="PXU44" s="184"/>
      <c r="PXV44" s="184"/>
      <c r="PXW44" s="184"/>
      <c r="PXX44" s="184"/>
      <c r="PXY44" s="184"/>
      <c r="PXZ44" s="184"/>
      <c r="PYA44" s="184"/>
      <c r="PYB44" s="184"/>
      <c r="PYC44" s="184"/>
      <c r="PYD44" s="184"/>
      <c r="PYE44" s="184"/>
      <c r="PYF44" s="184"/>
      <c r="PYG44" s="184"/>
      <c r="PYH44" s="184"/>
      <c r="PYI44" s="184"/>
      <c r="PYJ44" s="184"/>
      <c r="PYK44" s="184"/>
      <c r="PYL44" s="184"/>
      <c r="PYM44" s="184"/>
      <c r="PYN44" s="184"/>
      <c r="PYO44" s="184"/>
      <c r="PYP44" s="184"/>
      <c r="PYQ44" s="184"/>
      <c r="PYR44" s="184"/>
      <c r="PYS44" s="184"/>
      <c r="PYT44" s="184"/>
      <c r="PYU44" s="184"/>
      <c r="PYV44" s="184"/>
      <c r="PYW44" s="184"/>
      <c r="PYX44" s="184"/>
      <c r="PYY44" s="184"/>
      <c r="PYZ44" s="184"/>
      <c r="PZA44" s="184"/>
      <c r="PZB44" s="184"/>
      <c r="PZC44" s="184"/>
      <c r="PZD44" s="184"/>
      <c r="PZQ44" s="215"/>
      <c r="PZR44" s="202"/>
      <c r="PZS44" s="203"/>
      <c r="PZT44" s="203"/>
      <c r="PZU44" s="203"/>
      <c r="PZV44" s="204"/>
      <c r="PZW44" s="200"/>
      <c r="PZX44" s="227"/>
      <c r="PZY44" s="184"/>
      <c r="PZZ44" s="184"/>
      <c r="QAA44" s="184"/>
      <c r="QAB44" s="184"/>
      <c r="QAC44" s="184"/>
      <c r="QAD44" s="184"/>
      <c r="QAE44" s="184"/>
      <c r="QAF44" s="184"/>
      <c r="QAG44" s="184"/>
      <c r="QAH44" s="184"/>
      <c r="QAI44" s="184"/>
      <c r="QAJ44" s="184"/>
      <c r="QAK44" s="184"/>
      <c r="QAL44" s="184"/>
      <c r="QAM44" s="184"/>
      <c r="QAN44" s="184"/>
      <c r="QAO44" s="184"/>
      <c r="QAP44" s="184"/>
      <c r="QAQ44" s="184"/>
      <c r="QAR44" s="184"/>
      <c r="QAS44" s="184"/>
      <c r="QAT44" s="184"/>
      <c r="QAU44" s="184"/>
      <c r="QAV44" s="184"/>
      <c r="QAW44" s="184"/>
      <c r="QAX44" s="184"/>
      <c r="QAY44" s="184"/>
      <c r="QAZ44" s="184"/>
      <c r="QBA44" s="184"/>
      <c r="QBB44" s="184"/>
      <c r="QBC44" s="184"/>
      <c r="QBD44" s="184"/>
      <c r="QBE44" s="184"/>
      <c r="QBF44" s="184"/>
      <c r="QBG44" s="184"/>
      <c r="QBH44" s="184"/>
      <c r="QBI44" s="184"/>
      <c r="QBJ44" s="184"/>
      <c r="QBK44" s="184"/>
      <c r="QBL44" s="184"/>
      <c r="QBM44" s="184"/>
      <c r="QBN44" s="184"/>
      <c r="QBO44" s="184"/>
      <c r="QBP44" s="184"/>
      <c r="QBQ44" s="184"/>
      <c r="QBR44" s="184"/>
      <c r="QBS44" s="184"/>
      <c r="QBT44" s="184"/>
      <c r="QBU44" s="184"/>
      <c r="QBV44" s="184"/>
      <c r="QBW44" s="184"/>
      <c r="QBX44" s="184"/>
      <c r="QBY44" s="184"/>
      <c r="QBZ44" s="184"/>
      <c r="QCA44" s="184"/>
      <c r="QCB44" s="184"/>
      <c r="QCC44" s="184"/>
      <c r="QCD44" s="184"/>
      <c r="QCE44" s="184"/>
      <c r="QCF44" s="184"/>
      <c r="QCG44" s="184"/>
      <c r="QCH44" s="184"/>
      <c r="QCI44" s="184"/>
      <c r="QCJ44" s="184"/>
      <c r="QCW44" s="215"/>
      <c r="QCX44" s="202"/>
      <c r="QCY44" s="203"/>
      <c r="QCZ44" s="203"/>
      <c r="QDA44" s="203"/>
      <c r="QDB44" s="204"/>
      <c r="QDC44" s="200"/>
      <c r="QDD44" s="227"/>
      <c r="QDE44" s="184"/>
      <c r="QDF44" s="184"/>
      <c r="QDG44" s="184"/>
      <c r="QDH44" s="184"/>
      <c r="QDI44" s="184"/>
      <c r="QDJ44" s="184"/>
      <c r="QDK44" s="184"/>
      <c r="QDL44" s="184"/>
      <c r="QDM44" s="184"/>
      <c r="QDN44" s="184"/>
      <c r="QDO44" s="184"/>
      <c r="QDP44" s="184"/>
      <c r="QDQ44" s="184"/>
      <c r="QDR44" s="184"/>
      <c r="QDS44" s="184"/>
      <c r="QDT44" s="184"/>
      <c r="QDU44" s="184"/>
      <c r="QDV44" s="184"/>
      <c r="QDW44" s="184"/>
      <c r="QDX44" s="184"/>
      <c r="QDY44" s="184"/>
      <c r="QDZ44" s="184"/>
      <c r="QEA44" s="184"/>
      <c r="QEB44" s="184"/>
      <c r="QEC44" s="184"/>
      <c r="QED44" s="184"/>
      <c r="QEE44" s="184"/>
      <c r="QEF44" s="184"/>
      <c r="QEG44" s="184"/>
      <c r="QEH44" s="184"/>
      <c r="QEI44" s="184"/>
      <c r="QEJ44" s="184"/>
      <c r="QEK44" s="184"/>
      <c r="QEL44" s="184"/>
      <c r="QEM44" s="184"/>
      <c r="QEN44" s="184"/>
      <c r="QEO44" s="184"/>
      <c r="QEP44" s="184"/>
      <c r="QEQ44" s="184"/>
      <c r="QER44" s="184"/>
      <c r="QES44" s="184"/>
      <c r="QET44" s="184"/>
      <c r="QEU44" s="184"/>
      <c r="QEV44" s="184"/>
      <c r="QEW44" s="184"/>
      <c r="QEX44" s="184"/>
      <c r="QEY44" s="184"/>
      <c r="QEZ44" s="184"/>
      <c r="QFA44" s="184"/>
      <c r="QFB44" s="184"/>
      <c r="QFC44" s="184"/>
      <c r="QFD44" s="184"/>
      <c r="QFE44" s="184"/>
      <c r="QFF44" s="184"/>
      <c r="QFG44" s="184"/>
      <c r="QFH44" s="184"/>
      <c r="QFI44" s="184"/>
      <c r="QFJ44" s="184"/>
      <c r="QFK44" s="184"/>
      <c r="QFL44" s="184"/>
      <c r="QFM44" s="184"/>
      <c r="QFN44" s="184"/>
      <c r="QFO44" s="184"/>
      <c r="QFP44" s="184"/>
      <c r="QGC44" s="215"/>
      <c r="QGD44" s="202"/>
      <c r="QGE44" s="203"/>
      <c r="QGF44" s="203"/>
      <c r="QGG44" s="203"/>
      <c r="QGH44" s="204"/>
      <c r="QGI44" s="200"/>
      <c r="QGJ44" s="227"/>
      <c r="QGK44" s="184"/>
      <c r="QGL44" s="184"/>
      <c r="QGM44" s="184"/>
      <c r="QGN44" s="184"/>
      <c r="QGO44" s="184"/>
      <c r="QGP44" s="184"/>
      <c r="QGQ44" s="184"/>
      <c r="QGR44" s="184"/>
      <c r="QGS44" s="184"/>
      <c r="QGT44" s="184"/>
      <c r="QGU44" s="184"/>
      <c r="QGV44" s="184"/>
      <c r="QGW44" s="184"/>
      <c r="QGX44" s="184"/>
      <c r="QGY44" s="184"/>
      <c r="QGZ44" s="184"/>
      <c r="QHA44" s="184"/>
      <c r="QHB44" s="184"/>
      <c r="QHC44" s="184"/>
      <c r="QHD44" s="184"/>
      <c r="QHE44" s="184"/>
      <c r="QHF44" s="184"/>
      <c r="QHG44" s="184"/>
      <c r="QHH44" s="184"/>
      <c r="QHI44" s="184"/>
      <c r="QHJ44" s="184"/>
      <c r="QHK44" s="184"/>
      <c r="QHL44" s="184"/>
      <c r="QHM44" s="184"/>
      <c r="QHN44" s="184"/>
      <c r="QHO44" s="184"/>
      <c r="QHP44" s="184"/>
      <c r="QHQ44" s="184"/>
      <c r="QHR44" s="184"/>
      <c r="QHS44" s="184"/>
      <c r="QHT44" s="184"/>
      <c r="QHU44" s="184"/>
      <c r="QHV44" s="184"/>
      <c r="QHW44" s="184"/>
      <c r="QHX44" s="184"/>
      <c r="QHY44" s="184"/>
      <c r="QHZ44" s="184"/>
      <c r="QIA44" s="184"/>
      <c r="QIB44" s="184"/>
      <c r="QIC44" s="184"/>
      <c r="QID44" s="184"/>
      <c r="QIE44" s="184"/>
      <c r="QIF44" s="184"/>
      <c r="QIG44" s="184"/>
      <c r="QIH44" s="184"/>
      <c r="QII44" s="184"/>
      <c r="QIJ44" s="184"/>
      <c r="QIK44" s="184"/>
      <c r="QIL44" s="184"/>
      <c r="QIM44" s="184"/>
      <c r="QIN44" s="184"/>
      <c r="QIO44" s="184"/>
      <c r="QIP44" s="184"/>
      <c r="QIQ44" s="184"/>
      <c r="QIR44" s="184"/>
      <c r="QIS44" s="184"/>
      <c r="QIT44" s="184"/>
      <c r="QIU44" s="184"/>
      <c r="QIV44" s="184"/>
      <c r="QJI44" s="215"/>
      <c r="QJJ44" s="202"/>
      <c r="QJK44" s="203"/>
      <c r="QJL44" s="203"/>
      <c r="QJM44" s="203"/>
      <c r="QJN44" s="204"/>
      <c r="QJO44" s="200"/>
      <c r="QJP44" s="227"/>
      <c r="QJQ44" s="184"/>
      <c r="QJR44" s="184"/>
      <c r="QJS44" s="184"/>
      <c r="QJT44" s="184"/>
      <c r="QJU44" s="184"/>
      <c r="QJV44" s="184"/>
      <c r="QJW44" s="184"/>
      <c r="QJX44" s="184"/>
      <c r="QJY44" s="184"/>
      <c r="QJZ44" s="184"/>
      <c r="QKA44" s="184"/>
      <c r="QKB44" s="184"/>
      <c r="QKC44" s="184"/>
      <c r="QKD44" s="184"/>
      <c r="QKE44" s="184"/>
      <c r="QKF44" s="184"/>
      <c r="QKG44" s="184"/>
      <c r="QKH44" s="184"/>
      <c r="QKI44" s="184"/>
      <c r="QKJ44" s="184"/>
      <c r="QKK44" s="184"/>
      <c r="QKL44" s="184"/>
      <c r="QKM44" s="184"/>
      <c r="QKN44" s="184"/>
      <c r="QKO44" s="184"/>
      <c r="QKP44" s="184"/>
      <c r="QKQ44" s="184"/>
      <c r="QKR44" s="184"/>
      <c r="QKS44" s="184"/>
      <c r="QKT44" s="184"/>
      <c r="QKU44" s="184"/>
      <c r="QKV44" s="184"/>
      <c r="QKW44" s="184"/>
      <c r="QKX44" s="184"/>
      <c r="QKY44" s="184"/>
      <c r="QKZ44" s="184"/>
      <c r="QLA44" s="184"/>
      <c r="QLB44" s="184"/>
      <c r="QLC44" s="184"/>
      <c r="QLD44" s="184"/>
      <c r="QLE44" s="184"/>
      <c r="QLF44" s="184"/>
      <c r="QLG44" s="184"/>
      <c r="QLH44" s="184"/>
      <c r="QLI44" s="184"/>
      <c r="QLJ44" s="184"/>
      <c r="QLK44" s="184"/>
      <c r="QLL44" s="184"/>
      <c r="QLM44" s="184"/>
      <c r="QLN44" s="184"/>
      <c r="QLO44" s="184"/>
      <c r="QLP44" s="184"/>
      <c r="QLQ44" s="184"/>
      <c r="QLR44" s="184"/>
      <c r="QLS44" s="184"/>
      <c r="QLT44" s="184"/>
      <c r="QLU44" s="184"/>
      <c r="QLV44" s="184"/>
      <c r="QLW44" s="184"/>
      <c r="QLX44" s="184"/>
      <c r="QLY44" s="184"/>
      <c r="QLZ44" s="184"/>
      <c r="QMA44" s="184"/>
      <c r="QMB44" s="184"/>
      <c r="QMO44" s="215"/>
      <c r="QMP44" s="202"/>
      <c r="QMQ44" s="203"/>
      <c r="QMR44" s="203"/>
      <c r="QMS44" s="203"/>
      <c r="QMT44" s="204"/>
      <c r="QMU44" s="200"/>
      <c r="QMV44" s="227"/>
      <c r="QMW44" s="184"/>
      <c r="QMX44" s="184"/>
      <c r="QMY44" s="184"/>
      <c r="QMZ44" s="184"/>
      <c r="QNA44" s="184"/>
      <c r="QNB44" s="184"/>
      <c r="QNC44" s="184"/>
      <c r="QND44" s="184"/>
      <c r="QNE44" s="184"/>
      <c r="QNF44" s="184"/>
      <c r="QNG44" s="184"/>
      <c r="QNH44" s="184"/>
      <c r="QNI44" s="184"/>
      <c r="QNJ44" s="184"/>
      <c r="QNK44" s="184"/>
      <c r="QNL44" s="184"/>
      <c r="QNM44" s="184"/>
      <c r="QNN44" s="184"/>
      <c r="QNO44" s="184"/>
      <c r="QNP44" s="184"/>
      <c r="QNQ44" s="184"/>
      <c r="QNR44" s="184"/>
      <c r="QNS44" s="184"/>
      <c r="QNT44" s="184"/>
      <c r="QNU44" s="184"/>
      <c r="QNV44" s="184"/>
      <c r="QNW44" s="184"/>
      <c r="QNX44" s="184"/>
      <c r="QNY44" s="184"/>
      <c r="QNZ44" s="184"/>
      <c r="QOA44" s="184"/>
      <c r="QOB44" s="184"/>
      <c r="QOC44" s="184"/>
      <c r="QOD44" s="184"/>
      <c r="QOE44" s="184"/>
      <c r="QOF44" s="184"/>
      <c r="QOG44" s="184"/>
      <c r="QOH44" s="184"/>
      <c r="QOI44" s="184"/>
      <c r="QOJ44" s="184"/>
      <c r="QOK44" s="184"/>
      <c r="QOL44" s="184"/>
      <c r="QOM44" s="184"/>
      <c r="QON44" s="184"/>
      <c r="QOO44" s="184"/>
      <c r="QOP44" s="184"/>
      <c r="QOQ44" s="184"/>
      <c r="QOR44" s="184"/>
      <c r="QOS44" s="184"/>
      <c r="QOT44" s="184"/>
      <c r="QOU44" s="184"/>
      <c r="QOV44" s="184"/>
      <c r="QOW44" s="184"/>
      <c r="QOX44" s="184"/>
      <c r="QOY44" s="184"/>
      <c r="QOZ44" s="184"/>
      <c r="QPA44" s="184"/>
      <c r="QPB44" s="184"/>
      <c r="QPC44" s="184"/>
      <c r="QPD44" s="184"/>
      <c r="QPE44" s="184"/>
      <c r="QPF44" s="184"/>
      <c r="QPG44" s="184"/>
      <c r="QPH44" s="184"/>
      <c r="QPU44" s="215"/>
      <c r="QPV44" s="202"/>
      <c r="QPW44" s="203"/>
      <c r="QPX44" s="203"/>
      <c r="QPY44" s="203"/>
      <c r="QPZ44" s="204"/>
      <c r="QQA44" s="200"/>
      <c r="QQB44" s="227"/>
      <c r="QQC44" s="184"/>
      <c r="QQD44" s="184"/>
      <c r="QQE44" s="184"/>
      <c r="QQF44" s="184"/>
      <c r="QQG44" s="184"/>
      <c r="QQH44" s="184"/>
      <c r="QQI44" s="184"/>
      <c r="QQJ44" s="184"/>
      <c r="QQK44" s="184"/>
      <c r="QQL44" s="184"/>
      <c r="QQM44" s="184"/>
      <c r="QQN44" s="184"/>
      <c r="QQO44" s="184"/>
      <c r="QQP44" s="184"/>
      <c r="QQQ44" s="184"/>
      <c r="QQR44" s="184"/>
      <c r="QQS44" s="184"/>
      <c r="QQT44" s="184"/>
      <c r="QQU44" s="184"/>
      <c r="QQV44" s="184"/>
      <c r="QQW44" s="184"/>
      <c r="QQX44" s="184"/>
      <c r="QQY44" s="184"/>
      <c r="QQZ44" s="184"/>
      <c r="QRA44" s="184"/>
      <c r="QRB44" s="184"/>
      <c r="QRC44" s="184"/>
      <c r="QRD44" s="184"/>
      <c r="QRE44" s="184"/>
      <c r="QRF44" s="184"/>
      <c r="QRG44" s="184"/>
      <c r="QRH44" s="184"/>
      <c r="QRI44" s="184"/>
      <c r="QRJ44" s="184"/>
      <c r="QRK44" s="184"/>
      <c r="QRL44" s="184"/>
      <c r="QRM44" s="184"/>
      <c r="QRN44" s="184"/>
      <c r="QRO44" s="184"/>
      <c r="QRP44" s="184"/>
      <c r="QRQ44" s="184"/>
      <c r="QRR44" s="184"/>
      <c r="QRS44" s="184"/>
      <c r="QRT44" s="184"/>
      <c r="QRU44" s="184"/>
      <c r="QRV44" s="184"/>
      <c r="QRW44" s="184"/>
      <c r="QRX44" s="184"/>
      <c r="QRY44" s="184"/>
      <c r="QRZ44" s="184"/>
      <c r="QSA44" s="184"/>
      <c r="QSB44" s="184"/>
      <c r="QSC44" s="184"/>
      <c r="QSD44" s="184"/>
      <c r="QSE44" s="184"/>
      <c r="QSF44" s="184"/>
      <c r="QSG44" s="184"/>
      <c r="QSH44" s="184"/>
      <c r="QSI44" s="184"/>
      <c r="QSJ44" s="184"/>
      <c r="QSK44" s="184"/>
      <c r="QSL44" s="184"/>
      <c r="QSM44" s="184"/>
      <c r="QSN44" s="184"/>
      <c r="QTA44" s="215"/>
      <c r="QTB44" s="202"/>
      <c r="QTC44" s="203"/>
      <c r="QTD44" s="203"/>
      <c r="QTE44" s="203"/>
      <c r="QTF44" s="204"/>
      <c r="QTG44" s="200"/>
      <c r="QTH44" s="227"/>
      <c r="QTI44" s="184"/>
      <c r="QTJ44" s="184"/>
      <c r="QTK44" s="184"/>
      <c r="QTL44" s="184"/>
      <c r="QTM44" s="184"/>
      <c r="QTN44" s="184"/>
      <c r="QTO44" s="184"/>
      <c r="QTP44" s="184"/>
      <c r="QTQ44" s="184"/>
      <c r="QTR44" s="184"/>
      <c r="QTS44" s="184"/>
      <c r="QTT44" s="184"/>
      <c r="QTU44" s="184"/>
      <c r="QTV44" s="184"/>
      <c r="QTW44" s="184"/>
      <c r="QTX44" s="184"/>
      <c r="QTY44" s="184"/>
      <c r="QTZ44" s="184"/>
      <c r="QUA44" s="184"/>
      <c r="QUB44" s="184"/>
      <c r="QUC44" s="184"/>
      <c r="QUD44" s="184"/>
      <c r="QUE44" s="184"/>
      <c r="QUF44" s="184"/>
      <c r="QUG44" s="184"/>
      <c r="QUH44" s="184"/>
      <c r="QUI44" s="184"/>
      <c r="QUJ44" s="184"/>
      <c r="QUK44" s="184"/>
      <c r="QUL44" s="184"/>
      <c r="QUM44" s="184"/>
      <c r="QUN44" s="184"/>
      <c r="QUO44" s="184"/>
      <c r="QUP44" s="184"/>
      <c r="QUQ44" s="184"/>
      <c r="QUR44" s="184"/>
      <c r="QUS44" s="184"/>
      <c r="QUT44" s="184"/>
      <c r="QUU44" s="184"/>
      <c r="QUV44" s="184"/>
      <c r="QUW44" s="184"/>
      <c r="QUX44" s="184"/>
      <c r="QUY44" s="184"/>
      <c r="QUZ44" s="184"/>
      <c r="QVA44" s="184"/>
      <c r="QVB44" s="184"/>
      <c r="QVC44" s="184"/>
      <c r="QVD44" s="184"/>
      <c r="QVE44" s="184"/>
      <c r="QVF44" s="184"/>
      <c r="QVG44" s="184"/>
      <c r="QVH44" s="184"/>
      <c r="QVI44" s="184"/>
      <c r="QVJ44" s="184"/>
      <c r="QVK44" s="184"/>
      <c r="QVL44" s="184"/>
      <c r="QVM44" s="184"/>
      <c r="QVN44" s="184"/>
      <c r="QVO44" s="184"/>
      <c r="QVP44" s="184"/>
      <c r="QVQ44" s="184"/>
      <c r="QVR44" s="184"/>
      <c r="QVS44" s="184"/>
      <c r="QVT44" s="184"/>
      <c r="QWG44" s="215"/>
      <c r="QWH44" s="202"/>
      <c r="QWI44" s="203"/>
      <c r="QWJ44" s="203"/>
      <c r="QWK44" s="203"/>
      <c r="QWL44" s="204"/>
      <c r="QWM44" s="200"/>
      <c r="QWN44" s="227"/>
      <c r="QWO44" s="184"/>
      <c r="QWP44" s="184"/>
      <c r="QWQ44" s="184"/>
      <c r="QWR44" s="184"/>
      <c r="QWS44" s="184"/>
      <c r="QWT44" s="184"/>
      <c r="QWU44" s="184"/>
      <c r="QWV44" s="184"/>
      <c r="QWW44" s="184"/>
      <c r="QWX44" s="184"/>
      <c r="QWY44" s="184"/>
      <c r="QWZ44" s="184"/>
      <c r="QXA44" s="184"/>
      <c r="QXB44" s="184"/>
      <c r="QXC44" s="184"/>
      <c r="QXD44" s="184"/>
      <c r="QXE44" s="184"/>
      <c r="QXF44" s="184"/>
      <c r="QXG44" s="184"/>
      <c r="QXH44" s="184"/>
      <c r="QXI44" s="184"/>
      <c r="QXJ44" s="184"/>
      <c r="QXK44" s="184"/>
      <c r="QXL44" s="184"/>
      <c r="QXM44" s="184"/>
      <c r="QXN44" s="184"/>
      <c r="QXO44" s="184"/>
      <c r="QXP44" s="184"/>
      <c r="QXQ44" s="184"/>
      <c r="QXR44" s="184"/>
      <c r="QXS44" s="184"/>
      <c r="QXT44" s="184"/>
      <c r="QXU44" s="184"/>
      <c r="QXV44" s="184"/>
      <c r="QXW44" s="184"/>
      <c r="QXX44" s="184"/>
      <c r="QXY44" s="184"/>
      <c r="QXZ44" s="184"/>
      <c r="QYA44" s="184"/>
      <c r="QYB44" s="184"/>
      <c r="QYC44" s="184"/>
      <c r="QYD44" s="184"/>
      <c r="QYE44" s="184"/>
      <c r="QYF44" s="184"/>
      <c r="QYG44" s="184"/>
      <c r="QYH44" s="184"/>
      <c r="QYI44" s="184"/>
      <c r="QYJ44" s="184"/>
      <c r="QYK44" s="184"/>
      <c r="QYL44" s="184"/>
      <c r="QYM44" s="184"/>
      <c r="QYN44" s="184"/>
      <c r="QYO44" s="184"/>
      <c r="QYP44" s="184"/>
      <c r="QYQ44" s="184"/>
      <c r="QYR44" s="184"/>
      <c r="QYS44" s="184"/>
      <c r="QYT44" s="184"/>
      <c r="QYU44" s="184"/>
      <c r="QYV44" s="184"/>
      <c r="QYW44" s="184"/>
      <c r="QYX44" s="184"/>
      <c r="QYY44" s="184"/>
      <c r="QYZ44" s="184"/>
      <c r="QZM44" s="215"/>
      <c r="QZN44" s="202"/>
      <c r="QZO44" s="203"/>
      <c r="QZP44" s="203"/>
      <c r="QZQ44" s="203"/>
      <c r="QZR44" s="204"/>
      <c r="QZS44" s="200"/>
      <c r="QZT44" s="227"/>
      <c r="QZU44" s="184"/>
      <c r="QZV44" s="184"/>
      <c r="QZW44" s="184"/>
      <c r="QZX44" s="184"/>
      <c r="QZY44" s="184"/>
      <c r="QZZ44" s="184"/>
      <c r="RAA44" s="184"/>
      <c r="RAB44" s="184"/>
      <c r="RAC44" s="184"/>
      <c r="RAD44" s="184"/>
      <c r="RAE44" s="184"/>
      <c r="RAF44" s="184"/>
      <c r="RAG44" s="184"/>
      <c r="RAH44" s="184"/>
      <c r="RAI44" s="184"/>
      <c r="RAJ44" s="184"/>
      <c r="RAK44" s="184"/>
      <c r="RAL44" s="184"/>
      <c r="RAM44" s="184"/>
      <c r="RAN44" s="184"/>
      <c r="RAO44" s="184"/>
      <c r="RAP44" s="184"/>
      <c r="RAQ44" s="184"/>
      <c r="RAR44" s="184"/>
      <c r="RAS44" s="184"/>
      <c r="RAT44" s="184"/>
      <c r="RAU44" s="184"/>
      <c r="RAV44" s="184"/>
      <c r="RAW44" s="184"/>
      <c r="RAX44" s="184"/>
      <c r="RAY44" s="184"/>
      <c r="RAZ44" s="184"/>
      <c r="RBA44" s="184"/>
      <c r="RBB44" s="184"/>
      <c r="RBC44" s="184"/>
      <c r="RBD44" s="184"/>
      <c r="RBE44" s="184"/>
      <c r="RBF44" s="184"/>
      <c r="RBG44" s="184"/>
      <c r="RBH44" s="184"/>
      <c r="RBI44" s="184"/>
      <c r="RBJ44" s="184"/>
      <c r="RBK44" s="184"/>
      <c r="RBL44" s="184"/>
      <c r="RBM44" s="184"/>
      <c r="RBN44" s="184"/>
      <c r="RBO44" s="184"/>
      <c r="RBP44" s="184"/>
      <c r="RBQ44" s="184"/>
      <c r="RBR44" s="184"/>
      <c r="RBS44" s="184"/>
      <c r="RBT44" s="184"/>
      <c r="RBU44" s="184"/>
      <c r="RBV44" s="184"/>
      <c r="RBW44" s="184"/>
      <c r="RBX44" s="184"/>
      <c r="RBY44" s="184"/>
      <c r="RBZ44" s="184"/>
      <c r="RCA44" s="184"/>
      <c r="RCB44" s="184"/>
      <c r="RCC44" s="184"/>
      <c r="RCD44" s="184"/>
      <c r="RCE44" s="184"/>
      <c r="RCF44" s="184"/>
      <c r="RCS44" s="215"/>
      <c r="RCT44" s="202"/>
      <c r="RCU44" s="203"/>
      <c r="RCV44" s="203"/>
      <c r="RCW44" s="203"/>
      <c r="RCX44" s="204"/>
      <c r="RCY44" s="200"/>
      <c r="RCZ44" s="227"/>
      <c r="RDA44" s="184"/>
      <c r="RDB44" s="184"/>
      <c r="RDC44" s="184"/>
      <c r="RDD44" s="184"/>
      <c r="RDE44" s="184"/>
      <c r="RDF44" s="184"/>
      <c r="RDG44" s="184"/>
      <c r="RDH44" s="184"/>
      <c r="RDI44" s="184"/>
      <c r="RDJ44" s="184"/>
      <c r="RDK44" s="184"/>
      <c r="RDL44" s="184"/>
      <c r="RDM44" s="184"/>
      <c r="RDN44" s="184"/>
      <c r="RDO44" s="184"/>
      <c r="RDP44" s="184"/>
      <c r="RDQ44" s="184"/>
      <c r="RDR44" s="184"/>
      <c r="RDS44" s="184"/>
      <c r="RDT44" s="184"/>
      <c r="RDU44" s="184"/>
      <c r="RDV44" s="184"/>
      <c r="RDW44" s="184"/>
      <c r="RDX44" s="184"/>
      <c r="RDY44" s="184"/>
      <c r="RDZ44" s="184"/>
      <c r="REA44" s="184"/>
      <c r="REB44" s="184"/>
      <c r="REC44" s="184"/>
      <c r="RED44" s="184"/>
      <c r="REE44" s="184"/>
      <c r="REF44" s="184"/>
      <c r="REG44" s="184"/>
      <c r="REH44" s="184"/>
      <c r="REI44" s="184"/>
      <c r="REJ44" s="184"/>
      <c r="REK44" s="184"/>
      <c r="REL44" s="184"/>
      <c r="REM44" s="184"/>
      <c r="REN44" s="184"/>
      <c r="REO44" s="184"/>
      <c r="REP44" s="184"/>
      <c r="REQ44" s="184"/>
      <c r="RER44" s="184"/>
      <c r="RES44" s="184"/>
      <c r="RET44" s="184"/>
      <c r="REU44" s="184"/>
      <c r="REV44" s="184"/>
      <c r="REW44" s="184"/>
      <c r="REX44" s="184"/>
      <c r="REY44" s="184"/>
      <c r="REZ44" s="184"/>
      <c r="RFA44" s="184"/>
      <c r="RFB44" s="184"/>
      <c r="RFC44" s="184"/>
      <c r="RFD44" s="184"/>
      <c r="RFE44" s="184"/>
      <c r="RFF44" s="184"/>
      <c r="RFG44" s="184"/>
      <c r="RFH44" s="184"/>
      <c r="RFI44" s="184"/>
      <c r="RFJ44" s="184"/>
      <c r="RFK44" s="184"/>
      <c r="RFL44" s="184"/>
      <c r="RFY44" s="215"/>
      <c r="RFZ44" s="202"/>
      <c r="RGA44" s="203"/>
      <c r="RGB44" s="203"/>
      <c r="RGC44" s="203"/>
      <c r="RGD44" s="204"/>
      <c r="RGE44" s="200"/>
      <c r="RGF44" s="227"/>
      <c r="RGG44" s="184"/>
      <c r="RGH44" s="184"/>
      <c r="RGI44" s="184"/>
      <c r="RGJ44" s="184"/>
      <c r="RGK44" s="184"/>
      <c r="RGL44" s="184"/>
      <c r="RGM44" s="184"/>
      <c r="RGN44" s="184"/>
      <c r="RGO44" s="184"/>
      <c r="RGP44" s="184"/>
      <c r="RGQ44" s="184"/>
      <c r="RGR44" s="184"/>
      <c r="RGS44" s="184"/>
      <c r="RGT44" s="184"/>
      <c r="RGU44" s="184"/>
      <c r="RGV44" s="184"/>
      <c r="RGW44" s="184"/>
      <c r="RGX44" s="184"/>
      <c r="RGY44" s="184"/>
      <c r="RGZ44" s="184"/>
      <c r="RHA44" s="184"/>
      <c r="RHB44" s="184"/>
      <c r="RHC44" s="184"/>
      <c r="RHD44" s="184"/>
      <c r="RHE44" s="184"/>
      <c r="RHF44" s="184"/>
      <c r="RHG44" s="184"/>
      <c r="RHH44" s="184"/>
      <c r="RHI44" s="184"/>
      <c r="RHJ44" s="184"/>
      <c r="RHK44" s="184"/>
      <c r="RHL44" s="184"/>
      <c r="RHM44" s="184"/>
      <c r="RHN44" s="184"/>
      <c r="RHO44" s="184"/>
      <c r="RHP44" s="184"/>
      <c r="RHQ44" s="184"/>
      <c r="RHR44" s="184"/>
      <c r="RHS44" s="184"/>
      <c r="RHT44" s="184"/>
      <c r="RHU44" s="184"/>
      <c r="RHV44" s="184"/>
      <c r="RHW44" s="184"/>
      <c r="RHX44" s="184"/>
      <c r="RHY44" s="184"/>
      <c r="RHZ44" s="184"/>
      <c r="RIA44" s="184"/>
      <c r="RIB44" s="184"/>
      <c r="RIC44" s="184"/>
      <c r="RID44" s="184"/>
      <c r="RIE44" s="184"/>
      <c r="RIF44" s="184"/>
      <c r="RIG44" s="184"/>
      <c r="RIH44" s="184"/>
      <c r="RII44" s="184"/>
      <c r="RIJ44" s="184"/>
      <c r="RIK44" s="184"/>
      <c r="RIL44" s="184"/>
      <c r="RIM44" s="184"/>
      <c r="RIN44" s="184"/>
      <c r="RIO44" s="184"/>
      <c r="RIP44" s="184"/>
      <c r="RIQ44" s="184"/>
      <c r="RIR44" s="184"/>
      <c r="RJE44" s="215"/>
      <c r="RJF44" s="202"/>
      <c r="RJG44" s="203"/>
      <c r="RJH44" s="203"/>
      <c r="RJI44" s="203"/>
      <c r="RJJ44" s="204"/>
      <c r="RJK44" s="200"/>
      <c r="RJL44" s="227"/>
      <c r="RJM44" s="184"/>
      <c r="RJN44" s="184"/>
      <c r="RJO44" s="184"/>
      <c r="RJP44" s="184"/>
      <c r="RJQ44" s="184"/>
      <c r="RJR44" s="184"/>
      <c r="RJS44" s="184"/>
      <c r="RJT44" s="184"/>
      <c r="RJU44" s="184"/>
      <c r="RJV44" s="184"/>
      <c r="RJW44" s="184"/>
      <c r="RJX44" s="184"/>
      <c r="RJY44" s="184"/>
      <c r="RJZ44" s="184"/>
      <c r="RKA44" s="184"/>
      <c r="RKB44" s="184"/>
      <c r="RKC44" s="184"/>
      <c r="RKD44" s="184"/>
      <c r="RKE44" s="184"/>
      <c r="RKF44" s="184"/>
      <c r="RKG44" s="184"/>
      <c r="RKH44" s="184"/>
      <c r="RKI44" s="184"/>
      <c r="RKJ44" s="184"/>
      <c r="RKK44" s="184"/>
      <c r="RKL44" s="184"/>
      <c r="RKM44" s="184"/>
      <c r="RKN44" s="184"/>
      <c r="RKO44" s="184"/>
      <c r="RKP44" s="184"/>
      <c r="RKQ44" s="184"/>
      <c r="RKR44" s="184"/>
      <c r="RKS44" s="184"/>
      <c r="RKT44" s="184"/>
      <c r="RKU44" s="184"/>
      <c r="RKV44" s="184"/>
      <c r="RKW44" s="184"/>
      <c r="RKX44" s="184"/>
      <c r="RKY44" s="184"/>
      <c r="RKZ44" s="184"/>
      <c r="RLA44" s="184"/>
      <c r="RLB44" s="184"/>
      <c r="RLC44" s="184"/>
      <c r="RLD44" s="184"/>
      <c r="RLE44" s="184"/>
      <c r="RLF44" s="184"/>
      <c r="RLG44" s="184"/>
      <c r="RLH44" s="184"/>
      <c r="RLI44" s="184"/>
      <c r="RLJ44" s="184"/>
      <c r="RLK44" s="184"/>
      <c r="RLL44" s="184"/>
      <c r="RLM44" s="184"/>
      <c r="RLN44" s="184"/>
      <c r="RLO44" s="184"/>
      <c r="RLP44" s="184"/>
      <c r="RLQ44" s="184"/>
      <c r="RLR44" s="184"/>
      <c r="RLS44" s="184"/>
      <c r="RLT44" s="184"/>
      <c r="RLU44" s="184"/>
      <c r="RLV44" s="184"/>
      <c r="RLW44" s="184"/>
      <c r="RLX44" s="184"/>
      <c r="RMK44" s="215"/>
      <c r="RML44" s="202"/>
      <c r="RMM44" s="203"/>
      <c r="RMN44" s="203"/>
      <c r="RMO44" s="203"/>
      <c r="RMP44" s="204"/>
      <c r="RMQ44" s="200"/>
      <c r="RMR44" s="227"/>
      <c r="RMS44" s="184"/>
      <c r="RMT44" s="184"/>
      <c r="RMU44" s="184"/>
      <c r="RMV44" s="184"/>
      <c r="RMW44" s="184"/>
      <c r="RMX44" s="184"/>
      <c r="RMY44" s="184"/>
      <c r="RMZ44" s="184"/>
      <c r="RNA44" s="184"/>
      <c r="RNB44" s="184"/>
      <c r="RNC44" s="184"/>
      <c r="RND44" s="184"/>
      <c r="RNE44" s="184"/>
      <c r="RNF44" s="184"/>
      <c r="RNG44" s="184"/>
      <c r="RNH44" s="184"/>
      <c r="RNI44" s="184"/>
      <c r="RNJ44" s="184"/>
      <c r="RNK44" s="184"/>
      <c r="RNL44" s="184"/>
      <c r="RNM44" s="184"/>
      <c r="RNN44" s="184"/>
      <c r="RNO44" s="184"/>
      <c r="RNP44" s="184"/>
      <c r="RNQ44" s="184"/>
      <c r="RNR44" s="184"/>
      <c r="RNS44" s="184"/>
      <c r="RNT44" s="184"/>
      <c r="RNU44" s="184"/>
      <c r="RNV44" s="184"/>
      <c r="RNW44" s="184"/>
      <c r="RNX44" s="184"/>
      <c r="RNY44" s="184"/>
      <c r="RNZ44" s="184"/>
      <c r="ROA44" s="184"/>
      <c r="ROB44" s="184"/>
      <c r="ROC44" s="184"/>
      <c r="ROD44" s="184"/>
      <c r="ROE44" s="184"/>
      <c r="ROF44" s="184"/>
      <c r="ROG44" s="184"/>
      <c r="ROH44" s="184"/>
      <c r="ROI44" s="184"/>
      <c r="ROJ44" s="184"/>
      <c r="ROK44" s="184"/>
      <c r="ROL44" s="184"/>
      <c r="ROM44" s="184"/>
      <c r="RON44" s="184"/>
      <c r="ROO44" s="184"/>
      <c r="ROP44" s="184"/>
      <c r="ROQ44" s="184"/>
      <c r="ROR44" s="184"/>
      <c r="ROS44" s="184"/>
      <c r="ROT44" s="184"/>
      <c r="ROU44" s="184"/>
      <c r="ROV44" s="184"/>
      <c r="ROW44" s="184"/>
      <c r="ROX44" s="184"/>
      <c r="ROY44" s="184"/>
      <c r="ROZ44" s="184"/>
      <c r="RPA44" s="184"/>
      <c r="RPB44" s="184"/>
      <c r="RPC44" s="184"/>
      <c r="RPD44" s="184"/>
      <c r="RPQ44" s="215"/>
      <c r="RPR44" s="202"/>
      <c r="RPS44" s="203"/>
      <c r="RPT44" s="203"/>
      <c r="RPU44" s="203"/>
      <c r="RPV44" s="204"/>
      <c r="RPW44" s="200"/>
      <c r="RPX44" s="227"/>
      <c r="RPY44" s="184"/>
      <c r="RPZ44" s="184"/>
      <c r="RQA44" s="184"/>
      <c r="RQB44" s="184"/>
      <c r="RQC44" s="184"/>
      <c r="RQD44" s="184"/>
      <c r="RQE44" s="184"/>
      <c r="RQF44" s="184"/>
      <c r="RQG44" s="184"/>
      <c r="RQH44" s="184"/>
      <c r="RQI44" s="184"/>
      <c r="RQJ44" s="184"/>
      <c r="RQK44" s="184"/>
      <c r="RQL44" s="184"/>
      <c r="RQM44" s="184"/>
      <c r="RQN44" s="184"/>
      <c r="RQO44" s="184"/>
      <c r="RQP44" s="184"/>
      <c r="RQQ44" s="184"/>
      <c r="RQR44" s="184"/>
      <c r="RQS44" s="184"/>
      <c r="RQT44" s="184"/>
      <c r="RQU44" s="184"/>
      <c r="RQV44" s="184"/>
      <c r="RQW44" s="184"/>
      <c r="RQX44" s="184"/>
      <c r="RQY44" s="184"/>
      <c r="RQZ44" s="184"/>
      <c r="RRA44" s="184"/>
      <c r="RRB44" s="184"/>
      <c r="RRC44" s="184"/>
      <c r="RRD44" s="184"/>
      <c r="RRE44" s="184"/>
      <c r="RRF44" s="184"/>
      <c r="RRG44" s="184"/>
      <c r="RRH44" s="184"/>
      <c r="RRI44" s="184"/>
      <c r="RRJ44" s="184"/>
      <c r="RRK44" s="184"/>
      <c r="RRL44" s="184"/>
      <c r="RRM44" s="184"/>
      <c r="RRN44" s="184"/>
      <c r="RRO44" s="184"/>
      <c r="RRP44" s="184"/>
      <c r="RRQ44" s="184"/>
      <c r="RRR44" s="184"/>
      <c r="RRS44" s="184"/>
      <c r="RRT44" s="184"/>
      <c r="RRU44" s="184"/>
      <c r="RRV44" s="184"/>
      <c r="RRW44" s="184"/>
      <c r="RRX44" s="184"/>
      <c r="RRY44" s="184"/>
      <c r="RRZ44" s="184"/>
      <c r="RSA44" s="184"/>
      <c r="RSB44" s="184"/>
      <c r="RSC44" s="184"/>
      <c r="RSD44" s="184"/>
      <c r="RSE44" s="184"/>
      <c r="RSF44" s="184"/>
      <c r="RSG44" s="184"/>
      <c r="RSH44" s="184"/>
      <c r="RSI44" s="184"/>
      <c r="RSJ44" s="184"/>
      <c r="RSW44" s="215"/>
      <c r="RSX44" s="202"/>
      <c r="RSY44" s="203"/>
      <c r="RSZ44" s="203"/>
      <c r="RTA44" s="203"/>
      <c r="RTB44" s="204"/>
      <c r="RTC44" s="200"/>
      <c r="RTD44" s="227"/>
      <c r="RTE44" s="184"/>
      <c r="RTF44" s="184"/>
      <c r="RTG44" s="184"/>
      <c r="RTH44" s="184"/>
      <c r="RTI44" s="184"/>
      <c r="RTJ44" s="184"/>
      <c r="RTK44" s="184"/>
      <c r="RTL44" s="184"/>
      <c r="RTM44" s="184"/>
      <c r="RTN44" s="184"/>
      <c r="RTO44" s="184"/>
      <c r="RTP44" s="184"/>
      <c r="RTQ44" s="184"/>
      <c r="RTR44" s="184"/>
      <c r="RTS44" s="184"/>
      <c r="RTT44" s="184"/>
      <c r="RTU44" s="184"/>
      <c r="RTV44" s="184"/>
      <c r="RTW44" s="184"/>
      <c r="RTX44" s="184"/>
      <c r="RTY44" s="184"/>
      <c r="RTZ44" s="184"/>
      <c r="RUA44" s="184"/>
      <c r="RUB44" s="184"/>
      <c r="RUC44" s="184"/>
      <c r="RUD44" s="184"/>
      <c r="RUE44" s="184"/>
      <c r="RUF44" s="184"/>
      <c r="RUG44" s="184"/>
      <c r="RUH44" s="184"/>
      <c r="RUI44" s="184"/>
      <c r="RUJ44" s="184"/>
      <c r="RUK44" s="184"/>
      <c r="RUL44" s="184"/>
      <c r="RUM44" s="184"/>
      <c r="RUN44" s="184"/>
      <c r="RUO44" s="184"/>
      <c r="RUP44" s="184"/>
      <c r="RUQ44" s="184"/>
      <c r="RUR44" s="184"/>
      <c r="RUS44" s="184"/>
      <c r="RUT44" s="184"/>
      <c r="RUU44" s="184"/>
      <c r="RUV44" s="184"/>
      <c r="RUW44" s="184"/>
      <c r="RUX44" s="184"/>
      <c r="RUY44" s="184"/>
      <c r="RUZ44" s="184"/>
      <c r="RVA44" s="184"/>
      <c r="RVB44" s="184"/>
      <c r="RVC44" s="184"/>
      <c r="RVD44" s="184"/>
      <c r="RVE44" s="184"/>
      <c r="RVF44" s="184"/>
      <c r="RVG44" s="184"/>
      <c r="RVH44" s="184"/>
      <c r="RVI44" s="184"/>
      <c r="RVJ44" s="184"/>
      <c r="RVK44" s="184"/>
      <c r="RVL44" s="184"/>
      <c r="RVM44" s="184"/>
      <c r="RVN44" s="184"/>
      <c r="RVO44" s="184"/>
      <c r="RVP44" s="184"/>
      <c r="RWC44" s="215"/>
      <c r="RWD44" s="202"/>
      <c r="RWE44" s="203"/>
      <c r="RWF44" s="203"/>
      <c r="RWG44" s="203"/>
      <c r="RWH44" s="204"/>
      <c r="RWI44" s="200"/>
      <c r="RWJ44" s="227"/>
      <c r="RWK44" s="184"/>
      <c r="RWL44" s="184"/>
      <c r="RWM44" s="184"/>
      <c r="RWN44" s="184"/>
      <c r="RWO44" s="184"/>
      <c r="RWP44" s="184"/>
      <c r="RWQ44" s="184"/>
      <c r="RWR44" s="184"/>
      <c r="RWS44" s="184"/>
      <c r="RWT44" s="184"/>
      <c r="RWU44" s="184"/>
      <c r="RWV44" s="184"/>
      <c r="RWW44" s="184"/>
      <c r="RWX44" s="184"/>
      <c r="RWY44" s="184"/>
      <c r="RWZ44" s="184"/>
      <c r="RXA44" s="184"/>
      <c r="RXB44" s="184"/>
      <c r="RXC44" s="184"/>
      <c r="RXD44" s="184"/>
      <c r="RXE44" s="184"/>
      <c r="RXF44" s="184"/>
      <c r="RXG44" s="184"/>
      <c r="RXH44" s="184"/>
      <c r="RXI44" s="184"/>
      <c r="RXJ44" s="184"/>
      <c r="RXK44" s="184"/>
      <c r="RXL44" s="184"/>
      <c r="RXM44" s="184"/>
      <c r="RXN44" s="184"/>
      <c r="RXO44" s="184"/>
      <c r="RXP44" s="184"/>
      <c r="RXQ44" s="184"/>
      <c r="RXR44" s="184"/>
      <c r="RXS44" s="184"/>
      <c r="RXT44" s="184"/>
      <c r="RXU44" s="184"/>
      <c r="RXV44" s="184"/>
      <c r="RXW44" s="184"/>
      <c r="RXX44" s="184"/>
      <c r="RXY44" s="184"/>
      <c r="RXZ44" s="184"/>
      <c r="RYA44" s="184"/>
      <c r="RYB44" s="184"/>
      <c r="RYC44" s="184"/>
      <c r="RYD44" s="184"/>
      <c r="RYE44" s="184"/>
      <c r="RYF44" s="184"/>
      <c r="RYG44" s="184"/>
      <c r="RYH44" s="184"/>
      <c r="RYI44" s="184"/>
      <c r="RYJ44" s="184"/>
      <c r="RYK44" s="184"/>
      <c r="RYL44" s="184"/>
      <c r="RYM44" s="184"/>
      <c r="RYN44" s="184"/>
      <c r="RYO44" s="184"/>
      <c r="RYP44" s="184"/>
      <c r="RYQ44" s="184"/>
      <c r="RYR44" s="184"/>
      <c r="RYS44" s="184"/>
      <c r="RYT44" s="184"/>
      <c r="RYU44" s="184"/>
      <c r="RYV44" s="184"/>
      <c r="RZI44" s="215"/>
      <c r="RZJ44" s="202"/>
      <c r="RZK44" s="203"/>
      <c r="RZL44" s="203"/>
      <c r="RZM44" s="203"/>
      <c r="RZN44" s="204"/>
      <c r="RZO44" s="200"/>
      <c r="RZP44" s="227"/>
      <c r="RZQ44" s="184"/>
      <c r="RZR44" s="184"/>
      <c r="RZS44" s="184"/>
      <c r="RZT44" s="184"/>
      <c r="RZU44" s="184"/>
      <c r="RZV44" s="184"/>
      <c r="RZW44" s="184"/>
      <c r="RZX44" s="184"/>
      <c r="RZY44" s="184"/>
      <c r="RZZ44" s="184"/>
      <c r="SAA44" s="184"/>
      <c r="SAB44" s="184"/>
      <c r="SAC44" s="184"/>
      <c r="SAD44" s="184"/>
      <c r="SAE44" s="184"/>
      <c r="SAF44" s="184"/>
      <c r="SAG44" s="184"/>
      <c r="SAH44" s="184"/>
      <c r="SAI44" s="184"/>
      <c r="SAJ44" s="184"/>
      <c r="SAK44" s="184"/>
      <c r="SAL44" s="184"/>
      <c r="SAM44" s="184"/>
      <c r="SAN44" s="184"/>
      <c r="SAO44" s="184"/>
      <c r="SAP44" s="184"/>
      <c r="SAQ44" s="184"/>
      <c r="SAR44" s="184"/>
      <c r="SAS44" s="184"/>
      <c r="SAT44" s="184"/>
      <c r="SAU44" s="184"/>
      <c r="SAV44" s="184"/>
      <c r="SAW44" s="184"/>
      <c r="SAX44" s="184"/>
      <c r="SAY44" s="184"/>
      <c r="SAZ44" s="184"/>
      <c r="SBA44" s="184"/>
      <c r="SBB44" s="184"/>
      <c r="SBC44" s="184"/>
      <c r="SBD44" s="184"/>
      <c r="SBE44" s="184"/>
      <c r="SBF44" s="184"/>
      <c r="SBG44" s="184"/>
      <c r="SBH44" s="184"/>
      <c r="SBI44" s="184"/>
      <c r="SBJ44" s="184"/>
      <c r="SBK44" s="184"/>
      <c r="SBL44" s="184"/>
      <c r="SBM44" s="184"/>
      <c r="SBN44" s="184"/>
      <c r="SBO44" s="184"/>
      <c r="SBP44" s="184"/>
      <c r="SBQ44" s="184"/>
      <c r="SBR44" s="184"/>
      <c r="SBS44" s="184"/>
      <c r="SBT44" s="184"/>
      <c r="SBU44" s="184"/>
      <c r="SBV44" s="184"/>
      <c r="SBW44" s="184"/>
      <c r="SBX44" s="184"/>
      <c r="SBY44" s="184"/>
      <c r="SBZ44" s="184"/>
      <c r="SCA44" s="184"/>
      <c r="SCB44" s="184"/>
      <c r="SCO44" s="215"/>
      <c r="SCP44" s="202"/>
      <c r="SCQ44" s="203"/>
      <c r="SCR44" s="203"/>
      <c r="SCS44" s="203"/>
      <c r="SCT44" s="204"/>
      <c r="SCU44" s="200"/>
      <c r="SCV44" s="227"/>
      <c r="SCW44" s="184"/>
      <c r="SCX44" s="184"/>
      <c r="SCY44" s="184"/>
      <c r="SCZ44" s="184"/>
      <c r="SDA44" s="184"/>
      <c r="SDB44" s="184"/>
      <c r="SDC44" s="184"/>
      <c r="SDD44" s="184"/>
      <c r="SDE44" s="184"/>
      <c r="SDF44" s="184"/>
      <c r="SDG44" s="184"/>
      <c r="SDH44" s="184"/>
      <c r="SDI44" s="184"/>
      <c r="SDJ44" s="184"/>
      <c r="SDK44" s="184"/>
      <c r="SDL44" s="184"/>
      <c r="SDM44" s="184"/>
      <c r="SDN44" s="184"/>
      <c r="SDO44" s="184"/>
      <c r="SDP44" s="184"/>
      <c r="SDQ44" s="184"/>
      <c r="SDR44" s="184"/>
      <c r="SDS44" s="184"/>
      <c r="SDT44" s="184"/>
      <c r="SDU44" s="184"/>
      <c r="SDV44" s="184"/>
      <c r="SDW44" s="184"/>
      <c r="SDX44" s="184"/>
      <c r="SDY44" s="184"/>
      <c r="SDZ44" s="184"/>
      <c r="SEA44" s="184"/>
      <c r="SEB44" s="184"/>
      <c r="SEC44" s="184"/>
      <c r="SED44" s="184"/>
      <c r="SEE44" s="184"/>
      <c r="SEF44" s="184"/>
      <c r="SEG44" s="184"/>
      <c r="SEH44" s="184"/>
      <c r="SEI44" s="184"/>
      <c r="SEJ44" s="184"/>
      <c r="SEK44" s="184"/>
      <c r="SEL44" s="184"/>
      <c r="SEM44" s="184"/>
      <c r="SEN44" s="184"/>
      <c r="SEO44" s="184"/>
      <c r="SEP44" s="184"/>
      <c r="SEQ44" s="184"/>
      <c r="SER44" s="184"/>
      <c r="SES44" s="184"/>
      <c r="SET44" s="184"/>
      <c r="SEU44" s="184"/>
      <c r="SEV44" s="184"/>
      <c r="SEW44" s="184"/>
      <c r="SEX44" s="184"/>
      <c r="SEY44" s="184"/>
      <c r="SEZ44" s="184"/>
      <c r="SFA44" s="184"/>
      <c r="SFB44" s="184"/>
      <c r="SFC44" s="184"/>
      <c r="SFD44" s="184"/>
      <c r="SFE44" s="184"/>
      <c r="SFF44" s="184"/>
      <c r="SFG44" s="184"/>
      <c r="SFH44" s="184"/>
      <c r="SFU44" s="215"/>
      <c r="SFV44" s="202"/>
      <c r="SFW44" s="203"/>
      <c r="SFX44" s="203"/>
      <c r="SFY44" s="203"/>
      <c r="SFZ44" s="204"/>
      <c r="SGA44" s="200"/>
      <c r="SGB44" s="227"/>
      <c r="SGC44" s="184"/>
      <c r="SGD44" s="184"/>
      <c r="SGE44" s="184"/>
      <c r="SGF44" s="184"/>
      <c r="SGG44" s="184"/>
      <c r="SGH44" s="184"/>
      <c r="SGI44" s="184"/>
      <c r="SGJ44" s="184"/>
      <c r="SGK44" s="184"/>
      <c r="SGL44" s="184"/>
      <c r="SGM44" s="184"/>
      <c r="SGN44" s="184"/>
      <c r="SGO44" s="184"/>
      <c r="SGP44" s="184"/>
      <c r="SGQ44" s="184"/>
      <c r="SGR44" s="184"/>
      <c r="SGS44" s="184"/>
      <c r="SGT44" s="184"/>
      <c r="SGU44" s="184"/>
      <c r="SGV44" s="184"/>
      <c r="SGW44" s="184"/>
      <c r="SGX44" s="184"/>
      <c r="SGY44" s="184"/>
      <c r="SGZ44" s="184"/>
      <c r="SHA44" s="184"/>
      <c r="SHB44" s="184"/>
      <c r="SHC44" s="184"/>
      <c r="SHD44" s="184"/>
      <c r="SHE44" s="184"/>
      <c r="SHF44" s="184"/>
      <c r="SHG44" s="184"/>
      <c r="SHH44" s="184"/>
      <c r="SHI44" s="184"/>
      <c r="SHJ44" s="184"/>
      <c r="SHK44" s="184"/>
      <c r="SHL44" s="184"/>
      <c r="SHM44" s="184"/>
      <c r="SHN44" s="184"/>
      <c r="SHO44" s="184"/>
      <c r="SHP44" s="184"/>
      <c r="SHQ44" s="184"/>
      <c r="SHR44" s="184"/>
      <c r="SHS44" s="184"/>
      <c r="SHT44" s="184"/>
      <c r="SHU44" s="184"/>
      <c r="SHV44" s="184"/>
      <c r="SHW44" s="184"/>
      <c r="SHX44" s="184"/>
      <c r="SHY44" s="184"/>
      <c r="SHZ44" s="184"/>
      <c r="SIA44" s="184"/>
      <c r="SIB44" s="184"/>
      <c r="SIC44" s="184"/>
      <c r="SID44" s="184"/>
      <c r="SIE44" s="184"/>
      <c r="SIF44" s="184"/>
      <c r="SIG44" s="184"/>
      <c r="SIH44" s="184"/>
      <c r="SII44" s="184"/>
      <c r="SIJ44" s="184"/>
      <c r="SIK44" s="184"/>
      <c r="SIL44" s="184"/>
      <c r="SIM44" s="184"/>
      <c r="SIN44" s="184"/>
      <c r="SJA44" s="215"/>
      <c r="SJB44" s="202"/>
      <c r="SJC44" s="203"/>
      <c r="SJD44" s="203"/>
      <c r="SJE44" s="203"/>
      <c r="SJF44" s="204"/>
      <c r="SJG44" s="200"/>
      <c r="SJH44" s="227"/>
      <c r="SJI44" s="184"/>
      <c r="SJJ44" s="184"/>
      <c r="SJK44" s="184"/>
      <c r="SJL44" s="184"/>
      <c r="SJM44" s="184"/>
      <c r="SJN44" s="184"/>
      <c r="SJO44" s="184"/>
      <c r="SJP44" s="184"/>
      <c r="SJQ44" s="184"/>
      <c r="SJR44" s="184"/>
      <c r="SJS44" s="184"/>
      <c r="SJT44" s="184"/>
      <c r="SJU44" s="184"/>
      <c r="SJV44" s="184"/>
      <c r="SJW44" s="184"/>
      <c r="SJX44" s="184"/>
      <c r="SJY44" s="184"/>
      <c r="SJZ44" s="184"/>
      <c r="SKA44" s="184"/>
      <c r="SKB44" s="184"/>
      <c r="SKC44" s="184"/>
      <c r="SKD44" s="184"/>
      <c r="SKE44" s="184"/>
      <c r="SKF44" s="184"/>
      <c r="SKG44" s="184"/>
      <c r="SKH44" s="184"/>
      <c r="SKI44" s="184"/>
      <c r="SKJ44" s="184"/>
      <c r="SKK44" s="184"/>
      <c r="SKL44" s="184"/>
      <c r="SKM44" s="184"/>
      <c r="SKN44" s="184"/>
      <c r="SKO44" s="184"/>
      <c r="SKP44" s="184"/>
      <c r="SKQ44" s="184"/>
      <c r="SKR44" s="184"/>
      <c r="SKS44" s="184"/>
      <c r="SKT44" s="184"/>
      <c r="SKU44" s="184"/>
      <c r="SKV44" s="184"/>
      <c r="SKW44" s="184"/>
      <c r="SKX44" s="184"/>
      <c r="SKY44" s="184"/>
      <c r="SKZ44" s="184"/>
      <c r="SLA44" s="184"/>
      <c r="SLB44" s="184"/>
      <c r="SLC44" s="184"/>
      <c r="SLD44" s="184"/>
      <c r="SLE44" s="184"/>
      <c r="SLF44" s="184"/>
      <c r="SLG44" s="184"/>
      <c r="SLH44" s="184"/>
      <c r="SLI44" s="184"/>
      <c r="SLJ44" s="184"/>
      <c r="SLK44" s="184"/>
      <c r="SLL44" s="184"/>
      <c r="SLM44" s="184"/>
      <c r="SLN44" s="184"/>
      <c r="SLO44" s="184"/>
      <c r="SLP44" s="184"/>
      <c r="SLQ44" s="184"/>
      <c r="SLR44" s="184"/>
      <c r="SLS44" s="184"/>
      <c r="SLT44" s="184"/>
      <c r="SMG44" s="215"/>
      <c r="SMH44" s="202"/>
      <c r="SMI44" s="203"/>
      <c r="SMJ44" s="203"/>
      <c r="SMK44" s="203"/>
      <c r="SML44" s="204"/>
      <c r="SMM44" s="200"/>
      <c r="SMN44" s="227"/>
      <c r="SMO44" s="184"/>
      <c r="SMP44" s="184"/>
      <c r="SMQ44" s="184"/>
      <c r="SMR44" s="184"/>
      <c r="SMS44" s="184"/>
      <c r="SMT44" s="184"/>
      <c r="SMU44" s="184"/>
      <c r="SMV44" s="184"/>
      <c r="SMW44" s="184"/>
      <c r="SMX44" s="184"/>
      <c r="SMY44" s="184"/>
      <c r="SMZ44" s="184"/>
      <c r="SNA44" s="184"/>
      <c r="SNB44" s="184"/>
      <c r="SNC44" s="184"/>
      <c r="SND44" s="184"/>
      <c r="SNE44" s="184"/>
      <c r="SNF44" s="184"/>
      <c r="SNG44" s="184"/>
      <c r="SNH44" s="184"/>
      <c r="SNI44" s="184"/>
      <c r="SNJ44" s="184"/>
      <c r="SNK44" s="184"/>
      <c r="SNL44" s="184"/>
      <c r="SNM44" s="184"/>
      <c r="SNN44" s="184"/>
      <c r="SNO44" s="184"/>
      <c r="SNP44" s="184"/>
      <c r="SNQ44" s="184"/>
      <c r="SNR44" s="184"/>
      <c r="SNS44" s="184"/>
      <c r="SNT44" s="184"/>
      <c r="SNU44" s="184"/>
      <c r="SNV44" s="184"/>
      <c r="SNW44" s="184"/>
      <c r="SNX44" s="184"/>
      <c r="SNY44" s="184"/>
      <c r="SNZ44" s="184"/>
      <c r="SOA44" s="184"/>
      <c r="SOB44" s="184"/>
      <c r="SOC44" s="184"/>
      <c r="SOD44" s="184"/>
      <c r="SOE44" s="184"/>
      <c r="SOF44" s="184"/>
      <c r="SOG44" s="184"/>
      <c r="SOH44" s="184"/>
      <c r="SOI44" s="184"/>
      <c r="SOJ44" s="184"/>
      <c r="SOK44" s="184"/>
      <c r="SOL44" s="184"/>
      <c r="SOM44" s="184"/>
      <c r="SON44" s="184"/>
      <c r="SOO44" s="184"/>
      <c r="SOP44" s="184"/>
      <c r="SOQ44" s="184"/>
      <c r="SOR44" s="184"/>
      <c r="SOS44" s="184"/>
      <c r="SOT44" s="184"/>
      <c r="SOU44" s="184"/>
      <c r="SOV44" s="184"/>
      <c r="SOW44" s="184"/>
      <c r="SOX44" s="184"/>
      <c r="SOY44" s="184"/>
      <c r="SOZ44" s="184"/>
      <c r="SPM44" s="215"/>
      <c r="SPN44" s="202"/>
      <c r="SPO44" s="203"/>
      <c r="SPP44" s="203"/>
      <c r="SPQ44" s="203"/>
      <c r="SPR44" s="204"/>
      <c r="SPS44" s="200"/>
      <c r="SPT44" s="227"/>
      <c r="SPU44" s="184"/>
      <c r="SPV44" s="184"/>
      <c r="SPW44" s="184"/>
      <c r="SPX44" s="184"/>
      <c r="SPY44" s="184"/>
      <c r="SPZ44" s="184"/>
      <c r="SQA44" s="184"/>
      <c r="SQB44" s="184"/>
      <c r="SQC44" s="184"/>
      <c r="SQD44" s="184"/>
      <c r="SQE44" s="184"/>
      <c r="SQF44" s="184"/>
      <c r="SQG44" s="184"/>
      <c r="SQH44" s="184"/>
      <c r="SQI44" s="184"/>
      <c r="SQJ44" s="184"/>
      <c r="SQK44" s="184"/>
      <c r="SQL44" s="184"/>
      <c r="SQM44" s="184"/>
      <c r="SQN44" s="184"/>
      <c r="SQO44" s="184"/>
      <c r="SQP44" s="184"/>
      <c r="SQQ44" s="184"/>
      <c r="SQR44" s="184"/>
      <c r="SQS44" s="184"/>
      <c r="SQT44" s="184"/>
      <c r="SQU44" s="184"/>
      <c r="SQV44" s="184"/>
      <c r="SQW44" s="184"/>
      <c r="SQX44" s="184"/>
      <c r="SQY44" s="184"/>
      <c r="SQZ44" s="184"/>
      <c r="SRA44" s="184"/>
      <c r="SRB44" s="184"/>
      <c r="SRC44" s="184"/>
      <c r="SRD44" s="184"/>
      <c r="SRE44" s="184"/>
      <c r="SRF44" s="184"/>
      <c r="SRG44" s="184"/>
      <c r="SRH44" s="184"/>
      <c r="SRI44" s="184"/>
      <c r="SRJ44" s="184"/>
      <c r="SRK44" s="184"/>
      <c r="SRL44" s="184"/>
      <c r="SRM44" s="184"/>
      <c r="SRN44" s="184"/>
      <c r="SRO44" s="184"/>
      <c r="SRP44" s="184"/>
      <c r="SRQ44" s="184"/>
      <c r="SRR44" s="184"/>
      <c r="SRS44" s="184"/>
      <c r="SRT44" s="184"/>
      <c r="SRU44" s="184"/>
      <c r="SRV44" s="184"/>
      <c r="SRW44" s="184"/>
      <c r="SRX44" s="184"/>
      <c r="SRY44" s="184"/>
      <c r="SRZ44" s="184"/>
      <c r="SSA44" s="184"/>
      <c r="SSB44" s="184"/>
      <c r="SSC44" s="184"/>
      <c r="SSD44" s="184"/>
      <c r="SSE44" s="184"/>
      <c r="SSF44" s="184"/>
      <c r="SSS44" s="215"/>
      <c r="SST44" s="202"/>
      <c r="SSU44" s="203"/>
      <c r="SSV44" s="203"/>
      <c r="SSW44" s="203"/>
      <c r="SSX44" s="204"/>
      <c r="SSY44" s="200"/>
      <c r="SSZ44" s="227"/>
      <c r="STA44" s="184"/>
      <c r="STB44" s="184"/>
      <c r="STC44" s="184"/>
      <c r="STD44" s="184"/>
      <c r="STE44" s="184"/>
      <c r="STF44" s="184"/>
      <c r="STG44" s="184"/>
      <c r="STH44" s="184"/>
      <c r="STI44" s="184"/>
      <c r="STJ44" s="184"/>
      <c r="STK44" s="184"/>
      <c r="STL44" s="184"/>
      <c r="STM44" s="184"/>
      <c r="STN44" s="184"/>
      <c r="STO44" s="184"/>
      <c r="STP44" s="184"/>
      <c r="STQ44" s="184"/>
      <c r="STR44" s="184"/>
      <c r="STS44" s="184"/>
      <c r="STT44" s="184"/>
      <c r="STU44" s="184"/>
      <c r="STV44" s="184"/>
      <c r="STW44" s="184"/>
      <c r="STX44" s="184"/>
      <c r="STY44" s="184"/>
      <c r="STZ44" s="184"/>
      <c r="SUA44" s="184"/>
      <c r="SUB44" s="184"/>
      <c r="SUC44" s="184"/>
      <c r="SUD44" s="184"/>
      <c r="SUE44" s="184"/>
      <c r="SUF44" s="184"/>
      <c r="SUG44" s="184"/>
      <c r="SUH44" s="184"/>
      <c r="SUI44" s="184"/>
      <c r="SUJ44" s="184"/>
      <c r="SUK44" s="184"/>
      <c r="SUL44" s="184"/>
      <c r="SUM44" s="184"/>
      <c r="SUN44" s="184"/>
      <c r="SUO44" s="184"/>
      <c r="SUP44" s="184"/>
      <c r="SUQ44" s="184"/>
      <c r="SUR44" s="184"/>
      <c r="SUS44" s="184"/>
      <c r="SUT44" s="184"/>
      <c r="SUU44" s="184"/>
      <c r="SUV44" s="184"/>
      <c r="SUW44" s="184"/>
      <c r="SUX44" s="184"/>
      <c r="SUY44" s="184"/>
      <c r="SUZ44" s="184"/>
      <c r="SVA44" s="184"/>
      <c r="SVB44" s="184"/>
      <c r="SVC44" s="184"/>
      <c r="SVD44" s="184"/>
      <c r="SVE44" s="184"/>
      <c r="SVF44" s="184"/>
      <c r="SVG44" s="184"/>
      <c r="SVH44" s="184"/>
      <c r="SVI44" s="184"/>
      <c r="SVJ44" s="184"/>
      <c r="SVK44" s="184"/>
      <c r="SVL44" s="184"/>
      <c r="SVY44" s="215"/>
      <c r="SVZ44" s="202"/>
      <c r="SWA44" s="203"/>
      <c r="SWB44" s="203"/>
      <c r="SWC44" s="203"/>
      <c r="SWD44" s="204"/>
      <c r="SWE44" s="200"/>
      <c r="SWF44" s="227"/>
      <c r="SWG44" s="184"/>
      <c r="SWH44" s="184"/>
      <c r="SWI44" s="184"/>
      <c r="SWJ44" s="184"/>
      <c r="SWK44" s="184"/>
      <c r="SWL44" s="184"/>
      <c r="SWM44" s="184"/>
      <c r="SWN44" s="184"/>
      <c r="SWO44" s="184"/>
      <c r="SWP44" s="184"/>
      <c r="SWQ44" s="184"/>
      <c r="SWR44" s="184"/>
      <c r="SWS44" s="184"/>
      <c r="SWT44" s="184"/>
      <c r="SWU44" s="184"/>
      <c r="SWV44" s="184"/>
      <c r="SWW44" s="184"/>
      <c r="SWX44" s="184"/>
      <c r="SWY44" s="184"/>
      <c r="SWZ44" s="184"/>
      <c r="SXA44" s="184"/>
      <c r="SXB44" s="184"/>
      <c r="SXC44" s="184"/>
      <c r="SXD44" s="184"/>
      <c r="SXE44" s="184"/>
      <c r="SXF44" s="184"/>
      <c r="SXG44" s="184"/>
      <c r="SXH44" s="184"/>
      <c r="SXI44" s="184"/>
      <c r="SXJ44" s="184"/>
      <c r="SXK44" s="184"/>
      <c r="SXL44" s="184"/>
      <c r="SXM44" s="184"/>
      <c r="SXN44" s="184"/>
      <c r="SXO44" s="184"/>
      <c r="SXP44" s="184"/>
      <c r="SXQ44" s="184"/>
      <c r="SXR44" s="184"/>
      <c r="SXS44" s="184"/>
      <c r="SXT44" s="184"/>
      <c r="SXU44" s="184"/>
      <c r="SXV44" s="184"/>
      <c r="SXW44" s="184"/>
      <c r="SXX44" s="184"/>
      <c r="SXY44" s="184"/>
      <c r="SXZ44" s="184"/>
      <c r="SYA44" s="184"/>
      <c r="SYB44" s="184"/>
      <c r="SYC44" s="184"/>
      <c r="SYD44" s="184"/>
      <c r="SYE44" s="184"/>
      <c r="SYF44" s="184"/>
      <c r="SYG44" s="184"/>
      <c r="SYH44" s="184"/>
      <c r="SYI44" s="184"/>
      <c r="SYJ44" s="184"/>
      <c r="SYK44" s="184"/>
      <c r="SYL44" s="184"/>
      <c r="SYM44" s="184"/>
      <c r="SYN44" s="184"/>
      <c r="SYO44" s="184"/>
      <c r="SYP44" s="184"/>
      <c r="SYQ44" s="184"/>
      <c r="SYR44" s="184"/>
      <c r="SZE44" s="215"/>
      <c r="SZF44" s="202"/>
      <c r="SZG44" s="203"/>
      <c r="SZH44" s="203"/>
      <c r="SZI44" s="203"/>
      <c r="SZJ44" s="204"/>
      <c r="SZK44" s="200"/>
      <c r="SZL44" s="227"/>
      <c r="SZM44" s="184"/>
      <c r="SZN44" s="184"/>
      <c r="SZO44" s="184"/>
      <c r="SZP44" s="184"/>
      <c r="SZQ44" s="184"/>
      <c r="SZR44" s="184"/>
      <c r="SZS44" s="184"/>
      <c r="SZT44" s="184"/>
      <c r="SZU44" s="184"/>
      <c r="SZV44" s="184"/>
      <c r="SZW44" s="184"/>
      <c r="SZX44" s="184"/>
      <c r="SZY44" s="184"/>
      <c r="SZZ44" s="184"/>
      <c r="TAA44" s="184"/>
      <c r="TAB44" s="184"/>
      <c r="TAC44" s="184"/>
      <c r="TAD44" s="184"/>
      <c r="TAE44" s="184"/>
      <c r="TAF44" s="184"/>
      <c r="TAG44" s="184"/>
      <c r="TAH44" s="184"/>
      <c r="TAI44" s="184"/>
      <c r="TAJ44" s="184"/>
      <c r="TAK44" s="184"/>
      <c r="TAL44" s="184"/>
      <c r="TAM44" s="184"/>
      <c r="TAN44" s="184"/>
      <c r="TAO44" s="184"/>
      <c r="TAP44" s="184"/>
      <c r="TAQ44" s="184"/>
      <c r="TAR44" s="184"/>
      <c r="TAS44" s="184"/>
      <c r="TAT44" s="184"/>
      <c r="TAU44" s="184"/>
      <c r="TAV44" s="184"/>
      <c r="TAW44" s="184"/>
      <c r="TAX44" s="184"/>
      <c r="TAY44" s="184"/>
      <c r="TAZ44" s="184"/>
      <c r="TBA44" s="184"/>
      <c r="TBB44" s="184"/>
      <c r="TBC44" s="184"/>
      <c r="TBD44" s="184"/>
      <c r="TBE44" s="184"/>
      <c r="TBF44" s="184"/>
      <c r="TBG44" s="184"/>
      <c r="TBH44" s="184"/>
      <c r="TBI44" s="184"/>
      <c r="TBJ44" s="184"/>
      <c r="TBK44" s="184"/>
      <c r="TBL44" s="184"/>
      <c r="TBM44" s="184"/>
      <c r="TBN44" s="184"/>
      <c r="TBO44" s="184"/>
      <c r="TBP44" s="184"/>
      <c r="TBQ44" s="184"/>
      <c r="TBR44" s="184"/>
      <c r="TBS44" s="184"/>
      <c r="TBT44" s="184"/>
      <c r="TBU44" s="184"/>
      <c r="TBV44" s="184"/>
      <c r="TBW44" s="184"/>
      <c r="TBX44" s="184"/>
      <c r="TCK44" s="215"/>
      <c r="TCL44" s="202"/>
      <c r="TCM44" s="203"/>
      <c r="TCN44" s="203"/>
      <c r="TCO44" s="203"/>
      <c r="TCP44" s="204"/>
      <c r="TCQ44" s="200"/>
      <c r="TCR44" s="227"/>
      <c r="TCS44" s="184"/>
      <c r="TCT44" s="184"/>
      <c r="TCU44" s="184"/>
      <c r="TCV44" s="184"/>
      <c r="TCW44" s="184"/>
      <c r="TCX44" s="184"/>
      <c r="TCY44" s="184"/>
      <c r="TCZ44" s="184"/>
      <c r="TDA44" s="184"/>
      <c r="TDB44" s="184"/>
      <c r="TDC44" s="184"/>
      <c r="TDD44" s="184"/>
      <c r="TDE44" s="184"/>
      <c r="TDF44" s="184"/>
      <c r="TDG44" s="184"/>
      <c r="TDH44" s="184"/>
      <c r="TDI44" s="184"/>
      <c r="TDJ44" s="184"/>
      <c r="TDK44" s="184"/>
      <c r="TDL44" s="184"/>
      <c r="TDM44" s="184"/>
      <c r="TDN44" s="184"/>
      <c r="TDO44" s="184"/>
      <c r="TDP44" s="184"/>
      <c r="TDQ44" s="184"/>
      <c r="TDR44" s="184"/>
      <c r="TDS44" s="184"/>
      <c r="TDT44" s="184"/>
      <c r="TDU44" s="184"/>
      <c r="TDV44" s="184"/>
      <c r="TDW44" s="184"/>
      <c r="TDX44" s="184"/>
      <c r="TDY44" s="184"/>
      <c r="TDZ44" s="184"/>
      <c r="TEA44" s="184"/>
      <c r="TEB44" s="184"/>
      <c r="TEC44" s="184"/>
      <c r="TED44" s="184"/>
      <c r="TEE44" s="184"/>
      <c r="TEF44" s="184"/>
      <c r="TEG44" s="184"/>
      <c r="TEH44" s="184"/>
      <c r="TEI44" s="184"/>
      <c r="TEJ44" s="184"/>
      <c r="TEK44" s="184"/>
      <c r="TEL44" s="184"/>
      <c r="TEM44" s="184"/>
      <c r="TEN44" s="184"/>
      <c r="TEO44" s="184"/>
      <c r="TEP44" s="184"/>
      <c r="TEQ44" s="184"/>
      <c r="TER44" s="184"/>
      <c r="TES44" s="184"/>
      <c r="TET44" s="184"/>
      <c r="TEU44" s="184"/>
      <c r="TEV44" s="184"/>
      <c r="TEW44" s="184"/>
      <c r="TEX44" s="184"/>
      <c r="TEY44" s="184"/>
      <c r="TEZ44" s="184"/>
      <c r="TFA44" s="184"/>
      <c r="TFB44" s="184"/>
      <c r="TFC44" s="184"/>
      <c r="TFD44" s="184"/>
      <c r="TFQ44" s="215"/>
      <c r="TFR44" s="202"/>
      <c r="TFS44" s="203"/>
      <c r="TFT44" s="203"/>
      <c r="TFU44" s="203"/>
      <c r="TFV44" s="204"/>
      <c r="TFW44" s="200"/>
      <c r="TFX44" s="227"/>
      <c r="TFY44" s="184"/>
      <c r="TFZ44" s="184"/>
      <c r="TGA44" s="184"/>
      <c r="TGB44" s="184"/>
      <c r="TGC44" s="184"/>
      <c r="TGD44" s="184"/>
      <c r="TGE44" s="184"/>
      <c r="TGF44" s="184"/>
      <c r="TGG44" s="184"/>
      <c r="TGH44" s="184"/>
      <c r="TGI44" s="184"/>
      <c r="TGJ44" s="184"/>
      <c r="TGK44" s="184"/>
      <c r="TGL44" s="184"/>
      <c r="TGM44" s="184"/>
      <c r="TGN44" s="184"/>
      <c r="TGO44" s="184"/>
      <c r="TGP44" s="184"/>
      <c r="TGQ44" s="184"/>
      <c r="TGR44" s="184"/>
      <c r="TGS44" s="184"/>
      <c r="TGT44" s="184"/>
      <c r="TGU44" s="184"/>
      <c r="TGV44" s="184"/>
      <c r="TGW44" s="184"/>
      <c r="TGX44" s="184"/>
      <c r="TGY44" s="184"/>
      <c r="TGZ44" s="184"/>
      <c r="THA44" s="184"/>
      <c r="THB44" s="184"/>
      <c r="THC44" s="184"/>
      <c r="THD44" s="184"/>
      <c r="THE44" s="184"/>
      <c r="THF44" s="184"/>
      <c r="THG44" s="184"/>
      <c r="THH44" s="184"/>
      <c r="THI44" s="184"/>
      <c r="THJ44" s="184"/>
      <c r="THK44" s="184"/>
      <c r="THL44" s="184"/>
      <c r="THM44" s="184"/>
      <c r="THN44" s="184"/>
      <c r="THO44" s="184"/>
      <c r="THP44" s="184"/>
      <c r="THQ44" s="184"/>
      <c r="THR44" s="184"/>
      <c r="THS44" s="184"/>
      <c r="THT44" s="184"/>
      <c r="THU44" s="184"/>
      <c r="THV44" s="184"/>
      <c r="THW44" s="184"/>
      <c r="THX44" s="184"/>
      <c r="THY44" s="184"/>
      <c r="THZ44" s="184"/>
      <c r="TIA44" s="184"/>
      <c r="TIB44" s="184"/>
      <c r="TIC44" s="184"/>
      <c r="TID44" s="184"/>
      <c r="TIE44" s="184"/>
      <c r="TIF44" s="184"/>
      <c r="TIG44" s="184"/>
      <c r="TIH44" s="184"/>
      <c r="TII44" s="184"/>
      <c r="TIJ44" s="184"/>
      <c r="TIW44" s="215"/>
      <c r="TIX44" s="202"/>
      <c r="TIY44" s="203"/>
      <c r="TIZ44" s="203"/>
      <c r="TJA44" s="203"/>
      <c r="TJB44" s="204"/>
      <c r="TJC44" s="200"/>
      <c r="TJD44" s="227"/>
      <c r="TJE44" s="184"/>
      <c r="TJF44" s="184"/>
      <c r="TJG44" s="184"/>
      <c r="TJH44" s="184"/>
      <c r="TJI44" s="184"/>
      <c r="TJJ44" s="184"/>
      <c r="TJK44" s="184"/>
      <c r="TJL44" s="184"/>
      <c r="TJM44" s="184"/>
      <c r="TJN44" s="184"/>
      <c r="TJO44" s="184"/>
      <c r="TJP44" s="184"/>
      <c r="TJQ44" s="184"/>
      <c r="TJR44" s="184"/>
      <c r="TJS44" s="184"/>
      <c r="TJT44" s="184"/>
      <c r="TJU44" s="184"/>
      <c r="TJV44" s="184"/>
      <c r="TJW44" s="184"/>
      <c r="TJX44" s="184"/>
      <c r="TJY44" s="184"/>
      <c r="TJZ44" s="184"/>
      <c r="TKA44" s="184"/>
      <c r="TKB44" s="184"/>
      <c r="TKC44" s="184"/>
      <c r="TKD44" s="184"/>
      <c r="TKE44" s="184"/>
      <c r="TKF44" s="184"/>
      <c r="TKG44" s="184"/>
      <c r="TKH44" s="184"/>
      <c r="TKI44" s="184"/>
      <c r="TKJ44" s="184"/>
      <c r="TKK44" s="184"/>
      <c r="TKL44" s="184"/>
      <c r="TKM44" s="184"/>
      <c r="TKN44" s="184"/>
      <c r="TKO44" s="184"/>
      <c r="TKP44" s="184"/>
      <c r="TKQ44" s="184"/>
      <c r="TKR44" s="184"/>
      <c r="TKS44" s="184"/>
      <c r="TKT44" s="184"/>
      <c r="TKU44" s="184"/>
      <c r="TKV44" s="184"/>
      <c r="TKW44" s="184"/>
      <c r="TKX44" s="184"/>
      <c r="TKY44" s="184"/>
      <c r="TKZ44" s="184"/>
      <c r="TLA44" s="184"/>
      <c r="TLB44" s="184"/>
      <c r="TLC44" s="184"/>
      <c r="TLD44" s="184"/>
      <c r="TLE44" s="184"/>
      <c r="TLF44" s="184"/>
      <c r="TLG44" s="184"/>
      <c r="TLH44" s="184"/>
      <c r="TLI44" s="184"/>
      <c r="TLJ44" s="184"/>
      <c r="TLK44" s="184"/>
      <c r="TLL44" s="184"/>
      <c r="TLM44" s="184"/>
      <c r="TLN44" s="184"/>
      <c r="TLO44" s="184"/>
      <c r="TLP44" s="184"/>
      <c r="TMC44" s="215"/>
      <c r="TMD44" s="202"/>
      <c r="TME44" s="203"/>
      <c r="TMF44" s="203"/>
      <c r="TMG44" s="203"/>
      <c r="TMH44" s="204"/>
      <c r="TMI44" s="200"/>
      <c r="TMJ44" s="227"/>
      <c r="TMK44" s="184"/>
      <c r="TML44" s="184"/>
      <c r="TMM44" s="184"/>
      <c r="TMN44" s="184"/>
      <c r="TMO44" s="184"/>
      <c r="TMP44" s="184"/>
      <c r="TMQ44" s="184"/>
      <c r="TMR44" s="184"/>
      <c r="TMS44" s="184"/>
      <c r="TMT44" s="184"/>
      <c r="TMU44" s="184"/>
      <c r="TMV44" s="184"/>
      <c r="TMW44" s="184"/>
      <c r="TMX44" s="184"/>
      <c r="TMY44" s="184"/>
      <c r="TMZ44" s="184"/>
      <c r="TNA44" s="184"/>
      <c r="TNB44" s="184"/>
      <c r="TNC44" s="184"/>
      <c r="TND44" s="184"/>
      <c r="TNE44" s="184"/>
      <c r="TNF44" s="184"/>
      <c r="TNG44" s="184"/>
      <c r="TNH44" s="184"/>
      <c r="TNI44" s="184"/>
      <c r="TNJ44" s="184"/>
      <c r="TNK44" s="184"/>
      <c r="TNL44" s="184"/>
      <c r="TNM44" s="184"/>
      <c r="TNN44" s="184"/>
      <c r="TNO44" s="184"/>
      <c r="TNP44" s="184"/>
      <c r="TNQ44" s="184"/>
      <c r="TNR44" s="184"/>
      <c r="TNS44" s="184"/>
      <c r="TNT44" s="184"/>
      <c r="TNU44" s="184"/>
      <c r="TNV44" s="184"/>
      <c r="TNW44" s="184"/>
      <c r="TNX44" s="184"/>
      <c r="TNY44" s="184"/>
      <c r="TNZ44" s="184"/>
      <c r="TOA44" s="184"/>
      <c r="TOB44" s="184"/>
      <c r="TOC44" s="184"/>
      <c r="TOD44" s="184"/>
      <c r="TOE44" s="184"/>
      <c r="TOF44" s="184"/>
      <c r="TOG44" s="184"/>
      <c r="TOH44" s="184"/>
      <c r="TOI44" s="184"/>
      <c r="TOJ44" s="184"/>
      <c r="TOK44" s="184"/>
      <c r="TOL44" s="184"/>
      <c r="TOM44" s="184"/>
      <c r="TON44" s="184"/>
      <c r="TOO44" s="184"/>
      <c r="TOP44" s="184"/>
      <c r="TOQ44" s="184"/>
      <c r="TOR44" s="184"/>
      <c r="TOS44" s="184"/>
      <c r="TOT44" s="184"/>
      <c r="TOU44" s="184"/>
      <c r="TOV44" s="184"/>
      <c r="TPI44" s="215"/>
      <c r="TPJ44" s="202"/>
      <c r="TPK44" s="203"/>
      <c r="TPL44" s="203"/>
      <c r="TPM44" s="203"/>
      <c r="TPN44" s="204"/>
      <c r="TPO44" s="200"/>
      <c r="TPP44" s="227"/>
      <c r="TPQ44" s="184"/>
      <c r="TPR44" s="184"/>
      <c r="TPS44" s="184"/>
      <c r="TPT44" s="184"/>
      <c r="TPU44" s="184"/>
      <c r="TPV44" s="184"/>
      <c r="TPW44" s="184"/>
      <c r="TPX44" s="184"/>
      <c r="TPY44" s="184"/>
      <c r="TPZ44" s="184"/>
      <c r="TQA44" s="184"/>
      <c r="TQB44" s="184"/>
      <c r="TQC44" s="184"/>
      <c r="TQD44" s="184"/>
      <c r="TQE44" s="184"/>
      <c r="TQF44" s="184"/>
      <c r="TQG44" s="184"/>
      <c r="TQH44" s="184"/>
      <c r="TQI44" s="184"/>
      <c r="TQJ44" s="184"/>
      <c r="TQK44" s="184"/>
      <c r="TQL44" s="184"/>
      <c r="TQM44" s="184"/>
      <c r="TQN44" s="184"/>
      <c r="TQO44" s="184"/>
      <c r="TQP44" s="184"/>
      <c r="TQQ44" s="184"/>
      <c r="TQR44" s="184"/>
      <c r="TQS44" s="184"/>
      <c r="TQT44" s="184"/>
      <c r="TQU44" s="184"/>
      <c r="TQV44" s="184"/>
      <c r="TQW44" s="184"/>
      <c r="TQX44" s="184"/>
      <c r="TQY44" s="184"/>
      <c r="TQZ44" s="184"/>
      <c r="TRA44" s="184"/>
      <c r="TRB44" s="184"/>
      <c r="TRC44" s="184"/>
      <c r="TRD44" s="184"/>
      <c r="TRE44" s="184"/>
      <c r="TRF44" s="184"/>
      <c r="TRG44" s="184"/>
      <c r="TRH44" s="184"/>
      <c r="TRI44" s="184"/>
      <c r="TRJ44" s="184"/>
      <c r="TRK44" s="184"/>
      <c r="TRL44" s="184"/>
      <c r="TRM44" s="184"/>
      <c r="TRN44" s="184"/>
      <c r="TRO44" s="184"/>
      <c r="TRP44" s="184"/>
      <c r="TRQ44" s="184"/>
      <c r="TRR44" s="184"/>
      <c r="TRS44" s="184"/>
      <c r="TRT44" s="184"/>
      <c r="TRU44" s="184"/>
      <c r="TRV44" s="184"/>
      <c r="TRW44" s="184"/>
      <c r="TRX44" s="184"/>
      <c r="TRY44" s="184"/>
      <c r="TRZ44" s="184"/>
      <c r="TSA44" s="184"/>
      <c r="TSB44" s="184"/>
      <c r="TSO44" s="215"/>
      <c r="TSP44" s="202"/>
      <c r="TSQ44" s="203"/>
      <c r="TSR44" s="203"/>
      <c r="TSS44" s="203"/>
      <c r="TST44" s="204"/>
      <c r="TSU44" s="200"/>
      <c r="TSV44" s="227"/>
      <c r="TSW44" s="184"/>
      <c r="TSX44" s="184"/>
      <c r="TSY44" s="184"/>
      <c r="TSZ44" s="184"/>
      <c r="TTA44" s="184"/>
      <c r="TTB44" s="184"/>
      <c r="TTC44" s="184"/>
      <c r="TTD44" s="184"/>
      <c r="TTE44" s="184"/>
      <c r="TTF44" s="184"/>
      <c r="TTG44" s="184"/>
      <c r="TTH44" s="184"/>
      <c r="TTI44" s="184"/>
      <c r="TTJ44" s="184"/>
      <c r="TTK44" s="184"/>
      <c r="TTL44" s="184"/>
      <c r="TTM44" s="184"/>
      <c r="TTN44" s="184"/>
      <c r="TTO44" s="184"/>
      <c r="TTP44" s="184"/>
      <c r="TTQ44" s="184"/>
      <c r="TTR44" s="184"/>
      <c r="TTS44" s="184"/>
      <c r="TTT44" s="184"/>
      <c r="TTU44" s="184"/>
      <c r="TTV44" s="184"/>
      <c r="TTW44" s="184"/>
      <c r="TTX44" s="184"/>
      <c r="TTY44" s="184"/>
      <c r="TTZ44" s="184"/>
      <c r="TUA44" s="184"/>
      <c r="TUB44" s="184"/>
      <c r="TUC44" s="184"/>
      <c r="TUD44" s="184"/>
      <c r="TUE44" s="184"/>
      <c r="TUF44" s="184"/>
      <c r="TUG44" s="184"/>
      <c r="TUH44" s="184"/>
      <c r="TUI44" s="184"/>
      <c r="TUJ44" s="184"/>
      <c r="TUK44" s="184"/>
      <c r="TUL44" s="184"/>
      <c r="TUM44" s="184"/>
      <c r="TUN44" s="184"/>
      <c r="TUO44" s="184"/>
      <c r="TUP44" s="184"/>
      <c r="TUQ44" s="184"/>
      <c r="TUR44" s="184"/>
      <c r="TUS44" s="184"/>
      <c r="TUT44" s="184"/>
      <c r="TUU44" s="184"/>
      <c r="TUV44" s="184"/>
      <c r="TUW44" s="184"/>
      <c r="TUX44" s="184"/>
      <c r="TUY44" s="184"/>
      <c r="TUZ44" s="184"/>
      <c r="TVA44" s="184"/>
      <c r="TVB44" s="184"/>
      <c r="TVC44" s="184"/>
      <c r="TVD44" s="184"/>
      <c r="TVE44" s="184"/>
      <c r="TVF44" s="184"/>
      <c r="TVG44" s="184"/>
      <c r="TVH44" s="184"/>
      <c r="TVU44" s="215"/>
      <c r="TVV44" s="202"/>
      <c r="TVW44" s="203"/>
      <c r="TVX44" s="203"/>
      <c r="TVY44" s="203"/>
      <c r="TVZ44" s="204"/>
      <c r="TWA44" s="200"/>
      <c r="TWB44" s="227"/>
      <c r="TWC44" s="184"/>
      <c r="TWD44" s="184"/>
      <c r="TWE44" s="184"/>
      <c r="TWF44" s="184"/>
      <c r="TWG44" s="184"/>
      <c r="TWH44" s="184"/>
      <c r="TWI44" s="184"/>
      <c r="TWJ44" s="184"/>
      <c r="TWK44" s="184"/>
      <c r="TWL44" s="184"/>
      <c r="TWM44" s="184"/>
      <c r="TWN44" s="184"/>
      <c r="TWO44" s="184"/>
      <c r="TWP44" s="184"/>
      <c r="TWQ44" s="184"/>
      <c r="TWR44" s="184"/>
      <c r="TWS44" s="184"/>
      <c r="TWT44" s="184"/>
      <c r="TWU44" s="184"/>
      <c r="TWV44" s="184"/>
      <c r="TWW44" s="184"/>
      <c r="TWX44" s="184"/>
      <c r="TWY44" s="184"/>
      <c r="TWZ44" s="184"/>
      <c r="TXA44" s="184"/>
      <c r="TXB44" s="184"/>
      <c r="TXC44" s="184"/>
      <c r="TXD44" s="184"/>
      <c r="TXE44" s="184"/>
      <c r="TXF44" s="184"/>
      <c r="TXG44" s="184"/>
      <c r="TXH44" s="184"/>
      <c r="TXI44" s="184"/>
      <c r="TXJ44" s="184"/>
      <c r="TXK44" s="184"/>
      <c r="TXL44" s="184"/>
      <c r="TXM44" s="184"/>
      <c r="TXN44" s="184"/>
      <c r="TXO44" s="184"/>
      <c r="TXP44" s="184"/>
      <c r="TXQ44" s="184"/>
      <c r="TXR44" s="184"/>
      <c r="TXS44" s="184"/>
      <c r="TXT44" s="184"/>
      <c r="TXU44" s="184"/>
      <c r="TXV44" s="184"/>
      <c r="TXW44" s="184"/>
      <c r="TXX44" s="184"/>
      <c r="TXY44" s="184"/>
      <c r="TXZ44" s="184"/>
      <c r="TYA44" s="184"/>
      <c r="TYB44" s="184"/>
      <c r="TYC44" s="184"/>
      <c r="TYD44" s="184"/>
      <c r="TYE44" s="184"/>
      <c r="TYF44" s="184"/>
      <c r="TYG44" s="184"/>
      <c r="TYH44" s="184"/>
      <c r="TYI44" s="184"/>
      <c r="TYJ44" s="184"/>
      <c r="TYK44" s="184"/>
      <c r="TYL44" s="184"/>
      <c r="TYM44" s="184"/>
      <c r="TYN44" s="184"/>
      <c r="TZA44" s="215"/>
      <c r="TZB44" s="202"/>
      <c r="TZC44" s="203"/>
      <c r="TZD44" s="203"/>
      <c r="TZE44" s="203"/>
      <c r="TZF44" s="204"/>
      <c r="TZG44" s="200"/>
      <c r="TZH44" s="227"/>
      <c r="TZI44" s="184"/>
      <c r="TZJ44" s="184"/>
      <c r="TZK44" s="184"/>
      <c r="TZL44" s="184"/>
      <c r="TZM44" s="184"/>
      <c r="TZN44" s="184"/>
      <c r="TZO44" s="184"/>
      <c r="TZP44" s="184"/>
      <c r="TZQ44" s="184"/>
      <c r="TZR44" s="184"/>
      <c r="TZS44" s="184"/>
      <c r="TZT44" s="184"/>
      <c r="TZU44" s="184"/>
      <c r="TZV44" s="184"/>
      <c r="TZW44" s="184"/>
      <c r="TZX44" s="184"/>
      <c r="TZY44" s="184"/>
      <c r="TZZ44" s="184"/>
      <c r="UAA44" s="184"/>
      <c r="UAB44" s="184"/>
      <c r="UAC44" s="184"/>
      <c r="UAD44" s="184"/>
      <c r="UAE44" s="184"/>
      <c r="UAF44" s="184"/>
      <c r="UAG44" s="184"/>
      <c r="UAH44" s="184"/>
      <c r="UAI44" s="184"/>
      <c r="UAJ44" s="184"/>
      <c r="UAK44" s="184"/>
      <c r="UAL44" s="184"/>
      <c r="UAM44" s="184"/>
      <c r="UAN44" s="184"/>
      <c r="UAO44" s="184"/>
      <c r="UAP44" s="184"/>
      <c r="UAQ44" s="184"/>
      <c r="UAR44" s="184"/>
      <c r="UAS44" s="184"/>
      <c r="UAT44" s="184"/>
      <c r="UAU44" s="184"/>
      <c r="UAV44" s="184"/>
      <c r="UAW44" s="184"/>
      <c r="UAX44" s="184"/>
      <c r="UAY44" s="184"/>
      <c r="UAZ44" s="184"/>
      <c r="UBA44" s="184"/>
      <c r="UBB44" s="184"/>
      <c r="UBC44" s="184"/>
      <c r="UBD44" s="184"/>
      <c r="UBE44" s="184"/>
      <c r="UBF44" s="184"/>
      <c r="UBG44" s="184"/>
      <c r="UBH44" s="184"/>
      <c r="UBI44" s="184"/>
      <c r="UBJ44" s="184"/>
      <c r="UBK44" s="184"/>
      <c r="UBL44" s="184"/>
      <c r="UBM44" s="184"/>
      <c r="UBN44" s="184"/>
      <c r="UBO44" s="184"/>
      <c r="UBP44" s="184"/>
      <c r="UBQ44" s="184"/>
      <c r="UBR44" s="184"/>
      <c r="UBS44" s="184"/>
      <c r="UBT44" s="184"/>
      <c r="UCG44" s="215"/>
      <c r="UCH44" s="202"/>
      <c r="UCI44" s="203"/>
      <c r="UCJ44" s="203"/>
      <c r="UCK44" s="203"/>
      <c r="UCL44" s="204"/>
      <c r="UCM44" s="200"/>
      <c r="UCN44" s="227"/>
      <c r="UCO44" s="184"/>
      <c r="UCP44" s="184"/>
      <c r="UCQ44" s="184"/>
      <c r="UCR44" s="184"/>
      <c r="UCS44" s="184"/>
      <c r="UCT44" s="184"/>
      <c r="UCU44" s="184"/>
      <c r="UCV44" s="184"/>
      <c r="UCW44" s="184"/>
      <c r="UCX44" s="184"/>
      <c r="UCY44" s="184"/>
      <c r="UCZ44" s="184"/>
      <c r="UDA44" s="184"/>
      <c r="UDB44" s="184"/>
      <c r="UDC44" s="184"/>
      <c r="UDD44" s="184"/>
      <c r="UDE44" s="184"/>
      <c r="UDF44" s="184"/>
      <c r="UDG44" s="184"/>
      <c r="UDH44" s="184"/>
      <c r="UDI44" s="184"/>
      <c r="UDJ44" s="184"/>
      <c r="UDK44" s="184"/>
      <c r="UDL44" s="184"/>
      <c r="UDM44" s="184"/>
      <c r="UDN44" s="184"/>
      <c r="UDO44" s="184"/>
      <c r="UDP44" s="184"/>
      <c r="UDQ44" s="184"/>
      <c r="UDR44" s="184"/>
      <c r="UDS44" s="184"/>
      <c r="UDT44" s="184"/>
      <c r="UDU44" s="184"/>
      <c r="UDV44" s="184"/>
      <c r="UDW44" s="184"/>
      <c r="UDX44" s="184"/>
      <c r="UDY44" s="184"/>
      <c r="UDZ44" s="184"/>
      <c r="UEA44" s="184"/>
      <c r="UEB44" s="184"/>
      <c r="UEC44" s="184"/>
      <c r="UED44" s="184"/>
      <c r="UEE44" s="184"/>
      <c r="UEF44" s="184"/>
      <c r="UEG44" s="184"/>
      <c r="UEH44" s="184"/>
      <c r="UEI44" s="184"/>
      <c r="UEJ44" s="184"/>
      <c r="UEK44" s="184"/>
      <c r="UEL44" s="184"/>
      <c r="UEM44" s="184"/>
      <c r="UEN44" s="184"/>
      <c r="UEO44" s="184"/>
      <c r="UEP44" s="184"/>
      <c r="UEQ44" s="184"/>
      <c r="UER44" s="184"/>
      <c r="UES44" s="184"/>
      <c r="UET44" s="184"/>
      <c r="UEU44" s="184"/>
      <c r="UEV44" s="184"/>
      <c r="UEW44" s="184"/>
      <c r="UEX44" s="184"/>
      <c r="UEY44" s="184"/>
      <c r="UEZ44" s="184"/>
      <c r="UFM44" s="215"/>
      <c r="UFN44" s="202"/>
      <c r="UFO44" s="203"/>
      <c r="UFP44" s="203"/>
      <c r="UFQ44" s="203"/>
      <c r="UFR44" s="204"/>
      <c r="UFS44" s="200"/>
      <c r="UFT44" s="227"/>
      <c r="UFU44" s="184"/>
      <c r="UFV44" s="184"/>
      <c r="UFW44" s="184"/>
      <c r="UFX44" s="184"/>
      <c r="UFY44" s="184"/>
      <c r="UFZ44" s="184"/>
      <c r="UGA44" s="184"/>
      <c r="UGB44" s="184"/>
      <c r="UGC44" s="184"/>
      <c r="UGD44" s="184"/>
      <c r="UGE44" s="184"/>
      <c r="UGF44" s="184"/>
      <c r="UGG44" s="184"/>
      <c r="UGH44" s="184"/>
      <c r="UGI44" s="184"/>
      <c r="UGJ44" s="184"/>
      <c r="UGK44" s="184"/>
      <c r="UGL44" s="184"/>
      <c r="UGM44" s="184"/>
      <c r="UGN44" s="184"/>
      <c r="UGO44" s="184"/>
      <c r="UGP44" s="184"/>
      <c r="UGQ44" s="184"/>
      <c r="UGR44" s="184"/>
      <c r="UGS44" s="184"/>
      <c r="UGT44" s="184"/>
      <c r="UGU44" s="184"/>
      <c r="UGV44" s="184"/>
      <c r="UGW44" s="184"/>
      <c r="UGX44" s="184"/>
      <c r="UGY44" s="184"/>
      <c r="UGZ44" s="184"/>
      <c r="UHA44" s="184"/>
      <c r="UHB44" s="184"/>
      <c r="UHC44" s="184"/>
      <c r="UHD44" s="184"/>
      <c r="UHE44" s="184"/>
      <c r="UHF44" s="184"/>
      <c r="UHG44" s="184"/>
      <c r="UHH44" s="184"/>
      <c r="UHI44" s="184"/>
      <c r="UHJ44" s="184"/>
      <c r="UHK44" s="184"/>
      <c r="UHL44" s="184"/>
      <c r="UHM44" s="184"/>
      <c r="UHN44" s="184"/>
      <c r="UHO44" s="184"/>
      <c r="UHP44" s="184"/>
      <c r="UHQ44" s="184"/>
      <c r="UHR44" s="184"/>
      <c r="UHS44" s="184"/>
      <c r="UHT44" s="184"/>
      <c r="UHU44" s="184"/>
      <c r="UHV44" s="184"/>
      <c r="UHW44" s="184"/>
      <c r="UHX44" s="184"/>
      <c r="UHY44" s="184"/>
      <c r="UHZ44" s="184"/>
      <c r="UIA44" s="184"/>
      <c r="UIB44" s="184"/>
      <c r="UIC44" s="184"/>
      <c r="UID44" s="184"/>
      <c r="UIE44" s="184"/>
      <c r="UIF44" s="184"/>
      <c r="UIS44" s="215"/>
      <c r="UIT44" s="202"/>
      <c r="UIU44" s="203"/>
      <c r="UIV44" s="203"/>
      <c r="UIW44" s="203"/>
      <c r="UIX44" s="204"/>
      <c r="UIY44" s="200"/>
      <c r="UIZ44" s="227"/>
      <c r="UJA44" s="184"/>
      <c r="UJB44" s="184"/>
      <c r="UJC44" s="184"/>
      <c r="UJD44" s="184"/>
      <c r="UJE44" s="184"/>
      <c r="UJF44" s="184"/>
      <c r="UJG44" s="184"/>
      <c r="UJH44" s="184"/>
      <c r="UJI44" s="184"/>
      <c r="UJJ44" s="184"/>
      <c r="UJK44" s="184"/>
      <c r="UJL44" s="184"/>
      <c r="UJM44" s="184"/>
      <c r="UJN44" s="184"/>
      <c r="UJO44" s="184"/>
      <c r="UJP44" s="184"/>
      <c r="UJQ44" s="184"/>
      <c r="UJR44" s="184"/>
      <c r="UJS44" s="184"/>
      <c r="UJT44" s="184"/>
      <c r="UJU44" s="184"/>
      <c r="UJV44" s="184"/>
      <c r="UJW44" s="184"/>
      <c r="UJX44" s="184"/>
      <c r="UJY44" s="184"/>
      <c r="UJZ44" s="184"/>
      <c r="UKA44" s="184"/>
      <c r="UKB44" s="184"/>
      <c r="UKC44" s="184"/>
      <c r="UKD44" s="184"/>
      <c r="UKE44" s="184"/>
      <c r="UKF44" s="184"/>
      <c r="UKG44" s="184"/>
      <c r="UKH44" s="184"/>
      <c r="UKI44" s="184"/>
      <c r="UKJ44" s="184"/>
      <c r="UKK44" s="184"/>
      <c r="UKL44" s="184"/>
      <c r="UKM44" s="184"/>
      <c r="UKN44" s="184"/>
      <c r="UKO44" s="184"/>
      <c r="UKP44" s="184"/>
      <c r="UKQ44" s="184"/>
      <c r="UKR44" s="184"/>
      <c r="UKS44" s="184"/>
      <c r="UKT44" s="184"/>
      <c r="UKU44" s="184"/>
      <c r="UKV44" s="184"/>
      <c r="UKW44" s="184"/>
      <c r="UKX44" s="184"/>
      <c r="UKY44" s="184"/>
      <c r="UKZ44" s="184"/>
      <c r="ULA44" s="184"/>
      <c r="ULB44" s="184"/>
      <c r="ULC44" s="184"/>
      <c r="ULD44" s="184"/>
      <c r="ULE44" s="184"/>
      <c r="ULF44" s="184"/>
      <c r="ULG44" s="184"/>
      <c r="ULH44" s="184"/>
      <c r="ULI44" s="184"/>
      <c r="ULJ44" s="184"/>
      <c r="ULK44" s="184"/>
      <c r="ULL44" s="184"/>
      <c r="ULY44" s="215"/>
      <c r="ULZ44" s="202"/>
      <c r="UMA44" s="203"/>
      <c r="UMB44" s="203"/>
      <c r="UMC44" s="203"/>
      <c r="UMD44" s="204"/>
      <c r="UME44" s="200"/>
      <c r="UMF44" s="227"/>
      <c r="UMG44" s="184"/>
      <c r="UMH44" s="184"/>
      <c r="UMI44" s="184"/>
      <c r="UMJ44" s="184"/>
      <c r="UMK44" s="184"/>
      <c r="UML44" s="184"/>
      <c r="UMM44" s="184"/>
      <c r="UMN44" s="184"/>
      <c r="UMO44" s="184"/>
      <c r="UMP44" s="184"/>
      <c r="UMQ44" s="184"/>
      <c r="UMR44" s="184"/>
      <c r="UMS44" s="184"/>
      <c r="UMT44" s="184"/>
      <c r="UMU44" s="184"/>
      <c r="UMV44" s="184"/>
      <c r="UMW44" s="184"/>
      <c r="UMX44" s="184"/>
      <c r="UMY44" s="184"/>
      <c r="UMZ44" s="184"/>
      <c r="UNA44" s="184"/>
      <c r="UNB44" s="184"/>
      <c r="UNC44" s="184"/>
      <c r="UND44" s="184"/>
      <c r="UNE44" s="184"/>
      <c r="UNF44" s="184"/>
      <c r="UNG44" s="184"/>
      <c r="UNH44" s="184"/>
      <c r="UNI44" s="184"/>
      <c r="UNJ44" s="184"/>
      <c r="UNK44" s="184"/>
      <c r="UNL44" s="184"/>
      <c r="UNM44" s="184"/>
      <c r="UNN44" s="184"/>
      <c r="UNO44" s="184"/>
      <c r="UNP44" s="184"/>
      <c r="UNQ44" s="184"/>
      <c r="UNR44" s="184"/>
      <c r="UNS44" s="184"/>
      <c r="UNT44" s="184"/>
      <c r="UNU44" s="184"/>
      <c r="UNV44" s="184"/>
      <c r="UNW44" s="184"/>
      <c r="UNX44" s="184"/>
      <c r="UNY44" s="184"/>
      <c r="UNZ44" s="184"/>
      <c r="UOA44" s="184"/>
      <c r="UOB44" s="184"/>
      <c r="UOC44" s="184"/>
      <c r="UOD44" s="184"/>
      <c r="UOE44" s="184"/>
      <c r="UOF44" s="184"/>
      <c r="UOG44" s="184"/>
      <c r="UOH44" s="184"/>
      <c r="UOI44" s="184"/>
      <c r="UOJ44" s="184"/>
      <c r="UOK44" s="184"/>
      <c r="UOL44" s="184"/>
      <c r="UOM44" s="184"/>
      <c r="UON44" s="184"/>
      <c r="UOO44" s="184"/>
      <c r="UOP44" s="184"/>
      <c r="UOQ44" s="184"/>
      <c r="UOR44" s="184"/>
      <c r="UPE44" s="215"/>
      <c r="UPF44" s="202"/>
      <c r="UPG44" s="203"/>
      <c r="UPH44" s="203"/>
      <c r="UPI44" s="203"/>
      <c r="UPJ44" s="204"/>
      <c r="UPK44" s="200"/>
      <c r="UPL44" s="227"/>
      <c r="UPM44" s="184"/>
      <c r="UPN44" s="184"/>
      <c r="UPO44" s="184"/>
      <c r="UPP44" s="184"/>
      <c r="UPQ44" s="184"/>
      <c r="UPR44" s="184"/>
      <c r="UPS44" s="184"/>
      <c r="UPT44" s="184"/>
      <c r="UPU44" s="184"/>
      <c r="UPV44" s="184"/>
      <c r="UPW44" s="184"/>
      <c r="UPX44" s="184"/>
      <c r="UPY44" s="184"/>
      <c r="UPZ44" s="184"/>
      <c r="UQA44" s="184"/>
      <c r="UQB44" s="184"/>
      <c r="UQC44" s="184"/>
      <c r="UQD44" s="184"/>
      <c r="UQE44" s="184"/>
      <c r="UQF44" s="184"/>
      <c r="UQG44" s="184"/>
      <c r="UQH44" s="184"/>
      <c r="UQI44" s="184"/>
      <c r="UQJ44" s="184"/>
      <c r="UQK44" s="184"/>
      <c r="UQL44" s="184"/>
      <c r="UQM44" s="184"/>
      <c r="UQN44" s="184"/>
      <c r="UQO44" s="184"/>
      <c r="UQP44" s="184"/>
      <c r="UQQ44" s="184"/>
      <c r="UQR44" s="184"/>
      <c r="UQS44" s="184"/>
      <c r="UQT44" s="184"/>
      <c r="UQU44" s="184"/>
      <c r="UQV44" s="184"/>
      <c r="UQW44" s="184"/>
      <c r="UQX44" s="184"/>
      <c r="UQY44" s="184"/>
      <c r="UQZ44" s="184"/>
      <c r="URA44" s="184"/>
      <c r="URB44" s="184"/>
      <c r="URC44" s="184"/>
      <c r="URD44" s="184"/>
      <c r="URE44" s="184"/>
      <c r="URF44" s="184"/>
      <c r="URG44" s="184"/>
      <c r="URH44" s="184"/>
      <c r="URI44" s="184"/>
      <c r="URJ44" s="184"/>
      <c r="URK44" s="184"/>
      <c r="URL44" s="184"/>
      <c r="URM44" s="184"/>
      <c r="URN44" s="184"/>
      <c r="URO44" s="184"/>
      <c r="URP44" s="184"/>
      <c r="URQ44" s="184"/>
      <c r="URR44" s="184"/>
      <c r="URS44" s="184"/>
      <c r="URT44" s="184"/>
      <c r="URU44" s="184"/>
      <c r="URV44" s="184"/>
      <c r="URW44" s="184"/>
      <c r="URX44" s="184"/>
      <c r="USK44" s="215"/>
      <c r="USL44" s="202"/>
      <c r="USM44" s="203"/>
      <c r="USN44" s="203"/>
      <c r="USO44" s="203"/>
      <c r="USP44" s="204"/>
      <c r="USQ44" s="200"/>
      <c r="USR44" s="227"/>
      <c r="USS44" s="184"/>
      <c r="UST44" s="184"/>
      <c r="USU44" s="184"/>
      <c r="USV44" s="184"/>
      <c r="USW44" s="184"/>
      <c r="USX44" s="184"/>
      <c r="USY44" s="184"/>
      <c r="USZ44" s="184"/>
      <c r="UTA44" s="184"/>
      <c r="UTB44" s="184"/>
      <c r="UTC44" s="184"/>
      <c r="UTD44" s="184"/>
      <c r="UTE44" s="184"/>
      <c r="UTF44" s="184"/>
      <c r="UTG44" s="184"/>
      <c r="UTH44" s="184"/>
      <c r="UTI44" s="184"/>
      <c r="UTJ44" s="184"/>
      <c r="UTK44" s="184"/>
      <c r="UTL44" s="184"/>
      <c r="UTM44" s="184"/>
      <c r="UTN44" s="184"/>
      <c r="UTO44" s="184"/>
      <c r="UTP44" s="184"/>
      <c r="UTQ44" s="184"/>
      <c r="UTR44" s="184"/>
      <c r="UTS44" s="184"/>
      <c r="UTT44" s="184"/>
      <c r="UTU44" s="184"/>
      <c r="UTV44" s="184"/>
      <c r="UTW44" s="184"/>
      <c r="UTX44" s="184"/>
      <c r="UTY44" s="184"/>
      <c r="UTZ44" s="184"/>
      <c r="UUA44" s="184"/>
      <c r="UUB44" s="184"/>
      <c r="UUC44" s="184"/>
      <c r="UUD44" s="184"/>
      <c r="UUE44" s="184"/>
      <c r="UUF44" s="184"/>
      <c r="UUG44" s="184"/>
      <c r="UUH44" s="184"/>
      <c r="UUI44" s="184"/>
      <c r="UUJ44" s="184"/>
      <c r="UUK44" s="184"/>
      <c r="UUL44" s="184"/>
      <c r="UUM44" s="184"/>
      <c r="UUN44" s="184"/>
      <c r="UUO44" s="184"/>
      <c r="UUP44" s="184"/>
      <c r="UUQ44" s="184"/>
      <c r="UUR44" s="184"/>
      <c r="UUS44" s="184"/>
      <c r="UUT44" s="184"/>
      <c r="UUU44" s="184"/>
      <c r="UUV44" s="184"/>
      <c r="UUW44" s="184"/>
      <c r="UUX44" s="184"/>
      <c r="UUY44" s="184"/>
      <c r="UUZ44" s="184"/>
      <c r="UVA44" s="184"/>
      <c r="UVB44" s="184"/>
      <c r="UVC44" s="184"/>
      <c r="UVD44" s="184"/>
      <c r="UVQ44" s="215"/>
      <c r="UVR44" s="202"/>
      <c r="UVS44" s="203"/>
      <c r="UVT44" s="203"/>
      <c r="UVU44" s="203"/>
      <c r="UVV44" s="204"/>
      <c r="UVW44" s="200"/>
      <c r="UVX44" s="227"/>
      <c r="UVY44" s="184"/>
      <c r="UVZ44" s="184"/>
      <c r="UWA44" s="184"/>
      <c r="UWB44" s="184"/>
      <c r="UWC44" s="184"/>
      <c r="UWD44" s="184"/>
      <c r="UWE44" s="184"/>
      <c r="UWF44" s="184"/>
      <c r="UWG44" s="184"/>
      <c r="UWH44" s="184"/>
      <c r="UWI44" s="184"/>
      <c r="UWJ44" s="184"/>
      <c r="UWK44" s="184"/>
      <c r="UWL44" s="184"/>
      <c r="UWM44" s="184"/>
      <c r="UWN44" s="184"/>
      <c r="UWO44" s="184"/>
      <c r="UWP44" s="184"/>
      <c r="UWQ44" s="184"/>
      <c r="UWR44" s="184"/>
      <c r="UWS44" s="184"/>
      <c r="UWT44" s="184"/>
      <c r="UWU44" s="184"/>
      <c r="UWV44" s="184"/>
      <c r="UWW44" s="184"/>
      <c r="UWX44" s="184"/>
      <c r="UWY44" s="184"/>
      <c r="UWZ44" s="184"/>
      <c r="UXA44" s="184"/>
      <c r="UXB44" s="184"/>
      <c r="UXC44" s="184"/>
      <c r="UXD44" s="184"/>
      <c r="UXE44" s="184"/>
      <c r="UXF44" s="184"/>
      <c r="UXG44" s="184"/>
      <c r="UXH44" s="184"/>
      <c r="UXI44" s="184"/>
      <c r="UXJ44" s="184"/>
      <c r="UXK44" s="184"/>
      <c r="UXL44" s="184"/>
      <c r="UXM44" s="184"/>
      <c r="UXN44" s="184"/>
      <c r="UXO44" s="184"/>
      <c r="UXP44" s="184"/>
      <c r="UXQ44" s="184"/>
      <c r="UXR44" s="184"/>
      <c r="UXS44" s="184"/>
      <c r="UXT44" s="184"/>
      <c r="UXU44" s="184"/>
      <c r="UXV44" s="184"/>
      <c r="UXW44" s="184"/>
      <c r="UXX44" s="184"/>
      <c r="UXY44" s="184"/>
      <c r="UXZ44" s="184"/>
      <c r="UYA44" s="184"/>
      <c r="UYB44" s="184"/>
      <c r="UYC44" s="184"/>
      <c r="UYD44" s="184"/>
      <c r="UYE44" s="184"/>
      <c r="UYF44" s="184"/>
      <c r="UYG44" s="184"/>
      <c r="UYH44" s="184"/>
      <c r="UYI44" s="184"/>
      <c r="UYJ44" s="184"/>
      <c r="UYW44" s="215"/>
      <c r="UYX44" s="202"/>
      <c r="UYY44" s="203"/>
      <c r="UYZ44" s="203"/>
      <c r="UZA44" s="203"/>
      <c r="UZB44" s="204"/>
      <c r="UZC44" s="200"/>
      <c r="UZD44" s="227"/>
      <c r="UZE44" s="184"/>
      <c r="UZF44" s="184"/>
      <c r="UZG44" s="184"/>
      <c r="UZH44" s="184"/>
      <c r="UZI44" s="184"/>
      <c r="UZJ44" s="184"/>
      <c r="UZK44" s="184"/>
      <c r="UZL44" s="184"/>
      <c r="UZM44" s="184"/>
      <c r="UZN44" s="184"/>
      <c r="UZO44" s="184"/>
      <c r="UZP44" s="184"/>
      <c r="UZQ44" s="184"/>
      <c r="UZR44" s="184"/>
      <c r="UZS44" s="184"/>
      <c r="UZT44" s="184"/>
      <c r="UZU44" s="184"/>
      <c r="UZV44" s="184"/>
      <c r="UZW44" s="184"/>
      <c r="UZX44" s="184"/>
      <c r="UZY44" s="184"/>
      <c r="UZZ44" s="184"/>
      <c r="VAA44" s="184"/>
      <c r="VAB44" s="184"/>
      <c r="VAC44" s="184"/>
      <c r="VAD44" s="184"/>
      <c r="VAE44" s="184"/>
      <c r="VAF44" s="184"/>
      <c r="VAG44" s="184"/>
      <c r="VAH44" s="184"/>
      <c r="VAI44" s="184"/>
      <c r="VAJ44" s="184"/>
      <c r="VAK44" s="184"/>
      <c r="VAL44" s="184"/>
      <c r="VAM44" s="184"/>
      <c r="VAN44" s="184"/>
      <c r="VAO44" s="184"/>
      <c r="VAP44" s="184"/>
      <c r="VAQ44" s="184"/>
      <c r="VAR44" s="184"/>
      <c r="VAS44" s="184"/>
      <c r="VAT44" s="184"/>
      <c r="VAU44" s="184"/>
      <c r="VAV44" s="184"/>
      <c r="VAW44" s="184"/>
      <c r="VAX44" s="184"/>
      <c r="VAY44" s="184"/>
      <c r="VAZ44" s="184"/>
      <c r="VBA44" s="184"/>
      <c r="VBB44" s="184"/>
      <c r="VBC44" s="184"/>
      <c r="VBD44" s="184"/>
      <c r="VBE44" s="184"/>
      <c r="VBF44" s="184"/>
      <c r="VBG44" s="184"/>
      <c r="VBH44" s="184"/>
      <c r="VBI44" s="184"/>
      <c r="VBJ44" s="184"/>
      <c r="VBK44" s="184"/>
      <c r="VBL44" s="184"/>
      <c r="VBM44" s="184"/>
      <c r="VBN44" s="184"/>
      <c r="VBO44" s="184"/>
      <c r="VBP44" s="184"/>
      <c r="VCC44" s="215"/>
      <c r="VCD44" s="202"/>
      <c r="VCE44" s="203"/>
      <c r="VCF44" s="203"/>
      <c r="VCG44" s="203"/>
      <c r="VCH44" s="204"/>
      <c r="VCI44" s="200"/>
      <c r="VCJ44" s="227"/>
      <c r="VCK44" s="184"/>
      <c r="VCL44" s="184"/>
      <c r="VCM44" s="184"/>
      <c r="VCN44" s="184"/>
      <c r="VCO44" s="184"/>
      <c r="VCP44" s="184"/>
      <c r="VCQ44" s="184"/>
      <c r="VCR44" s="184"/>
      <c r="VCS44" s="184"/>
      <c r="VCT44" s="184"/>
      <c r="VCU44" s="184"/>
      <c r="VCV44" s="184"/>
      <c r="VCW44" s="184"/>
      <c r="VCX44" s="184"/>
      <c r="VCY44" s="184"/>
      <c r="VCZ44" s="184"/>
      <c r="VDA44" s="184"/>
      <c r="VDB44" s="184"/>
      <c r="VDC44" s="184"/>
      <c r="VDD44" s="184"/>
      <c r="VDE44" s="184"/>
      <c r="VDF44" s="184"/>
      <c r="VDG44" s="184"/>
      <c r="VDH44" s="184"/>
      <c r="VDI44" s="184"/>
      <c r="VDJ44" s="184"/>
      <c r="VDK44" s="184"/>
      <c r="VDL44" s="184"/>
      <c r="VDM44" s="184"/>
      <c r="VDN44" s="184"/>
      <c r="VDO44" s="184"/>
      <c r="VDP44" s="184"/>
      <c r="VDQ44" s="184"/>
      <c r="VDR44" s="184"/>
      <c r="VDS44" s="184"/>
      <c r="VDT44" s="184"/>
      <c r="VDU44" s="184"/>
      <c r="VDV44" s="184"/>
      <c r="VDW44" s="184"/>
      <c r="VDX44" s="184"/>
      <c r="VDY44" s="184"/>
      <c r="VDZ44" s="184"/>
      <c r="VEA44" s="184"/>
      <c r="VEB44" s="184"/>
      <c r="VEC44" s="184"/>
      <c r="VED44" s="184"/>
      <c r="VEE44" s="184"/>
      <c r="VEF44" s="184"/>
      <c r="VEG44" s="184"/>
      <c r="VEH44" s="184"/>
      <c r="VEI44" s="184"/>
      <c r="VEJ44" s="184"/>
      <c r="VEK44" s="184"/>
      <c r="VEL44" s="184"/>
      <c r="VEM44" s="184"/>
      <c r="VEN44" s="184"/>
      <c r="VEO44" s="184"/>
      <c r="VEP44" s="184"/>
      <c r="VEQ44" s="184"/>
      <c r="VER44" s="184"/>
      <c r="VES44" s="184"/>
      <c r="VET44" s="184"/>
      <c r="VEU44" s="184"/>
      <c r="VEV44" s="184"/>
      <c r="VFI44" s="215"/>
      <c r="VFJ44" s="202"/>
      <c r="VFK44" s="203"/>
      <c r="VFL44" s="203"/>
      <c r="VFM44" s="203"/>
      <c r="VFN44" s="204"/>
      <c r="VFO44" s="200"/>
      <c r="VFP44" s="227"/>
      <c r="VFQ44" s="184"/>
      <c r="VFR44" s="184"/>
      <c r="VFS44" s="184"/>
      <c r="VFT44" s="184"/>
      <c r="VFU44" s="184"/>
      <c r="VFV44" s="184"/>
      <c r="VFW44" s="184"/>
      <c r="VFX44" s="184"/>
      <c r="VFY44" s="184"/>
      <c r="VFZ44" s="184"/>
      <c r="VGA44" s="184"/>
      <c r="VGB44" s="184"/>
      <c r="VGC44" s="184"/>
      <c r="VGD44" s="184"/>
      <c r="VGE44" s="184"/>
      <c r="VGF44" s="184"/>
      <c r="VGG44" s="184"/>
      <c r="VGH44" s="184"/>
      <c r="VGI44" s="184"/>
      <c r="VGJ44" s="184"/>
      <c r="VGK44" s="184"/>
      <c r="VGL44" s="184"/>
      <c r="VGM44" s="184"/>
      <c r="VGN44" s="184"/>
      <c r="VGO44" s="184"/>
      <c r="VGP44" s="184"/>
      <c r="VGQ44" s="184"/>
      <c r="VGR44" s="184"/>
      <c r="VGS44" s="184"/>
      <c r="VGT44" s="184"/>
      <c r="VGU44" s="184"/>
      <c r="VGV44" s="184"/>
      <c r="VGW44" s="184"/>
      <c r="VGX44" s="184"/>
      <c r="VGY44" s="184"/>
      <c r="VGZ44" s="184"/>
      <c r="VHA44" s="184"/>
      <c r="VHB44" s="184"/>
      <c r="VHC44" s="184"/>
      <c r="VHD44" s="184"/>
      <c r="VHE44" s="184"/>
      <c r="VHF44" s="184"/>
      <c r="VHG44" s="184"/>
      <c r="VHH44" s="184"/>
      <c r="VHI44" s="184"/>
      <c r="VHJ44" s="184"/>
      <c r="VHK44" s="184"/>
      <c r="VHL44" s="184"/>
      <c r="VHM44" s="184"/>
      <c r="VHN44" s="184"/>
      <c r="VHO44" s="184"/>
      <c r="VHP44" s="184"/>
      <c r="VHQ44" s="184"/>
      <c r="VHR44" s="184"/>
      <c r="VHS44" s="184"/>
      <c r="VHT44" s="184"/>
      <c r="VHU44" s="184"/>
      <c r="VHV44" s="184"/>
      <c r="VHW44" s="184"/>
      <c r="VHX44" s="184"/>
      <c r="VHY44" s="184"/>
      <c r="VHZ44" s="184"/>
      <c r="VIA44" s="184"/>
      <c r="VIB44" s="184"/>
      <c r="VIO44" s="215"/>
      <c r="VIP44" s="202"/>
      <c r="VIQ44" s="203"/>
      <c r="VIR44" s="203"/>
      <c r="VIS44" s="203"/>
      <c r="VIT44" s="204"/>
      <c r="VIU44" s="200"/>
      <c r="VIV44" s="227"/>
      <c r="VIW44" s="184"/>
      <c r="VIX44" s="184"/>
      <c r="VIY44" s="184"/>
      <c r="VIZ44" s="184"/>
      <c r="VJA44" s="184"/>
      <c r="VJB44" s="184"/>
      <c r="VJC44" s="184"/>
      <c r="VJD44" s="184"/>
      <c r="VJE44" s="184"/>
      <c r="VJF44" s="184"/>
      <c r="VJG44" s="184"/>
      <c r="VJH44" s="184"/>
      <c r="VJI44" s="184"/>
      <c r="VJJ44" s="184"/>
      <c r="VJK44" s="184"/>
      <c r="VJL44" s="184"/>
      <c r="VJM44" s="184"/>
      <c r="VJN44" s="184"/>
      <c r="VJO44" s="184"/>
      <c r="VJP44" s="184"/>
      <c r="VJQ44" s="184"/>
      <c r="VJR44" s="184"/>
      <c r="VJS44" s="184"/>
      <c r="VJT44" s="184"/>
      <c r="VJU44" s="184"/>
      <c r="VJV44" s="184"/>
      <c r="VJW44" s="184"/>
      <c r="VJX44" s="184"/>
      <c r="VJY44" s="184"/>
      <c r="VJZ44" s="184"/>
      <c r="VKA44" s="184"/>
      <c r="VKB44" s="184"/>
      <c r="VKC44" s="184"/>
      <c r="VKD44" s="184"/>
      <c r="VKE44" s="184"/>
      <c r="VKF44" s="184"/>
      <c r="VKG44" s="184"/>
      <c r="VKH44" s="184"/>
      <c r="VKI44" s="184"/>
      <c r="VKJ44" s="184"/>
      <c r="VKK44" s="184"/>
      <c r="VKL44" s="184"/>
      <c r="VKM44" s="184"/>
      <c r="VKN44" s="184"/>
      <c r="VKO44" s="184"/>
      <c r="VKP44" s="184"/>
      <c r="VKQ44" s="184"/>
      <c r="VKR44" s="184"/>
      <c r="VKS44" s="184"/>
      <c r="VKT44" s="184"/>
      <c r="VKU44" s="184"/>
      <c r="VKV44" s="184"/>
      <c r="VKW44" s="184"/>
      <c r="VKX44" s="184"/>
      <c r="VKY44" s="184"/>
      <c r="VKZ44" s="184"/>
      <c r="VLA44" s="184"/>
      <c r="VLB44" s="184"/>
      <c r="VLC44" s="184"/>
      <c r="VLD44" s="184"/>
      <c r="VLE44" s="184"/>
      <c r="VLF44" s="184"/>
      <c r="VLG44" s="184"/>
      <c r="VLH44" s="184"/>
      <c r="VLU44" s="215"/>
      <c r="VLV44" s="202"/>
      <c r="VLW44" s="203"/>
      <c r="VLX44" s="203"/>
      <c r="VLY44" s="203"/>
      <c r="VLZ44" s="204"/>
      <c r="VMA44" s="200"/>
      <c r="VMB44" s="227"/>
      <c r="VMC44" s="184"/>
      <c r="VMD44" s="184"/>
      <c r="VME44" s="184"/>
      <c r="VMF44" s="184"/>
      <c r="VMG44" s="184"/>
      <c r="VMH44" s="184"/>
      <c r="VMI44" s="184"/>
      <c r="VMJ44" s="184"/>
      <c r="VMK44" s="184"/>
      <c r="VML44" s="184"/>
      <c r="VMM44" s="184"/>
      <c r="VMN44" s="184"/>
      <c r="VMO44" s="184"/>
      <c r="VMP44" s="184"/>
      <c r="VMQ44" s="184"/>
      <c r="VMR44" s="184"/>
      <c r="VMS44" s="184"/>
      <c r="VMT44" s="184"/>
      <c r="VMU44" s="184"/>
      <c r="VMV44" s="184"/>
      <c r="VMW44" s="184"/>
      <c r="VMX44" s="184"/>
      <c r="VMY44" s="184"/>
      <c r="VMZ44" s="184"/>
      <c r="VNA44" s="184"/>
      <c r="VNB44" s="184"/>
      <c r="VNC44" s="184"/>
      <c r="VND44" s="184"/>
      <c r="VNE44" s="184"/>
      <c r="VNF44" s="184"/>
      <c r="VNG44" s="184"/>
      <c r="VNH44" s="184"/>
      <c r="VNI44" s="184"/>
      <c r="VNJ44" s="184"/>
      <c r="VNK44" s="184"/>
      <c r="VNL44" s="184"/>
      <c r="VNM44" s="184"/>
      <c r="VNN44" s="184"/>
      <c r="VNO44" s="184"/>
      <c r="VNP44" s="184"/>
      <c r="VNQ44" s="184"/>
      <c r="VNR44" s="184"/>
      <c r="VNS44" s="184"/>
      <c r="VNT44" s="184"/>
      <c r="VNU44" s="184"/>
      <c r="VNV44" s="184"/>
      <c r="VNW44" s="184"/>
      <c r="VNX44" s="184"/>
      <c r="VNY44" s="184"/>
      <c r="VNZ44" s="184"/>
      <c r="VOA44" s="184"/>
      <c r="VOB44" s="184"/>
      <c r="VOC44" s="184"/>
      <c r="VOD44" s="184"/>
      <c r="VOE44" s="184"/>
      <c r="VOF44" s="184"/>
      <c r="VOG44" s="184"/>
      <c r="VOH44" s="184"/>
      <c r="VOI44" s="184"/>
      <c r="VOJ44" s="184"/>
      <c r="VOK44" s="184"/>
      <c r="VOL44" s="184"/>
      <c r="VOM44" s="184"/>
      <c r="VON44" s="184"/>
      <c r="VPA44" s="215"/>
      <c r="VPB44" s="202"/>
      <c r="VPC44" s="203"/>
      <c r="VPD44" s="203"/>
      <c r="VPE44" s="203"/>
      <c r="VPF44" s="204"/>
      <c r="VPG44" s="200"/>
      <c r="VPH44" s="227"/>
      <c r="VPI44" s="184"/>
      <c r="VPJ44" s="184"/>
      <c r="VPK44" s="184"/>
      <c r="VPL44" s="184"/>
      <c r="VPM44" s="184"/>
      <c r="VPN44" s="184"/>
      <c r="VPO44" s="184"/>
      <c r="VPP44" s="184"/>
      <c r="VPQ44" s="184"/>
      <c r="VPR44" s="184"/>
      <c r="VPS44" s="184"/>
      <c r="VPT44" s="184"/>
      <c r="VPU44" s="184"/>
      <c r="VPV44" s="184"/>
      <c r="VPW44" s="184"/>
      <c r="VPX44" s="184"/>
      <c r="VPY44" s="184"/>
      <c r="VPZ44" s="184"/>
      <c r="VQA44" s="184"/>
      <c r="VQB44" s="184"/>
      <c r="VQC44" s="184"/>
      <c r="VQD44" s="184"/>
      <c r="VQE44" s="184"/>
      <c r="VQF44" s="184"/>
      <c r="VQG44" s="184"/>
      <c r="VQH44" s="184"/>
      <c r="VQI44" s="184"/>
      <c r="VQJ44" s="184"/>
      <c r="VQK44" s="184"/>
      <c r="VQL44" s="184"/>
      <c r="VQM44" s="184"/>
      <c r="VQN44" s="184"/>
      <c r="VQO44" s="184"/>
      <c r="VQP44" s="184"/>
      <c r="VQQ44" s="184"/>
      <c r="VQR44" s="184"/>
      <c r="VQS44" s="184"/>
      <c r="VQT44" s="184"/>
      <c r="VQU44" s="184"/>
      <c r="VQV44" s="184"/>
      <c r="VQW44" s="184"/>
      <c r="VQX44" s="184"/>
      <c r="VQY44" s="184"/>
      <c r="VQZ44" s="184"/>
      <c r="VRA44" s="184"/>
      <c r="VRB44" s="184"/>
      <c r="VRC44" s="184"/>
      <c r="VRD44" s="184"/>
      <c r="VRE44" s="184"/>
      <c r="VRF44" s="184"/>
      <c r="VRG44" s="184"/>
      <c r="VRH44" s="184"/>
      <c r="VRI44" s="184"/>
      <c r="VRJ44" s="184"/>
      <c r="VRK44" s="184"/>
      <c r="VRL44" s="184"/>
      <c r="VRM44" s="184"/>
      <c r="VRN44" s="184"/>
      <c r="VRO44" s="184"/>
      <c r="VRP44" s="184"/>
      <c r="VRQ44" s="184"/>
      <c r="VRR44" s="184"/>
      <c r="VRS44" s="184"/>
      <c r="VRT44" s="184"/>
      <c r="VSG44" s="215"/>
      <c r="VSH44" s="202"/>
      <c r="VSI44" s="203"/>
      <c r="VSJ44" s="203"/>
      <c r="VSK44" s="203"/>
      <c r="VSL44" s="204"/>
      <c r="VSM44" s="200"/>
      <c r="VSN44" s="227"/>
      <c r="VSO44" s="184"/>
      <c r="VSP44" s="184"/>
      <c r="VSQ44" s="184"/>
      <c r="VSR44" s="184"/>
      <c r="VSS44" s="184"/>
      <c r="VST44" s="184"/>
      <c r="VSU44" s="184"/>
      <c r="VSV44" s="184"/>
      <c r="VSW44" s="184"/>
      <c r="VSX44" s="184"/>
      <c r="VSY44" s="184"/>
      <c r="VSZ44" s="184"/>
      <c r="VTA44" s="184"/>
      <c r="VTB44" s="184"/>
      <c r="VTC44" s="184"/>
      <c r="VTD44" s="184"/>
      <c r="VTE44" s="184"/>
      <c r="VTF44" s="184"/>
      <c r="VTG44" s="184"/>
      <c r="VTH44" s="184"/>
      <c r="VTI44" s="184"/>
      <c r="VTJ44" s="184"/>
      <c r="VTK44" s="184"/>
      <c r="VTL44" s="184"/>
      <c r="VTM44" s="184"/>
      <c r="VTN44" s="184"/>
      <c r="VTO44" s="184"/>
      <c r="VTP44" s="184"/>
      <c r="VTQ44" s="184"/>
      <c r="VTR44" s="184"/>
      <c r="VTS44" s="184"/>
      <c r="VTT44" s="184"/>
      <c r="VTU44" s="184"/>
      <c r="VTV44" s="184"/>
      <c r="VTW44" s="184"/>
      <c r="VTX44" s="184"/>
      <c r="VTY44" s="184"/>
      <c r="VTZ44" s="184"/>
      <c r="VUA44" s="184"/>
      <c r="VUB44" s="184"/>
      <c r="VUC44" s="184"/>
      <c r="VUD44" s="184"/>
      <c r="VUE44" s="184"/>
      <c r="VUF44" s="184"/>
      <c r="VUG44" s="184"/>
      <c r="VUH44" s="184"/>
      <c r="VUI44" s="184"/>
      <c r="VUJ44" s="184"/>
      <c r="VUK44" s="184"/>
      <c r="VUL44" s="184"/>
      <c r="VUM44" s="184"/>
      <c r="VUN44" s="184"/>
      <c r="VUO44" s="184"/>
      <c r="VUP44" s="184"/>
      <c r="VUQ44" s="184"/>
      <c r="VUR44" s="184"/>
      <c r="VUS44" s="184"/>
      <c r="VUT44" s="184"/>
      <c r="VUU44" s="184"/>
      <c r="VUV44" s="184"/>
      <c r="VUW44" s="184"/>
      <c r="VUX44" s="184"/>
      <c r="VUY44" s="184"/>
      <c r="VUZ44" s="184"/>
      <c r="VVM44" s="215"/>
      <c r="VVN44" s="202"/>
      <c r="VVO44" s="203"/>
      <c r="VVP44" s="203"/>
      <c r="VVQ44" s="203"/>
      <c r="VVR44" s="204"/>
      <c r="VVS44" s="200"/>
      <c r="VVT44" s="227"/>
      <c r="VVU44" s="184"/>
      <c r="VVV44" s="184"/>
      <c r="VVW44" s="184"/>
      <c r="VVX44" s="184"/>
      <c r="VVY44" s="184"/>
      <c r="VVZ44" s="184"/>
      <c r="VWA44" s="184"/>
      <c r="VWB44" s="184"/>
      <c r="VWC44" s="184"/>
      <c r="VWD44" s="184"/>
      <c r="VWE44" s="184"/>
      <c r="VWF44" s="184"/>
      <c r="VWG44" s="184"/>
      <c r="VWH44" s="184"/>
      <c r="VWI44" s="184"/>
      <c r="VWJ44" s="184"/>
      <c r="VWK44" s="184"/>
      <c r="VWL44" s="184"/>
      <c r="VWM44" s="184"/>
      <c r="VWN44" s="184"/>
      <c r="VWO44" s="184"/>
      <c r="VWP44" s="184"/>
      <c r="VWQ44" s="184"/>
      <c r="VWR44" s="184"/>
      <c r="VWS44" s="184"/>
      <c r="VWT44" s="184"/>
      <c r="VWU44" s="184"/>
      <c r="VWV44" s="184"/>
      <c r="VWW44" s="184"/>
      <c r="VWX44" s="184"/>
      <c r="VWY44" s="184"/>
      <c r="VWZ44" s="184"/>
      <c r="VXA44" s="184"/>
      <c r="VXB44" s="184"/>
      <c r="VXC44" s="184"/>
      <c r="VXD44" s="184"/>
      <c r="VXE44" s="184"/>
      <c r="VXF44" s="184"/>
      <c r="VXG44" s="184"/>
      <c r="VXH44" s="184"/>
      <c r="VXI44" s="184"/>
      <c r="VXJ44" s="184"/>
      <c r="VXK44" s="184"/>
      <c r="VXL44" s="184"/>
      <c r="VXM44" s="184"/>
      <c r="VXN44" s="184"/>
      <c r="VXO44" s="184"/>
      <c r="VXP44" s="184"/>
      <c r="VXQ44" s="184"/>
      <c r="VXR44" s="184"/>
      <c r="VXS44" s="184"/>
      <c r="VXT44" s="184"/>
      <c r="VXU44" s="184"/>
      <c r="VXV44" s="184"/>
      <c r="VXW44" s="184"/>
      <c r="VXX44" s="184"/>
      <c r="VXY44" s="184"/>
      <c r="VXZ44" s="184"/>
      <c r="VYA44" s="184"/>
      <c r="VYB44" s="184"/>
      <c r="VYC44" s="184"/>
      <c r="VYD44" s="184"/>
      <c r="VYE44" s="184"/>
      <c r="VYF44" s="184"/>
      <c r="VYS44" s="215"/>
      <c r="VYT44" s="202"/>
      <c r="VYU44" s="203"/>
      <c r="VYV44" s="203"/>
      <c r="VYW44" s="203"/>
      <c r="VYX44" s="204"/>
      <c r="VYY44" s="200"/>
      <c r="VYZ44" s="227"/>
      <c r="VZA44" s="184"/>
      <c r="VZB44" s="184"/>
      <c r="VZC44" s="184"/>
      <c r="VZD44" s="184"/>
      <c r="VZE44" s="184"/>
      <c r="VZF44" s="184"/>
      <c r="VZG44" s="184"/>
      <c r="VZH44" s="184"/>
      <c r="VZI44" s="184"/>
      <c r="VZJ44" s="184"/>
      <c r="VZK44" s="184"/>
      <c r="VZL44" s="184"/>
      <c r="VZM44" s="184"/>
      <c r="VZN44" s="184"/>
      <c r="VZO44" s="184"/>
      <c r="VZP44" s="184"/>
      <c r="VZQ44" s="184"/>
      <c r="VZR44" s="184"/>
      <c r="VZS44" s="184"/>
      <c r="VZT44" s="184"/>
      <c r="VZU44" s="184"/>
      <c r="VZV44" s="184"/>
      <c r="VZW44" s="184"/>
      <c r="VZX44" s="184"/>
      <c r="VZY44" s="184"/>
      <c r="VZZ44" s="184"/>
      <c r="WAA44" s="184"/>
      <c r="WAB44" s="184"/>
      <c r="WAC44" s="184"/>
      <c r="WAD44" s="184"/>
      <c r="WAE44" s="184"/>
      <c r="WAF44" s="184"/>
      <c r="WAG44" s="184"/>
      <c r="WAH44" s="184"/>
      <c r="WAI44" s="184"/>
      <c r="WAJ44" s="184"/>
      <c r="WAK44" s="184"/>
      <c r="WAL44" s="184"/>
      <c r="WAM44" s="184"/>
      <c r="WAN44" s="184"/>
      <c r="WAO44" s="184"/>
      <c r="WAP44" s="184"/>
      <c r="WAQ44" s="184"/>
      <c r="WAR44" s="184"/>
      <c r="WAS44" s="184"/>
      <c r="WAT44" s="184"/>
      <c r="WAU44" s="184"/>
      <c r="WAV44" s="184"/>
      <c r="WAW44" s="184"/>
      <c r="WAX44" s="184"/>
      <c r="WAY44" s="184"/>
      <c r="WAZ44" s="184"/>
      <c r="WBA44" s="184"/>
      <c r="WBB44" s="184"/>
      <c r="WBC44" s="184"/>
      <c r="WBD44" s="184"/>
      <c r="WBE44" s="184"/>
      <c r="WBF44" s="184"/>
      <c r="WBG44" s="184"/>
      <c r="WBH44" s="184"/>
      <c r="WBI44" s="184"/>
      <c r="WBJ44" s="184"/>
      <c r="WBK44" s="184"/>
      <c r="WBL44" s="184"/>
      <c r="WBY44" s="215"/>
      <c r="WBZ44" s="202"/>
      <c r="WCA44" s="203"/>
      <c r="WCB44" s="203"/>
      <c r="WCC44" s="203"/>
      <c r="WCD44" s="204"/>
      <c r="WCE44" s="200"/>
      <c r="WCF44" s="227"/>
      <c r="WCG44" s="184"/>
      <c r="WCH44" s="184"/>
      <c r="WCI44" s="184"/>
      <c r="WCJ44" s="184"/>
      <c r="WCK44" s="184"/>
      <c r="WCL44" s="184"/>
      <c r="WCM44" s="184"/>
      <c r="WCN44" s="184"/>
      <c r="WCO44" s="184"/>
      <c r="WCP44" s="184"/>
      <c r="WCQ44" s="184"/>
      <c r="WCR44" s="184"/>
      <c r="WCS44" s="184"/>
      <c r="WCT44" s="184"/>
      <c r="WCU44" s="184"/>
      <c r="WCV44" s="184"/>
      <c r="WCW44" s="184"/>
      <c r="WCX44" s="184"/>
      <c r="WCY44" s="184"/>
      <c r="WCZ44" s="184"/>
      <c r="WDA44" s="184"/>
      <c r="WDB44" s="184"/>
      <c r="WDC44" s="184"/>
      <c r="WDD44" s="184"/>
      <c r="WDE44" s="184"/>
      <c r="WDF44" s="184"/>
      <c r="WDG44" s="184"/>
      <c r="WDH44" s="184"/>
      <c r="WDI44" s="184"/>
      <c r="WDJ44" s="184"/>
      <c r="WDK44" s="184"/>
      <c r="WDL44" s="184"/>
      <c r="WDM44" s="184"/>
      <c r="WDN44" s="184"/>
      <c r="WDO44" s="184"/>
      <c r="WDP44" s="184"/>
      <c r="WDQ44" s="184"/>
      <c r="WDR44" s="184"/>
      <c r="WDS44" s="184"/>
      <c r="WDT44" s="184"/>
      <c r="WDU44" s="184"/>
      <c r="WDV44" s="184"/>
      <c r="WDW44" s="184"/>
      <c r="WDX44" s="184"/>
      <c r="WDY44" s="184"/>
      <c r="WDZ44" s="184"/>
      <c r="WEA44" s="184"/>
      <c r="WEB44" s="184"/>
      <c r="WEC44" s="184"/>
      <c r="WED44" s="184"/>
      <c r="WEE44" s="184"/>
      <c r="WEF44" s="184"/>
      <c r="WEG44" s="184"/>
      <c r="WEH44" s="184"/>
      <c r="WEI44" s="184"/>
      <c r="WEJ44" s="184"/>
      <c r="WEK44" s="184"/>
      <c r="WEL44" s="184"/>
      <c r="WEM44" s="184"/>
      <c r="WEN44" s="184"/>
      <c r="WEO44" s="184"/>
      <c r="WEP44" s="184"/>
      <c r="WEQ44" s="184"/>
      <c r="WER44" s="184"/>
      <c r="WFE44" s="215"/>
      <c r="WFF44" s="202"/>
      <c r="WFG44" s="203"/>
      <c r="WFH44" s="203"/>
      <c r="WFI44" s="203"/>
      <c r="WFJ44" s="204"/>
      <c r="WFK44" s="200"/>
      <c r="WFL44" s="227"/>
      <c r="WFM44" s="184"/>
      <c r="WFN44" s="184"/>
      <c r="WFO44" s="184"/>
      <c r="WFP44" s="184"/>
      <c r="WFQ44" s="184"/>
      <c r="WFR44" s="184"/>
      <c r="WFS44" s="184"/>
      <c r="WFT44" s="184"/>
      <c r="WFU44" s="184"/>
      <c r="WFV44" s="184"/>
      <c r="WFW44" s="184"/>
      <c r="WFX44" s="184"/>
      <c r="WFY44" s="184"/>
      <c r="WFZ44" s="184"/>
      <c r="WGA44" s="184"/>
      <c r="WGB44" s="184"/>
      <c r="WGC44" s="184"/>
      <c r="WGD44" s="184"/>
      <c r="WGE44" s="184"/>
      <c r="WGF44" s="184"/>
      <c r="WGG44" s="184"/>
      <c r="WGH44" s="184"/>
      <c r="WGI44" s="184"/>
      <c r="WGJ44" s="184"/>
      <c r="WGK44" s="184"/>
      <c r="WGL44" s="184"/>
      <c r="WGM44" s="184"/>
      <c r="WGN44" s="184"/>
      <c r="WGO44" s="184"/>
      <c r="WGP44" s="184"/>
      <c r="WGQ44" s="184"/>
      <c r="WGR44" s="184"/>
      <c r="WGS44" s="184"/>
      <c r="WGT44" s="184"/>
      <c r="WGU44" s="184"/>
      <c r="WGV44" s="184"/>
      <c r="WGW44" s="184"/>
      <c r="WGX44" s="184"/>
      <c r="WGY44" s="184"/>
      <c r="WGZ44" s="184"/>
      <c r="WHA44" s="184"/>
      <c r="WHB44" s="184"/>
      <c r="WHC44" s="184"/>
      <c r="WHD44" s="184"/>
      <c r="WHE44" s="184"/>
      <c r="WHF44" s="184"/>
      <c r="WHG44" s="184"/>
      <c r="WHH44" s="184"/>
      <c r="WHI44" s="184"/>
      <c r="WHJ44" s="184"/>
      <c r="WHK44" s="184"/>
      <c r="WHL44" s="184"/>
      <c r="WHM44" s="184"/>
      <c r="WHN44" s="184"/>
      <c r="WHO44" s="184"/>
      <c r="WHP44" s="184"/>
      <c r="WHQ44" s="184"/>
      <c r="WHR44" s="184"/>
      <c r="WHS44" s="184"/>
      <c r="WHT44" s="184"/>
      <c r="WHU44" s="184"/>
      <c r="WHV44" s="184"/>
      <c r="WHW44" s="184"/>
      <c r="WHX44" s="184"/>
      <c r="WIK44" s="215"/>
      <c r="WIL44" s="202"/>
      <c r="WIM44" s="203"/>
      <c r="WIN44" s="203"/>
      <c r="WIO44" s="203"/>
      <c r="WIP44" s="204"/>
      <c r="WIQ44" s="200"/>
      <c r="WIR44" s="227"/>
      <c r="WIS44" s="184"/>
      <c r="WIT44" s="184"/>
      <c r="WIU44" s="184"/>
      <c r="WIV44" s="184"/>
      <c r="WIW44" s="184"/>
      <c r="WIX44" s="184"/>
      <c r="WIY44" s="184"/>
      <c r="WIZ44" s="184"/>
      <c r="WJA44" s="184"/>
      <c r="WJB44" s="184"/>
      <c r="WJC44" s="184"/>
      <c r="WJD44" s="184"/>
      <c r="WJE44" s="184"/>
      <c r="WJF44" s="184"/>
      <c r="WJG44" s="184"/>
      <c r="WJH44" s="184"/>
      <c r="WJI44" s="184"/>
      <c r="WJJ44" s="184"/>
      <c r="WJK44" s="184"/>
      <c r="WJL44" s="184"/>
      <c r="WJM44" s="184"/>
      <c r="WJN44" s="184"/>
      <c r="WJO44" s="184"/>
      <c r="WJP44" s="184"/>
      <c r="WJQ44" s="184"/>
      <c r="WJR44" s="184"/>
      <c r="WJS44" s="184"/>
      <c r="WJT44" s="184"/>
      <c r="WJU44" s="184"/>
      <c r="WJV44" s="184"/>
      <c r="WJW44" s="184"/>
      <c r="WJX44" s="184"/>
      <c r="WJY44" s="184"/>
      <c r="WJZ44" s="184"/>
      <c r="WKA44" s="184"/>
      <c r="WKB44" s="184"/>
      <c r="WKC44" s="184"/>
      <c r="WKD44" s="184"/>
      <c r="WKE44" s="184"/>
      <c r="WKF44" s="184"/>
      <c r="WKG44" s="184"/>
      <c r="WKH44" s="184"/>
      <c r="WKI44" s="184"/>
      <c r="WKJ44" s="184"/>
      <c r="WKK44" s="184"/>
      <c r="WKL44" s="184"/>
      <c r="WKM44" s="184"/>
      <c r="WKN44" s="184"/>
      <c r="WKO44" s="184"/>
      <c r="WKP44" s="184"/>
      <c r="WKQ44" s="184"/>
      <c r="WKR44" s="184"/>
      <c r="WKS44" s="184"/>
      <c r="WKT44" s="184"/>
      <c r="WKU44" s="184"/>
      <c r="WKV44" s="184"/>
      <c r="WKW44" s="184"/>
      <c r="WKX44" s="184"/>
      <c r="WKY44" s="184"/>
      <c r="WKZ44" s="184"/>
      <c r="WLA44" s="184"/>
      <c r="WLB44" s="184"/>
      <c r="WLC44" s="184"/>
      <c r="WLD44" s="184"/>
      <c r="WLQ44" s="215"/>
      <c r="WLR44" s="202"/>
      <c r="WLS44" s="203"/>
      <c r="WLT44" s="203"/>
      <c r="WLU44" s="203"/>
      <c r="WLV44" s="204"/>
      <c r="WLW44" s="200"/>
      <c r="WLX44" s="227"/>
      <c r="WLY44" s="184"/>
      <c r="WLZ44" s="184"/>
      <c r="WMA44" s="184"/>
      <c r="WMB44" s="184"/>
      <c r="WMC44" s="184"/>
      <c r="WMD44" s="184"/>
      <c r="WME44" s="184"/>
      <c r="WMF44" s="184"/>
      <c r="WMG44" s="184"/>
      <c r="WMH44" s="184"/>
      <c r="WMI44" s="184"/>
      <c r="WMJ44" s="184"/>
      <c r="WMK44" s="184"/>
      <c r="WML44" s="184"/>
      <c r="WMM44" s="184"/>
      <c r="WMN44" s="184"/>
      <c r="WMO44" s="184"/>
      <c r="WMP44" s="184"/>
      <c r="WMQ44" s="184"/>
      <c r="WMR44" s="184"/>
      <c r="WMS44" s="184"/>
      <c r="WMT44" s="184"/>
      <c r="WMU44" s="184"/>
      <c r="WMV44" s="184"/>
      <c r="WMW44" s="184"/>
      <c r="WMX44" s="184"/>
      <c r="WMY44" s="184"/>
      <c r="WMZ44" s="184"/>
      <c r="WNA44" s="184"/>
      <c r="WNB44" s="184"/>
      <c r="WNC44" s="184"/>
      <c r="WND44" s="184"/>
      <c r="WNE44" s="184"/>
      <c r="WNF44" s="184"/>
      <c r="WNG44" s="184"/>
      <c r="WNH44" s="184"/>
      <c r="WNI44" s="184"/>
      <c r="WNJ44" s="184"/>
      <c r="WNK44" s="184"/>
      <c r="WNL44" s="184"/>
      <c r="WNM44" s="184"/>
      <c r="WNN44" s="184"/>
      <c r="WNO44" s="184"/>
      <c r="WNP44" s="184"/>
      <c r="WNQ44" s="184"/>
      <c r="WNR44" s="184"/>
      <c r="WNS44" s="184"/>
      <c r="WNT44" s="184"/>
      <c r="WNU44" s="184"/>
      <c r="WNV44" s="184"/>
      <c r="WNW44" s="184"/>
      <c r="WNX44" s="184"/>
      <c r="WNY44" s="184"/>
      <c r="WNZ44" s="184"/>
      <c r="WOA44" s="184"/>
      <c r="WOB44" s="184"/>
      <c r="WOC44" s="184"/>
      <c r="WOD44" s="184"/>
      <c r="WOE44" s="184"/>
      <c r="WOF44" s="184"/>
      <c r="WOG44" s="184"/>
      <c r="WOH44" s="184"/>
      <c r="WOI44" s="184"/>
      <c r="WOJ44" s="184"/>
      <c r="WOW44" s="215"/>
      <c r="WOX44" s="202"/>
      <c r="WOY44" s="203"/>
      <c r="WOZ44" s="203"/>
      <c r="WPA44" s="203"/>
      <c r="WPB44" s="204"/>
      <c r="WPC44" s="200"/>
      <c r="WPD44" s="227"/>
      <c r="WPE44" s="184"/>
      <c r="WPF44" s="184"/>
      <c r="WPG44" s="184"/>
      <c r="WPH44" s="184"/>
      <c r="WPI44" s="184"/>
      <c r="WPJ44" s="184"/>
      <c r="WPK44" s="184"/>
      <c r="WPL44" s="184"/>
      <c r="WPM44" s="184"/>
      <c r="WPN44" s="184"/>
      <c r="WPO44" s="184"/>
      <c r="WPP44" s="184"/>
      <c r="WPQ44" s="184"/>
      <c r="WPR44" s="184"/>
      <c r="WPS44" s="184"/>
      <c r="WPT44" s="184"/>
      <c r="WPU44" s="184"/>
      <c r="WPV44" s="184"/>
      <c r="WPW44" s="184"/>
      <c r="WPX44" s="184"/>
      <c r="WPY44" s="184"/>
      <c r="WPZ44" s="184"/>
      <c r="WQA44" s="184"/>
      <c r="WQB44" s="184"/>
      <c r="WQC44" s="184"/>
      <c r="WQD44" s="184"/>
      <c r="WQE44" s="184"/>
      <c r="WQF44" s="184"/>
      <c r="WQG44" s="184"/>
      <c r="WQH44" s="184"/>
      <c r="WQI44" s="184"/>
      <c r="WQJ44" s="184"/>
      <c r="WQK44" s="184"/>
      <c r="WQL44" s="184"/>
      <c r="WQM44" s="184"/>
      <c r="WQN44" s="184"/>
      <c r="WQO44" s="184"/>
      <c r="WQP44" s="184"/>
      <c r="WQQ44" s="184"/>
      <c r="WQR44" s="184"/>
      <c r="WQS44" s="184"/>
      <c r="WQT44" s="184"/>
      <c r="WQU44" s="184"/>
      <c r="WQV44" s="184"/>
      <c r="WQW44" s="184"/>
      <c r="WQX44" s="184"/>
      <c r="WQY44" s="184"/>
      <c r="WQZ44" s="184"/>
      <c r="WRA44" s="184"/>
      <c r="WRB44" s="184"/>
      <c r="WRC44" s="184"/>
      <c r="WRD44" s="184"/>
      <c r="WRE44" s="184"/>
      <c r="WRF44" s="184"/>
      <c r="WRG44" s="184"/>
      <c r="WRH44" s="184"/>
      <c r="WRI44" s="184"/>
      <c r="WRJ44" s="184"/>
      <c r="WRK44" s="184"/>
      <c r="WRL44" s="184"/>
      <c r="WRM44" s="184"/>
      <c r="WRN44" s="184"/>
      <c r="WRO44" s="184"/>
      <c r="WRP44" s="184"/>
      <c r="WSC44" s="215"/>
      <c r="WSD44" s="202"/>
      <c r="WSE44" s="203"/>
      <c r="WSF44" s="203"/>
      <c r="WSG44" s="203"/>
      <c r="WSH44" s="204"/>
      <c r="WSI44" s="200"/>
      <c r="WSJ44" s="227"/>
      <c r="WSK44" s="184"/>
      <c r="WSL44" s="184"/>
      <c r="WSM44" s="184"/>
      <c r="WSN44" s="184"/>
      <c r="WSO44" s="184"/>
      <c r="WSP44" s="184"/>
      <c r="WSQ44" s="184"/>
      <c r="WSR44" s="184"/>
      <c r="WSS44" s="184"/>
      <c r="WST44" s="184"/>
      <c r="WSU44" s="184"/>
      <c r="WSV44" s="184"/>
      <c r="WSW44" s="184"/>
      <c r="WSX44" s="184"/>
      <c r="WSY44" s="184"/>
      <c r="WSZ44" s="184"/>
      <c r="WTA44" s="184"/>
      <c r="WTB44" s="184"/>
      <c r="WTC44" s="184"/>
      <c r="WTD44" s="184"/>
      <c r="WTE44" s="184"/>
      <c r="WTF44" s="184"/>
      <c r="WTG44" s="184"/>
      <c r="WTH44" s="184"/>
      <c r="WTI44" s="184"/>
      <c r="WTJ44" s="184"/>
      <c r="WTK44" s="184"/>
      <c r="WTL44" s="184"/>
      <c r="WTM44" s="184"/>
      <c r="WTN44" s="184"/>
      <c r="WTO44" s="184"/>
      <c r="WTP44" s="184"/>
      <c r="WTQ44" s="184"/>
      <c r="WTR44" s="184"/>
      <c r="WTS44" s="184"/>
      <c r="WTT44" s="184"/>
      <c r="WTU44" s="184"/>
      <c r="WTV44" s="184"/>
      <c r="WTW44" s="184"/>
      <c r="WTX44" s="184"/>
      <c r="WTY44" s="184"/>
      <c r="WTZ44" s="184"/>
      <c r="WUA44" s="184"/>
      <c r="WUB44" s="184"/>
      <c r="WUC44" s="184"/>
      <c r="WUD44" s="184"/>
      <c r="WUE44" s="184"/>
      <c r="WUF44" s="184"/>
      <c r="WUG44" s="184"/>
      <c r="WUH44" s="184"/>
      <c r="WUI44" s="184"/>
      <c r="WUJ44" s="184"/>
      <c r="WUK44" s="184"/>
      <c r="WUL44" s="184"/>
      <c r="WUM44" s="184"/>
      <c r="WUN44" s="184"/>
      <c r="WUO44" s="184"/>
      <c r="WUP44" s="184"/>
      <c r="WUQ44" s="184"/>
      <c r="WUR44" s="184"/>
      <c r="WUS44" s="184"/>
      <c r="WUT44" s="184"/>
      <c r="WUU44" s="184"/>
      <c r="WUV44" s="184"/>
      <c r="WVI44" s="215"/>
      <c r="WVJ44" s="202"/>
      <c r="WVK44" s="203"/>
      <c r="WVL44" s="203"/>
      <c r="WVM44" s="203"/>
      <c r="WVN44" s="204"/>
      <c r="WVO44" s="200"/>
      <c r="WVP44" s="227"/>
      <c r="WVQ44" s="184"/>
      <c r="WVR44" s="184"/>
      <c r="WVS44" s="184"/>
      <c r="WVT44" s="184"/>
      <c r="WVU44" s="184"/>
      <c r="WVV44" s="184"/>
      <c r="WVW44" s="184"/>
      <c r="WVX44" s="184"/>
      <c r="WVY44" s="184"/>
      <c r="WVZ44" s="184"/>
      <c r="WWA44" s="184"/>
      <c r="WWB44" s="184"/>
      <c r="WWC44" s="184"/>
      <c r="WWD44" s="184"/>
      <c r="WWE44" s="184"/>
      <c r="WWF44" s="184"/>
      <c r="WWG44" s="184"/>
      <c r="WWH44" s="184"/>
      <c r="WWI44" s="184"/>
      <c r="WWJ44" s="184"/>
      <c r="WWK44" s="184"/>
      <c r="WWL44" s="184"/>
      <c r="WWM44" s="184"/>
      <c r="WWN44" s="184"/>
      <c r="WWO44" s="184"/>
      <c r="WWP44" s="184"/>
      <c r="WWQ44" s="184"/>
      <c r="WWR44" s="184"/>
      <c r="WWS44" s="184"/>
      <c r="WWT44" s="184"/>
      <c r="WWU44" s="184"/>
      <c r="WWV44" s="184"/>
      <c r="WWW44" s="184"/>
      <c r="WWX44" s="184"/>
      <c r="WWY44" s="184"/>
      <c r="WWZ44" s="184"/>
      <c r="WXA44" s="184"/>
      <c r="WXB44" s="184"/>
      <c r="WXC44" s="184"/>
      <c r="WXD44" s="184"/>
      <c r="WXE44" s="184"/>
      <c r="WXF44" s="184"/>
      <c r="WXG44" s="184"/>
      <c r="WXH44" s="184"/>
      <c r="WXI44" s="184"/>
      <c r="WXJ44" s="184"/>
      <c r="WXK44" s="184"/>
      <c r="WXL44" s="184"/>
      <c r="WXM44" s="184"/>
      <c r="WXN44" s="184"/>
      <c r="WXO44" s="184"/>
      <c r="WXP44" s="184"/>
      <c r="WXQ44" s="184"/>
      <c r="WXR44" s="184"/>
      <c r="WXS44" s="184"/>
      <c r="WXT44" s="184"/>
      <c r="WXU44" s="184"/>
      <c r="WXV44" s="184"/>
      <c r="WXW44" s="184"/>
      <c r="WXX44" s="184"/>
      <c r="WXY44" s="184"/>
      <c r="WXZ44" s="184"/>
      <c r="WYA44" s="184"/>
      <c r="WYB44" s="184"/>
      <c r="WYO44" s="215"/>
      <c r="WYP44" s="202"/>
      <c r="WYQ44" s="203"/>
      <c r="WYR44" s="203"/>
      <c r="WYS44" s="203"/>
      <c r="WYT44" s="204"/>
      <c r="WYU44" s="200"/>
      <c r="WYV44" s="227"/>
      <c r="WYW44" s="184"/>
      <c r="WYX44" s="184"/>
      <c r="WYY44" s="184"/>
      <c r="WYZ44" s="184"/>
      <c r="WZA44" s="184"/>
      <c r="WZB44" s="184"/>
      <c r="WZC44" s="184"/>
      <c r="WZD44" s="184"/>
      <c r="WZE44" s="184"/>
      <c r="WZF44" s="184"/>
      <c r="WZG44" s="184"/>
      <c r="WZH44" s="184"/>
      <c r="WZI44" s="184"/>
      <c r="WZJ44" s="184"/>
      <c r="WZK44" s="184"/>
      <c r="WZL44" s="184"/>
      <c r="WZM44" s="184"/>
      <c r="WZN44" s="184"/>
      <c r="WZO44" s="184"/>
      <c r="WZP44" s="184"/>
      <c r="WZQ44" s="184"/>
      <c r="WZR44" s="184"/>
      <c r="WZS44" s="184"/>
      <c r="WZT44" s="184"/>
      <c r="WZU44" s="184"/>
      <c r="WZV44" s="184"/>
      <c r="WZW44" s="184"/>
      <c r="WZX44" s="184"/>
      <c r="WZY44" s="184"/>
      <c r="WZZ44" s="184"/>
      <c r="XAA44" s="184"/>
      <c r="XAB44" s="184"/>
      <c r="XAC44" s="184"/>
      <c r="XAD44" s="184"/>
      <c r="XAE44" s="184"/>
      <c r="XAF44" s="184"/>
      <c r="XAG44" s="184"/>
      <c r="XAH44" s="184"/>
      <c r="XAI44" s="184"/>
      <c r="XAJ44" s="184"/>
      <c r="XAK44" s="184"/>
      <c r="XAL44" s="184"/>
      <c r="XAM44" s="184"/>
      <c r="XAN44" s="184"/>
      <c r="XAO44" s="184"/>
      <c r="XAP44" s="184"/>
      <c r="XAQ44" s="184"/>
      <c r="XAR44" s="184"/>
      <c r="XAS44" s="184"/>
      <c r="XAT44" s="184"/>
      <c r="XAU44" s="184"/>
      <c r="XAV44" s="184"/>
      <c r="XAW44" s="184"/>
      <c r="XAX44" s="184"/>
      <c r="XAY44" s="184"/>
      <c r="XAZ44" s="184"/>
      <c r="XBA44" s="184"/>
      <c r="XBB44" s="184"/>
      <c r="XBC44" s="184"/>
      <c r="XBD44" s="184"/>
      <c r="XBE44" s="184"/>
      <c r="XBF44" s="184"/>
      <c r="XBG44" s="184"/>
      <c r="XBH44" s="184"/>
      <c r="XBU44" s="215"/>
      <c r="XBV44" s="202"/>
      <c r="XBW44" s="203"/>
      <c r="XBX44" s="203"/>
      <c r="XBY44" s="203"/>
      <c r="XBZ44" s="204"/>
      <c r="XCA44" s="200"/>
      <c r="XCB44" s="227"/>
      <c r="XCC44" s="184"/>
      <c r="XCD44" s="184"/>
      <c r="XCE44" s="184"/>
      <c r="XCF44" s="184"/>
      <c r="XCG44" s="184"/>
      <c r="XCH44" s="184"/>
      <c r="XCI44" s="184"/>
      <c r="XCJ44" s="184"/>
      <c r="XCK44" s="184"/>
      <c r="XCL44" s="184"/>
      <c r="XCM44" s="184"/>
      <c r="XCN44" s="184"/>
      <c r="XCO44" s="184"/>
      <c r="XCP44" s="184"/>
      <c r="XCQ44" s="184"/>
      <c r="XCR44" s="184"/>
      <c r="XCS44" s="184"/>
      <c r="XCT44" s="184"/>
      <c r="XCU44" s="184"/>
      <c r="XCV44" s="184"/>
      <c r="XCW44" s="184"/>
      <c r="XCX44" s="184"/>
      <c r="XCY44" s="184"/>
      <c r="XCZ44" s="184"/>
      <c r="XDA44" s="184"/>
      <c r="XDB44" s="184"/>
      <c r="XDC44" s="184"/>
      <c r="XDD44" s="184"/>
      <c r="XDE44" s="184"/>
      <c r="XDF44" s="184"/>
      <c r="XDG44" s="184"/>
      <c r="XDH44" s="184"/>
      <c r="XDI44" s="184"/>
      <c r="XDJ44" s="184"/>
      <c r="XDK44" s="184"/>
      <c r="XDL44" s="184"/>
      <c r="XDM44" s="184"/>
      <c r="XDN44" s="184"/>
      <c r="XDO44" s="184"/>
      <c r="XDP44" s="184"/>
      <c r="XDQ44" s="184"/>
      <c r="XDR44" s="184"/>
      <c r="XDS44" s="184"/>
      <c r="XDT44" s="184"/>
      <c r="XDU44" s="184"/>
      <c r="XDV44" s="184"/>
      <c r="XDW44" s="184"/>
      <c r="XDX44" s="184"/>
      <c r="XDY44" s="184"/>
      <c r="XDZ44" s="184"/>
      <c r="XEA44" s="184"/>
      <c r="XEB44" s="184"/>
      <c r="XEC44" s="184"/>
      <c r="XED44" s="184"/>
      <c r="XEE44" s="184"/>
      <c r="XEF44" s="184"/>
      <c r="XEG44" s="184"/>
      <c r="XEH44" s="184"/>
      <c r="XEI44" s="184"/>
      <c r="XEJ44" s="184"/>
      <c r="XEK44" s="184"/>
      <c r="XEL44" s="184"/>
      <c r="XEM44" s="184"/>
      <c r="XEN44" s="184"/>
      <c r="XFA44" s="215"/>
      <c r="XFB44" s="202"/>
      <c r="XFC44" s="203"/>
      <c r="XFD44" s="203"/>
    </row>
    <row r="45" spans="1:5112 5125:10236 10249:15360 15373:16384">
      <c r="B45" s="203"/>
      <c r="C45" s="203" t="str">
        <f>C28</f>
        <v>Rail</v>
      </c>
      <c r="D45" s="203"/>
      <c r="H45" s="219"/>
      <c r="I45" s="219"/>
      <c r="J45" s="219"/>
      <c r="K45" s="219">
        <f>K28/1000*41.868</f>
        <v>0</v>
      </c>
      <c r="L45" s="89">
        <f t="shared" ref="L45:BT49" si="9">L28/1000*41.868</f>
        <v>0</v>
      </c>
      <c r="M45" s="89">
        <f t="shared" si="9"/>
        <v>0</v>
      </c>
      <c r="N45" s="89">
        <f t="shared" si="9"/>
        <v>0</v>
      </c>
      <c r="O45" s="89">
        <f t="shared" si="9"/>
        <v>0</v>
      </c>
      <c r="P45" s="89">
        <f t="shared" si="9"/>
        <v>0</v>
      </c>
      <c r="Q45" s="89">
        <f t="shared" si="9"/>
        <v>0</v>
      </c>
      <c r="R45" s="89">
        <f t="shared" si="9"/>
        <v>0</v>
      </c>
      <c r="S45" s="89">
        <f t="shared" si="9"/>
        <v>0</v>
      </c>
      <c r="T45" s="89">
        <f t="shared" si="9"/>
        <v>0</v>
      </c>
      <c r="U45" s="89">
        <f t="shared" si="9"/>
        <v>0</v>
      </c>
      <c r="V45" s="89">
        <f t="shared" si="9"/>
        <v>0</v>
      </c>
      <c r="W45" s="89">
        <f t="shared" si="9"/>
        <v>0</v>
      </c>
      <c r="X45" s="89">
        <f t="shared" si="9"/>
        <v>0</v>
      </c>
      <c r="Y45" s="89">
        <f t="shared" si="9"/>
        <v>0</v>
      </c>
      <c r="Z45" s="89">
        <f t="shared" si="9"/>
        <v>0</v>
      </c>
      <c r="AA45" s="89">
        <f t="shared" si="9"/>
        <v>0</v>
      </c>
      <c r="AB45" s="89">
        <f t="shared" si="9"/>
        <v>0</v>
      </c>
      <c r="AC45" s="89">
        <f t="shared" si="9"/>
        <v>0</v>
      </c>
      <c r="AD45" s="89">
        <f t="shared" si="9"/>
        <v>0</v>
      </c>
      <c r="AE45" s="89">
        <f t="shared" si="9"/>
        <v>0</v>
      </c>
      <c r="AF45" s="89">
        <f>AF28/1000*41.868*0</f>
        <v>0</v>
      </c>
      <c r="AG45" s="89">
        <f t="shared" si="9"/>
        <v>0</v>
      </c>
      <c r="AH45" s="89">
        <f t="shared" si="9"/>
        <v>0</v>
      </c>
      <c r="AI45" s="89">
        <f t="shared" si="9"/>
        <v>0</v>
      </c>
      <c r="AJ45" s="89">
        <f t="shared" si="9"/>
        <v>0</v>
      </c>
      <c r="AK45" s="89">
        <f t="shared" si="9"/>
        <v>0</v>
      </c>
      <c r="AL45" s="89">
        <f t="shared" si="9"/>
        <v>3.7681200000000001</v>
      </c>
      <c r="AM45" s="89">
        <f t="shared" si="9"/>
        <v>0</v>
      </c>
      <c r="AN45" s="89">
        <f t="shared" si="9"/>
        <v>0</v>
      </c>
      <c r="AO45" s="89">
        <f t="shared" si="9"/>
        <v>0</v>
      </c>
      <c r="AP45" s="89">
        <f t="shared" si="9"/>
        <v>0</v>
      </c>
      <c r="AQ45" s="89">
        <f t="shared" si="9"/>
        <v>0</v>
      </c>
      <c r="AR45" s="89">
        <f t="shared" si="9"/>
        <v>0</v>
      </c>
      <c r="AS45" s="89">
        <f t="shared" si="9"/>
        <v>0</v>
      </c>
      <c r="AT45" s="89">
        <f t="shared" si="9"/>
        <v>0</v>
      </c>
      <c r="AU45" s="89"/>
      <c r="AV45" s="89">
        <f t="shared" si="9"/>
        <v>0</v>
      </c>
      <c r="AW45" s="89">
        <f t="shared" si="9"/>
        <v>0</v>
      </c>
      <c r="AX45" s="89">
        <f t="shared" si="9"/>
        <v>0</v>
      </c>
      <c r="AY45" s="89">
        <f t="shared" si="9"/>
        <v>0</v>
      </c>
      <c r="AZ45" s="89">
        <f t="shared" si="9"/>
        <v>0</v>
      </c>
      <c r="BA45" s="89">
        <f t="shared" si="9"/>
        <v>0</v>
      </c>
      <c r="BB45" s="89">
        <f t="shared" si="9"/>
        <v>0</v>
      </c>
      <c r="BC45" s="89">
        <f t="shared" si="9"/>
        <v>0</v>
      </c>
      <c r="BD45" s="89">
        <f t="shared" si="9"/>
        <v>0</v>
      </c>
      <c r="BE45" s="89">
        <f t="shared" si="9"/>
        <v>0</v>
      </c>
      <c r="BF45" s="89">
        <f t="shared" si="9"/>
        <v>0</v>
      </c>
      <c r="BG45" s="89">
        <f t="shared" si="9"/>
        <v>0</v>
      </c>
      <c r="BH45" s="89">
        <f t="shared" si="9"/>
        <v>0</v>
      </c>
      <c r="BI45" s="89">
        <f t="shared" si="9"/>
        <v>0</v>
      </c>
      <c r="BJ45" s="89">
        <f t="shared" si="9"/>
        <v>0</v>
      </c>
      <c r="BK45" s="89">
        <f t="shared" si="9"/>
        <v>0</v>
      </c>
      <c r="BL45" s="89">
        <f t="shared" si="9"/>
        <v>0</v>
      </c>
      <c r="BM45" s="89">
        <f t="shared" si="9"/>
        <v>0</v>
      </c>
      <c r="BN45" s="89">
        <f t="shared" si="9"/>
        <v>0</v>
      </c>
      <c r="BO45" s="89">
        <f t="shared" si="9"/>
        <v>0</v>
      </c>
      <c r="BP45" s="89">
        <f t="shared" si="9"/>
        <v>0</v>
      </c>
      <c r="BQ45" s="89">
        <f t="shared" si="9"/>
        <v>0</v>
      </c>
      <c r="BR45" s="89">
        <f t="shared" si="9"/>
        <v>0</v>
      </c>
      <c r="BS45" s="89">
        <f t="shared" si="9"/>
        <v>0</v>
      </c>
      <c r="BT45" s="89">
        <f t="shared" si="9"/>
        <v>1.172304</v>
      </c>
      <c r="BU45" s="219">
        <f t="shared" ref="BU45:BU51" si="10">SUM(H45:BT45)</f>
        <v>4.9404240000000001</v>
      </c>
    </row>
    <row r="46" spans="1:5112 5125:10236 10249:15360 15373:16384">
      <c r="B46" s="203"/>
      <c r="C46" s="203" t="str">
        <f t="shared" ref="C46:C51" si="11">C29</f>
        <v>Road</v>
      </c>
      <c r="D46" s="203"/>
      <c r="H46" s="219"/>
      <c r="I46" s="219"/>
      <c r="J46" s="219"/>
      <c r="K46" s="219">
        <f t="shared" ref="K46:Z51" si="12">K29/1000*41.868</f>
        <v>0</v>
      </c>
      <c r="L46" s="89">
        <f t="shared" si="12"/>
        <v>0</v>
      </c>
      <c r="M46" s="89">
        <f t="shared" si="12"/>
        <v>0</v>
      </c>
      <c r="N46" s="89">
        <f t="shared" si="12"/>
        <v>0</v>
      </c>
      <c r="O46" s="89">
        <f t="shared" si="12"/>
        <v>0</v>
      </c>
      <c r="P46" s="89">
        <f t="shared" si="12"/>
        <v>0</v>
      </c>
      <c r="Q46" s="89">
        <f t="shared" si="12"/>
        <v>0</v>
      </c>
      <c r="R46" s="89">
        <f t="shared" si="12"/>
        <v>0</v>
      </c>
      <c r="S46" s="89">
        <f t="shared" si="12"/>
        <v>0</v>
      </c>
      <c r="T46" s="89">
        <f t="shared" si="12"/>
        <v>0</v>
      </c>
      <c r="U46" s="89">
        <f t="shared" si="12"/>
        <v>0</v>
      </c>
      <c r="V46" s="89">
        <f t="shared" si="12"/>
        <v>0</v>
      </c>
      <c r="W46" s="89">
        <f t="shared" si="12"/>
        <v>0</v>
      </c>
      <c r="X46" s="89">
        <f t="shared" si="12"/>
        <v>0</v>
      </c>
      <c r="Y46" s="89">
        <f t="shared" si="12"/>
        <v>0</v>
      </c>
      <c r="Z46" s="89">
        <f t="shared" si="12"/>
        <v>0</v>
      </c>
      <c r="AA46" s="89">
        <f t="shared" si="9"/>
        <v>0</v>
      </c>
      <c r="AB46" s="89">
        <f t="shared" si="9"/>
        <v>0</v>
      </c>
      <c r="AC46" s="89">
        <f t="shared" si="9"/>
        <v>0</v>
      </c>
      <c r="AD46" s="89">
        <f t="shared" si="9"/>
        <v>0</v>
      </c>
      <c r="AE46" s="89">
        <f t="shared" si="9"/>
        <v>0</v>
      </c>
      <c r="AF46" s="89">
        <f>AF29/1000*41.868+AF28/1000*41.868</f>
        <v>62.802000000000007</v>
      </c>
      <c r="AG46" s="89">
        <f t="shared" si="9"/>
        <v>0</v>
      </c>
      <c r="AH46" s="89">
        <f t="shared" si="9"/>
        <v>0</v>
      </c>
      <c r="AI46" s="89">
        <f t="shared" si="9"/>
        <v>0</v>
      </c>
      <c r="AJ46" s="89">
        <f t="shared" si="9"/>
        <v>0</v>
      </c>
      <c r="AK46" s="89">
        <f t="shared" si="9"/>
        <v>0</v>
      </c>
      <c r="AL46" s="89">
        <f t="shared" si="9"/>
        <v>39.7746</v>
      </c>
      <c r="AM46" s="89">
        <f t="shared" si="9"/>
        <v>0</v>
      </c>
      <c r="AN46" s="89">
        <f t="shared" si="9"/>
        <v>0</v>
      </c>
      <c r="AO46" s="89">
        <f t="shared" si="9"/>
        <v>0</v>
      </c>
      <c r="AP46" s="89">
        <f t="shared" si="9"/>
        <v>0</v>
      </c>
      <c r="AQ46" s="89">
        <f t="shared" si="9"/>
        <v>0</v>
      </c>
      <c r="AR46" s="89">
        <f t="shared" si="9"/>
        <v>0</v>
      </c>
      <c r="AS46" s="89">
        <f t="shared" si="9"/>
        <v>0</v>
      </c>
      <c r="AT46" s="89">
        <f t="shared" si="9"/>
        <v>0</v>
      </c>
      <c r="AU46" s="89">
        <f>AU29/1000*41.868+AU28/1000*41.868+AU33/1000*41.868*0.2</f>
        <v>0</v>
      </c>
      <c r="AV46" s="89">
        <f t="shared" si="9"/>
        <v>0</v>
      </c>
      <c r="AW46" s="89">
        <f t="shared" si="9"/>
        <v>0</v>
      </c>
      <c r="AX46" s="89">
        <f t="shared" si="9"/>
        <v>0</v>
      </c>
      <c r="AY46" s="89">
        <f t="shared" si="9"/>
        <v>0</v>
      </c>
      <c r="AZ46" s="89">
        <f t="shared" si="9"/>
        <v>0</v>
      </c>
      <c r="BA46" s="89">
        <f t="shared" si="9"/>
        <v>0</v>
      </c>
      <c r="BB46" s="89">
        <f t="shared" si="9"/>
        <v>0</v>
      </c>
      <c r="BC46" s="89">
        <f t="shared" si="9"/>
        <v>0</v>
      </c>
      <c r="BD46" s="89">
        <f t="shared" si="9"/>
        <v>0</v>
      </c>
      <c r="BE46" s="89">
        <f t="shared" si="9"/>
        <v>0</v>
      </c>
      <c r="BF46" s="89">
        <f t="shared" si="9"/>
        <v>0</v>
      </c>
      <c r="BG46" s="89">
        <f t="shared" si="9"/>
        <v>0</v>
      </c>
      <c r="BH46" s="89">
        <f t="shared" si="9"/>
        <v>0</v>
      </c>
      <c r="BI46" s="89">
        <f t="shared" si="9"/>
        <v>0</v>
      </c>
      <c r="BJ46" s="89">
        <f t="shared" si="9"/>
        <v>0</v>
      </c>
      <c r="BK46" s="89">
        <f t="shared" si="9"/>
        <v>0</v>
      </c>
      <c r="BL46" s="89">
        <f t="shared" si="9"/>
        <v>0</v>
      </c>
      <c r="BM46" s="89">
        <f t="shared" si="9"/>
        <v>0</v>
      </c>
      <c r="BN46" s="89">
        <f t="shared" si="9"/>
        <v>0</v>
      </c>
      <c r="BO46" s="89">
        <f t="shared" si="9"/>
        <v>0</v>
      </c>
      <c r="BP46" s="89">
        <f t="shared" si="9"/>
        <v>0</v>
      </c>
      <c r="BQ46" s="89">
        <f t="shared" si="9"/>
        <v>0</v>
      </c>
      <c r="BR46" s="89">
        <f t="shared" si="9"/>
        <v>0</v>
      </c>
      <c r="BS46" s="89">
        <f t="shared" si="9"/>
        <v>0</v>
      </c>
      <c r="BT46" s="89">
        <f t="shared" si="9"/>
        <v>0</v>
      </c>
      <c r="BU46" s="219">
        <f t="shared" si="10"/>
        <v>102.57660000000001</v>
      </c>
    </row>
    <row r="47" spans="1:5112 5125:10236 10249:15360 15373:16384">
      <c r="B47" s="203"/>
      <c r="C47" s="203" t="str">
        <f t="shared" si="11"/>
        <v>International aviation</v>
      </c>
      <c r="D47" s="203"/>
      <c r="H47" s="219"/>
      <c r="I47" s="219"/>
      <c r="J47" s="219"/>
      <c r="K47" s="219">
        <f t="shared" si="12"/>
        <v>0</v>
      </c>
      <c r="L47" s="89">
        <f t="shared" si="9"/>
        <v>0</v>
      </c>
      <c r="M47" s="89">
        <f t="shared" si="9"/>
        <v>0</v>
      </c>
      <c r="N47" s="89">
        <f t="shared" si="9"/>
        <v>0</v>
      </c>
      <c r="O47" s="89">
        <f t="shared" si="9"/>
        <v>0</v>
      </c>
      <c r="P47" s="89">
        <f t="shared" si="9"/>
        <v>0</v>
      </c>
      <c r="Q47" s="89">
        <f t="shared" si="9"/>
        <v>0</v>
      </c>
      <c r="R47" s="89">
        <f t="shared" si="9"/>
        <v>0</v>
      </c>
      <c r="S47" s="89">
        <f t="shared" si="9"/>
        <v>0</v>
      </c>
      <c r="T47" s="89">
        <f t="shared" si="9"/>
        <v>0</v>
      </c>
      <c r="U47" s="89">
        <f t="shared" si="9"/>
        <v>0</v>
      </c>
      <c r="V47" s="89">
        <f t="shared" si="9"/>
        <v>0</v>
      </c>
      <c r="W47" s="89">
        <f t="shared" si="9"/>
        <v>0</v>
      </c>
      <c r="X47" s="89">
        <f t="shared" si="9"/>
        <v>0</v>
      </c>
      <c r="Y47" s="89">
        <f t="shared" si="9"/>
        <v>0</v>
      </c>
      <c r="Z47" s="89">
        <f t="shared" si="9"/>
        <v>0</v>
      </c>
      <c r="AA47" s="89">
        <f t="shared" si="9"/>
        <v>0</v>
      </c>
      <c r="AB47" s="89">
        <f t="shared" si="9"/>
        <v>0</v>
      </c>
      <c r="AC47" s="89">
        <f t="shared" si="9"/>
        <v>0</v>
      </c>
      <c r="AD47" s="89">
        <f t="shared" si="9"/>
        <v>0</v>
      </c>
      <c r="AE47" s="89">
        <f t="shared" si="9"/>
        <v>0</v>
      </c>
      <c r="AF47" s="89">
        <f t="shared" si="9"/>
        <v>0</v>
      </c>
      <c r="AG47" s="89">
        <f t="shared" si="9"/>
        <v>0</v>
      </c>
      <c r="AH47" s="89">
        <f t="shared" si="9"/>
        <v>0</v>
      </c>
      <c r="AI47" s="89">
        <f t="shared" si="9"/>
        <v>0</v>
      </c>
      <c r="AJ47" s="89">
        <f t="shared" si="9"/>
        <v>0</v>
      </c>
      <c r="AK47" s="89">
        <f t="shared" si="9"/>
        <v>0</v>
      </c>
      <c r="AL47" s="89">
        <f t="shared" si="9"/>
        <v>0</v>
      </c>
      <c r="AM47" s="89">
        <f t="shared" si="9"/>
        <v>0</v>
      </c>
      <c r="AN47" s="89">
        <f t="shared" si="9"/>
        <v>0</v>
      </c>
      <c r="AO47" s="89">
        <f t="shared" si="9"/>
        <v>0</v>
      </c>
      <c r="AP47" s="89">
        <f t="shared" si="9"/>
        <v>0</v>
      </c>
      <c r="AQ47" s="89">
        <f t="shared" si="9"/>
        <v>0</v>
      </c>
      <c r="AR47" s="89">
        <f t="shared" si="9"/>
        <v>0</v>
      </c>
      <c r="AS47" s="89">
        <f t="shared" si="9"/>
        <v>0</v>
      </c>
      <c r="AT47" s="89">
        <f t="shared" si="9"/>
        <v>0</v>
      </c>
      <c r="AU47" s="89">
        <f t="shared" si="9"/>
        <v>0</v>
      </c>
      <c r="AV47" s="89">
        <f t="shared" si="9"/>
        <v>0</v>
      </c>
      <c r="AW47" s="89">
        <f t="shared" si="9"/>
        <v>0</v>
      </c>
      <c r="AX47" s="89">
        <f t="shared" si="9"/>
        <v>0</v>
      </c>
      <c r="AY47" s="89">
        <f t="shared" si="9"/>
        <v>0</v>
      </c>
      <c r="AZ47" s="89">
        <f t="shared" si="9"/>
        <v>0</v>
      </c>
      <c r="BA47" s="89">
        <f t="shared" si="9"/>
        <v>0</v>
      </c>
      <c r="BB47" s="89">
        <f t="shared" si="9"/>
        <v>0</v>
      </c>
      <c r="BC47" s="89">
        <f t="shared" si="9"/>
        <v>0</v>
      </c>
      <c r="BD47" s="89">
        <f t="shared" si="9"/>
        <v>0</v>
      </c>
      <c r="BE47" s="89">
        <f t="shared" si="9"/>
        <v>0</v>
      </c>
      <c r="BF47" s="89">
        <f t="shared" si="9"/>
        <v>0</v>
      </c>
      <c r="BG47" s="89">
        <f t="shared" si="9"/>
        <v>0</v>
      </c>
      <c r="BH47" s="89">
        <f t="shared" si="9"/>
        <v>0</v>
      </c>
      <c r="BI47" s="89">
        <f t="shared" si="9"/>
        <v>0</v>
      </c>
      <c r="BJ47" s="89">
        <f t="shared" si="9"/>
        <v>0</v>
      </c>
      <c r="BK47" s="89">
        <f t="shared" si="9"/>
        <v>0</v>
      </c>
      <c r="BL47" s="89">
        <f t="shared" si="9"/>
        <v>0</v>
      </c>
      <c r="BM47" s="89">
        <f t="shared" si="9"/>
        <v>0</v>
      </c>
      <c r="BN47" s="89">
        <f t="shared" si="9"/>
        <v>0</v>
      </c>
      <c r="BO47" s="89">
        <f t="shared" si="9"/>
        <v>0</v>
      </c>
      <c r="BP47" s="89">
        <f t="shared" si="9"/>
        <v>0</v>
      </c>
      <c r="BQ47" s="89">
        <f t="shared" si="9"/>
        <v>0</v>
      </c>
      <c r="BR47" s="89">
        <f t="shared" si="9"/>
        <v>0</v>
      </c>
      <c r="BS47" s="89">
        <f t="shared" si="9"/>
        <v>0</v>
      </c>
      <c r="BT47" s="89">
        <f t="shared" si="9"/>
        <v>0</v>
      </c>
      <c r="BU47" s="219">
        <f t="shared" si="10"/>
        <v>0</v>
      </c>
    </row>
    <row r="48" spans="1:5112 5125:10236 10249:15360 15373:16384">
      <c r="B48" s="203"/>
      <c r="C48" s="203" t="str">
        <f t="shared" si="11"/>
        <v>Domestic aviation</v>
      </c>
      <c r="D48" s="203"/>
      <c r="H48" s="219"/>
      <c r="I48" s="219"/>
      <c r="J48" s="219"/>
      <c r="K48" s="219">
        <f t="shared" si="12"/>
        <v>0</v>
      </c>
      <c r="L48" s="89">
        <f t="shared" si="9"/>
        <v>0</v>
      </c>
      <c r="M48" s="89">
        <f t="shared" si="9"/>
        <v>0</v>
      </c>
      <c r="N48" s="89">
        <f t="shared" si="9"/>
        <v>0</v>
      </c>
      <c r="O48" s="89">
        <f t="shared" si="9"/>
        <v>0</v>
      </c>
      <c r="P48" s="89">
        <f t="shared" si="9"/>
        <v>0</v>
      </c>
      <c r="Q48" s="89">
        <f t="shared" si="9"/>
        <v>0</v>
      </c>
      <c r="R48" s="89">
        <f t="shared" si="9"/>
        <v>0</v>
      </c>
      <c r="S48" s="89">
        <f t="shared" si="9"/>
        <v>0</v>
      </c>
      <c r="T48" s="89">
        <f t="shared" si="9"/>
        <v>0</v>
      </c>
      <c r="U48" s="89">
        <f t="shared" si="9"/>
        <v>0</v>
      </c>
      <c r="V48" s="89">
        <f t="shared" si="9"/>
        <v>0</v>
      </c>
      <c r="W48" s="89">
        <f t="shared" si="9"/>
        <v>0</v>
      </c>
      <c r="X48" s="89">
        <f t="shared" si="9"/>
        <v>0</v>
      </c>
      <c r="Y48" s="89">
        <f t="shared" si="9"/>
        <v>0</v>
      </c>
      <c r="Z48" s="89">
        <f t="shared" si="9"/>
        <v>0</v>
      </c>
      <c r="AA48" s="89">
        <f t="shared" si="9"/>
        <v>0</v>
      </c>
      <c r="AB48" s="89">
        <f t="shared" si="9"/>
        <v>0</v>
      </c>
      <c r="AC48" s="89">
        <f t="shared" si="9"/>
        <v>0</v>
      </c>
      <c r="AD48" s="89">
        <f t="shared" si="9"/>
        <v>0</v>
      </c>
      <c r="AE48" s="89">
        <f t="shared" si="9"/>
        <v>0</v>
      </c>
      <c r="AF48" s="89">
        <f t="shared" si="9"/>
        <v>0</v>
      </c>
      <c r="AG48" s="89">
        <f t="shared" si="9"/>
        <v>0</v>
      </c>
      <c r="AH48" s="89">
        <f t="shared" si="9"/>
        <v>0</v>
      </c>
      <c r="AI48" s="89">
        <f t="shared" si="9"/>
        <v>6.2801999999999998</v>
      </c>
      <c r="AJ48" s="89">
        <f t="shared" si="9"/>
        <v>0</v>
      </c>
      <c r="AK48" s="89">
        <f t="shared" si="9"/>
        <v>0</v>
      </c>
      <c r="AL48" s="89">
        <f t="shared" si="9"/>
        <v>0</v>
      </c>
      <c r="AM48" s="89">
        <f t="shared" si="9"/>
        <v>0</v>
      </c>
      <c r="AN48" s="89">
        <f t="shared" si="9"/>
        <v>0</v>
      </c>
      <c r="AO48" s="89">
        <f t="shared" si="9"/>
        <v>0</v>
      </c>
      <c r="AP48" s="89">
        <f t="shared" si="9"/>
        <v>0</v>
      </c>
      <c r="AQ48" s="89">
        <f t="shared" si="9"/>
        <v>0</v>
      </c>
      <c r="AR48" s="89">
        <f t="shared" si="9"/>
        <v>0</v>
      </c>
      <c r="AS48" s="89">
        <f t="shared" si="9"/>
        <v>0</v>
      </c>
      <c r="AT48" s="89">
        <f t="shared" si="9"/>
        <v>0</v>
      </c>
      <c r="AU48" s="89">
        <f t="shared" si="9"/>
        <v>0</v>
      </c>
      <c r="AV48" s="89">
        <f t="shared" si="9"/>
        <v>0</v>
      </c>
      <c r="AW48" s="89">
        <f t="shared" si="9"/>
        <v>0</v>
      </c>
      <c r="AX48" s="89">
        <f t="shared" si="9"/>
        <v>0</v>
      </c>
      <c r="AY48" s="89">
        <f t="shared" si="9"/>
        <v>0</v>
      </c>
      <c r="AZ48" s="89">
        <f t="shared" si="9"/>
        <v>0</v>
      </c>
      <c r="BA48" s="89">
        <f t="shared" si="9"/>
        <v>0</v>
      </c>
      <c r="BB48" s="89">
        <f t="shared" si="9"/>
        <v>0</v>
      </c>
      <c r="BC48" s="89">
        <f t="shared" si="9"/>
        <v>0</v>
      </c>
      <c r="BD48" s="89">
        <f t="shared" si="9"/>
        <v>0</v>
      </c>
      <c r="BE48" s="89">
        <f t="shared" si="9"/>
        <v>0</v>
      </c>
      <c r="BF48" s="89">
        <f t="shared" si="9"/>
        <v>0</v>
      </c>
      <c r="BG48" s="89">
        <f t="shared" si="9"/>
        <v>0</v>
      </c>
      <c r="BH48" s="89">
        <f t="shared" si="9"/>
        <v>0</v>
      </c>
      <c r="BI48" s="89">
        <f t="shared" si="9"/>
        <v>0</v>
      </c>
      <c r="BJ48" s="89">
        <f t="shared" si="9"/>
        <v>0</v>
      </c>
      <c r="BK48" s="89">
        <f t="shared" si="9"/>
        <v>0</v>
      </c>
      <c r="BL48" s="89">
        <f t="shared" si="9"/>
        <v>0</v>
      </c>
      <c r="BM48" s="89">
        <f t="shared" si="9"/>
        <v>0</v>
      </c>
      <c r="BN48" s="89">
        <f t="shared" si="9"/>
        <v>0</v>
      </c>
      <c r="BO48" s="89">
        <f t="shared" si="9"/>
        <v>0</v>
      </c>
      <c r="BP48" s="89">
        <f t="shared" si="9"/>
        <v>0</v>
      </c>
      <c r="BQ48" s="89">
        <f t="shared" si="9"/>
        <v>0</v>
      </c>
      <c r="BR48" s="89">
        <f t="shared" si="9"/>
        <v>0</v>
      </c>
      <c r="BS48" s="89">
        <f t="shared" si="9"/>
        <v>0</v>
      </c>
      <c r="BT48" s="89">
        <f t="shared" si="9"/>
        <v>0</v>
      </c>
      <c r="BU48" s="219">
        <f t="shared" si="10"/>
        <v>6.2801999999999998</v>
      </c>
    </row>
    <row r="49" spans="2:73">
      <c r="B49" s="203"/>
      <c r="C49" s="203" t="str">
        <f t="shared" si="11"/>
        <v>Domestic Navigation</v>
      </c>
      <c r="D49" s="203"/>
      <c r="H49" s="219"/>
      <c r="I49" s="219"/>
      <c r="J49" s="219"/>
      <c r="K49" s="219">
        <f t="shared" si="12"/>
        <v>0</v>
      </c>
      <c r="L49" s="89">
        <f t="shared" si="9"/>
        <v>0</v>
      </c>
      <c r="M49" s="89">
        <f t="shared" si="9"/>
        <v>0</v>
      </c>
      <c r="N49" s="89">
        <f t="shared" si="9"/>
        <v>0</v>
      </c>
      <c r="O49" s="89">
        <f t="shared" si="9"/>
        <v>0</v>
      </c>
      <c r="P49" s="89">
        <f t="shared" si="9"/>
        <v>0</v>
      </c>
      <c r="Q49" s="89">
        <f t="shared" si="9"/>
        <v>0</v>
      </c>
      <c r="R49" s="89">
        <f t="shared" si="9"/>
        <v>0</v>
      </c>
      <c r="S49" s="89">
        <f t="shared" si="9"/>
        <v>0</v>
      </c>
      <c r="T49" s="89">
        <f t="shared" si="9"/>
        <v>0</v>
      </c>
      <c r="U49" s="89">
        <f t="shared" si="9"/>
        <v>0</v>
      </c>
      <c r="V49" s="89">
        <f t="shared" si="9"/>
        <v>0</v>
      </c>
      <c r="W49" s="89">
        <f t="shared" si="9"/>
        <v>0</v>
      </c>
      <c r="X49" s="89">
        <f t="shared" si="9"/>
        <v>0</v>
      </c>
      <c r="Y49" s="89">
        <f t="shared" si="9"/>
        <v>0</v>
      </c>
      <c r="Z49" s="89">
        <f t="shared" si="9"/>
        <v>0</v>
      </c>
      <c r="AA49" s="89">
        <f t="shared" si="9"/>
        <v>0</v>
      </c>
      <c r="AB49" s="89">
        <f t="shared" si="9"/>
        <v>0</v>
      </c>
      <c r="AC49" s="89">
        <f t="shared" si="9"/>
        <v>0</v>
      </c>
      <c r="AD49" s="89">
        <f t="shared" si="9"/>
        <v>0</v>
      </c>
      <c r="AE49" s="89">
        <f t="shared" si="9"/>
        <v>0</v>
      </c>
      <c r="AF49" s="89">
        <f t="shared" si="9"/>
        <v>0</v>
      </c>
      <c r="AG49" s="89">
        <f t="shared" si="9"/>
        <v>0</v>
      </c>
      <c r="AH49" s="89">
        <f t="shared" si="9"/>
        <v>0</v>
      </c>
      <c r="AI49" s="89">
        <f t="shared" si="9"/>
        <v>0</v>
      </c>
      <c r="AJ49" s="89">
        <f t="shared" si="9"/>
        <v>0</v>
      </c>
      <c r="AK49" s="89">
        <f t="shared" si="9"/>
        <v>0</v>
      </c>
      <c r="AL49" s="89">
        <f t="shared" ref="L49:BT51" si="13">AL32/1000*41.868</f>
        <v>0.41868000000000005</v>
      </c>
      <c r="AM49" s="89">
        <f t="shared" si="13"/>
        <v>0</v>
      </c>
      <c r="AN49" s="89">
        <f t="shared" si="13"/>
        <v>0</v>
      </c>
      <c r="AO49" s="89">
        <f t="shared" si="13"/>
        <v>0</v>
      </c>
      <c r="AP49" s="89">
        <f t="shared" si="13"/>
        <v>0</v>
      </c>
      <c r="AQ49" s="89">
        <f t="shared" si="13"/>
        <v>0</v>
      </c>
      <c r="AR49" s="89">
        <f t="shared" si="13"/>
        <v>0</v>
      </c>
      <c r="AS49" s="89">
        <f t="shared" si="13"/>
        <v>0</v>
      </c>
      <c r="AT49" s="89">
        <f t="shared" si="13"/>
        <v>0</v>
      </c>
      <c r="AU49" s="89">
        <f t="shared" si="13"/>
        <v>0</v>
      </c>
      <c r="AV49" s="89">
        <f t="shared" si="13"/>
        <v>0</v>
      </c>
      <c r="AW49" s="89">
        <f t="shared" si="13"/>
        <v>0</v>
      </c>
      <c r="AX49" s="89">
        <f t="shared" si="13"/>
        <v>0</v>
      </c>
      <c r="AY49" s="89">
        <f t="shared" si="13"/>
        <v>0</v>
      </c>
      <c r="AZ49" s="89">
        <f t="shared" si="13"/>
        <v>0</v>
      </c>
      <c r="BA49" s="89">
        <f t="shared" si="13"/>
        <v>0</v>
      </c>
      <c r="BB49" s="89">
        <f t="shared" si="13"/>
        <v>0</v>
      </c>
      <c r="BC49" s="89">
        <f t="shared" si="13"/>
        <v>0</v>
      </c>
      <c r="BD49" s="89">
        <f t="shared" si="13"/>
        <v>0</v>
      </c>
      <c r="BE49" s="89">
        <f t="shared" si="13"/>
        <v>0</v>
      </c>
      <c r="BF49" s="89">
        <f t="shared" si="13"/>
        <v>0</v>
      </c>
      <c r="BG49" s="89">
        <f t="shared" si="13"/>
        <v>0</v>
      </c>
      <c r="BH49" s="89">
        <f t="shared" si="13"/>
        <v>0</v>
      </c>
      <c r="BI49" s="89">
        <f t="shared" si="13"/>
        <v>0</v>
      </c>
      <c r="BJ49" s="89">
        <f t="shared" si="13"/>
        <v>0</v>
      </c>
      <c r="BK49" s="89">
        <f t="shared" si="13"/>
        <v>0</v>
      </c>
      <c r="BL49" s="89">
        <f t="shared" si="13"/>
        <v>0</v>
      </c>
      <c r="BM49" s="89">
        <f t="shared" si="13"/>
        <v>0</v>
      </c>
      <c r="BN49" s="89">
        <f t="shared" si="13"/>
        <v>0</v>
      </c>
      <c r="BO49" s="89">
        <f t="shared" si="13"/>
        <v>0</v>
      </c>
      <c r="BP49" s="89">
        <f t="shared" si="13"/>
        <v>0</v>
      </c>
      <c r="BQ49" s="89">
        <f t="shared" si="13"/>
        <v>0</v>
      </c>
      <c r="BR49" s="89">
        <f t="shared" si="13"/>
        <v>0</v>
      </c>
      <c r="BS49" s="89">
        <f t="shared" si="13"/>
        <v>0</v>
      </c>
      <c r="BT49" s="89">
        <f t="shared" si="13"/>
        <v>0</v>
      </c>
      <c r="BU49" s="219">
        <f t="shared" si="10"/>
        <v>0.41868000000000005</v>
      </c>
    </row>
    <row r="50" spans="2:73">
      <c r="B50" s="203"/>
      <c r="C50" s="203" t="str">
        <f t="shared" si="11"/>
        <v>Pipeline transport</v>
      </c>
      <c r="D50" s="203"/>
      <c r="H50" s="219"/>
      <c r="I50" s="219"/>
      <c r="J50" s="219"/>
      <c r="K50" s="219">
        <f t="shared" si="12"/>
        <v>0</v>
      </c>
      <c r="L50" s="89">
        <f t="shared" si="13"/>
        <v>0</v>
      </c>
      <c r="M50" s="89">
        <f t="shared" si="13"/>
        <v>0</v>
      </c>
      <c r="N50" s="89">
        <f t="shared" si="13"/>
        <v>0</v>
      </c>
      <c r="O50" s="89">
        <f t="shared" si="13"/>
        <v>0</v>
      </c>
      <c r="P50" s="89">
        <f t="shared" si="13"/>
        <v>0</v>
      </c>
      <c r="Q50" s="89">
        <f t="shared" si="13"/>
        <v>0</v>
      </c>
      <c r="R50" s="89">
        <f t="shared" si="13"/>
        <v>0</v>
      </c>
      <c r="S50" s="89">
        <f t="shared" si="13"/>
        <v>0</v>
      </c>
      <c r="T50" s="89">
        <f t="shared" si="13"/>
        <v>0</v>
      </c>
      <c r="U50" s="89">
        <f t="shared" si="13"/>
        <v>0</v>
      </c>
      <c r="V50" s="89">
        <f t="shared" si="13"/>
        <v>0</v>
      </c>
      <c r="W50" s="89">
        <f t="shared" si="13"/>
        <v>0</v>
      </c>
      <c r="X50" s="89">
        <f t="shared" si="13"/>
        <v>0</v>
      </c>
      <c r="Y50" s="89">
        <f t="shared" si="13"/>
        <v>0</v>
      </c>
      <c r="Z50" s="89">
        <f t="shared" si="13"/>
        <v>0</v>
      </c>
      <c r="AA50" s="89">
        <f t="shared" si="13"/>
        <v>0</v>
      </c>
      <c r="AB50" s="89">
        <f t="shared" si="13"/>
        <v>0</v>
      </c>
      <c r="AC50" s="89">
        <f t="shared" si="13"/>
        <v>0</v>
      </c>
      <c r="AD50" s="89">
        <f t="shared" si="13"/>
        <v>0</v>
      </c>
      <c r="AE50" s="89">
        <f t="shared" si="13"/>
        <v>0</v>
      </c>
      <c r="AF50" s="89">
        <f t="shared" si="13"/>
        <v>0</v>
      </c>
      <c r="AG50" s="89">
        <f t="shared" si="13"/>
        <v>0</v>
      </c>
      <c r="AH50" s="89">
        <f t="shared" si="13"/>
        <v>0</v>
      </c>
      <c r="AI50" s="89">
        <f t="shared" si="13"/>
        <v>0</v>
      </c>
      <c r="AJ50" s="89">
        <f t="shared" si="13"/>
        <v>0</v>
      </c>
      <c r="AK50" s="89">
        <f t="shared" si="13"/>
        <v>0</v>
      </c>
      <c r="AL50" s="89">
        <f t="shared" si="13"/>
        <v>0</v>
      </c>
      <c r="AM50" s="89">
        <f t="shared" si="13"/>
        <v>0</v>
      </c>
      <c r="AN50" s="89">
        <f t="shared" si="13"/>
        <v>0</v>
      </c>
      <c r="AO50" s="89">
        <f t="shared" si="13"/>
        <v>0</v>
      </c>
      <c r="AP50" s="89">
        <f t="shared" si="13"/>
        <v>0</v>
      </c>
      <c r="AQ50" s="89">
        <f t="shared" si="13"/>
        <v>0</v>
      </c>
      <c r="AR50" s="89">
        <f t="shared" si="13"/>
        <v>0</v>
      </c>
      <c r="AS50" s="89">
        <f t="shared" si="13"/>
        <v>0</v>
      </c>
      <c r="AT50" s="89">
        <f t="shared" si="13"/>
        <v>69.500879999999995</v>
      </c>
      <c r="AU50" s="89">
        <f>AU33/1000*41.868*0.8</f>
        <v>0</v>
      </c>
      <c r="AV50" s="89">
        <f t="shared" si="13"/>
        <v>0</v>
      </c>
      <c r="AW50" s="89">
        <f t="shared" si="13"/>
        <v>0</v>
      </c>
      <c r="AX50" s="89">
        <f t="shared" si="13"/>
        <v>0</v>
      </c>
      <c r="AY50" s="89">
        <f t="shared" si="13"/>
        <v>0</v>
      </c>
      <c r="AZ50" s="89">
        <f t="shared" si="13"/>
        <v>0</v>
      </c>
      <c r="BA50" s="89">
        <f t="shared" si="13"/>
        <v>0</v>
      </c>
      <c r="BB50" s="89">
        <f t="shared" si="13"/>
        <v>0</v>
      </c>
      <c r="BC50" s="89">
        <f t="shared" si="13"/>
        <v>0</v>
      </c>
      <c r="BD50" s="89">
        <f t="shared" si="13"/>
        <v>0</v>
      </c>
      <c r="BE50" s="89">
        <f t="shared" si="13"/>
        <v>0</v>
      </c>
      <c r="BF50" s="89">
        <f t="shared" si="13"/>
        <v>0</v>
      </c>
      <c r="BG50" s="89">
        <f t="shared" si="13"/>
        <v>0</v>
      </c>
      <c r="BH50" s="89">
        <f t="shared" si="13"/>
        <v>0</v>
      </c>
      <c r="BI50" s="89">
        <f t="shared" si="13"/>
        <v>0</v>
      </c>
      <c r="BJ50" s="89">
        <f t="shared" si="13"/>
        <v>0</v>
      </c>
      <c r="BK50" s="89">
        <f t="shared" si="13"/>
        <v>0</v>
      </c>
      <c r="BL50" s="89">
        <f t="shared" si="13"/>
        <v>0</v>
      </c>
      <c r="BM50" s="89">
        <f t="shared" si="13"/>
        <v>0</v>
      </c>
      <c r="BN50" s="89">
        <f t="shared" si="13"/>
        <v>0</v>
      </c>
      <c r="BO50" s="89">
        <f t="shared" si="13"/>
        <v>0</v>
      </c>
      <c r="BP50" s="89">
        <f t="shared" si="13"/>
        <v>0</v>
      </c>
      <c r="BQ50" s="89">
        <f t="shared" si="13"/>
        <v>0</v>
      </c>
      <c r="BR50" s="89">
        <f t="shared" si="13"/>
        <v>0</v>
      </c>
      <c r="BS50" s="89">
        <f t="shared" si="13"/>
        <v>0</v>
      </c>
      <c r="BT50" s="89">
        <f t="shared" si="13"/>
        <v>0</v>
      </c>
      <c r="BU50" s="219">
        <f t="shared" si="10"/>
        <v>69.500879999999995</v>
      </c>
    </row>
    <row r="51" spans="2:73">
      <c r="B51" s="203"/>
      <c r="C51" s="203" t="str">
        <f t="shared" si="11"/>
        <v>Non-specified (Transport)</v>
      </c>
      <c r="D51" s="203"/>
      <c r="H51" s="219"/>
      <c r="I51" s="219"/>
      <c r="J51" s="219"/>
      <c r="K51" s="219">
        <f t="shared" si="12"/>
        <v>0</v>
      </c>
      <c r="L51" s="89">
        <f t="shared" si="13"/>
        <v>0</v>
      </c>
      <c r="M51" s="89">
        <f t="shared" si="13"/>
        <v>0</v>
      </c>
      <c r="N51" s="89">
        <f t="shared" si="13"/>
        <v>0</v>
      </c>
      <c r="O51" s="89">
        <f t="shared" si="13"/>
        <v>0</v>
      </c>
      <c r="P51" s="89">
        <f t="shared" si="13"/>
        <v>0</v>
      </c>
      <c r="Q51" s="89">
        <f t="shared" si="13"/>
        <v>0</v>
      </c>
      <c r="R51" s="89">
        <f t="shared" si="13"/>
        <v>0</v>
      </c>
      <c r="S51" s="89">
        <f t="shared" si="13"/>
        <v>0</v>
      </c>
      <c r="T51" s="89">
        <f t="shared" si="13"/>
        <v>0</v>
      </c>
      <c r="U51" s="89">
        <f t="shared" si="13"/>
        <v>0</v>
      </c>
      <c r="V51" s="89">
        <f t="shared" si="13"/>
        <v>0</v>
      </c>
      <c r="W51" s="89">
        <f t="shared" si="13"/>
        <v>0</v>
      </c>
      <c r="X51" s="89">
        <f t="shared" si="13"/>
        <v>0</v>
      </c>
      <c r="Y51" s="89">
        <f t="shared" si="13"/>
        <v>0</v>
      </c>
      <c r="Z51" s="89">
        <f t="shared" si="13"/>
        <v>0</v>
      </c>
      <c r="AA51" s="89">
        <f t="shared" si="13"/>
        <v>0</v>
      </c>
      <c r="AB51" s="89">
        <f t="shared" si="13"/>
        <v>0</v>
      </c>
      <c r="AC51" s="89">
        <f t="shared" si="13"/>
        <v>0</v>
      </c>
      <c r="AD51" s="89">
        <f t="shared" si="13"/>
        <v>0</v>
      </c>
      <c r="AE51" s="89">
        <f t="shared" si="13"/>
        <v>0</v>
      </c>
      <c r="AF51" s="89">
        <f t="shared" si="13"/>
        <v>0</v>
      </c>
      <c r="AG51" s="89">
        <f t="shared" si="13"/>
        <v>0</v>
      </c>
      <c r="AH51" s="89">
        <f t="shared" si="13"/>
        <v>0</v>
      </c>
      <c r="AI51" s="89">
        <f t="shared" si="13"/>
        <v>0</v>
      </c>
      <c r="AJ51" s="89">
        <f t="shared" si="13"/>
        <v>0</v>
      </c>
      <c r="AK51" s="89">
        <f t="shared" si="13"/>
        <v>0</v>
      </c>
      <c r="AL51" s="89">
        <f t="shared" si="13"/>
        <v>0</v>
      </c>
      <c r="AM51" s="89">
        <f t="shared" si="13"/>
        <v>0</v>
      </c>
      <c r="AN51" s="89">
        <f t="shared" si="13"/>
        <v>0</v>
      </c>
      <c r="AO51" s="89">
        <f t="shared" si="13"/>
        <v>0</v>
      </c>
      <c r="AP51" s="89">
        <f t="shared" si="13"/>
        <v>0</v>
      </c>
      <c r="AQ51" s="89">
        <f t="shared" si="13"/>
        <v>0</v>
      </c>
      <c r="AR51" s="89">
        <f t="shared" si="13"/>
        <v>0</v>
      </c>
      <c r="AS51" s="89">
        <f t="shared" si="13"/>
        <v>0</v>
      </c>
      <c r="AT51" s="89">
        <f t="shared" si="13"/>
        <v>0</v>
      </c>
      <c r="AU51" s="89">
        <f t="shared" si="13"/>
        <v>0</v>
      </c>
      <c r="AV51" s="89">
        <f t="shared" si="13"/>
        <v>0</v>
      </c>
      <c r="AW51" s="89">
        <f t="shared" si="13"/>
        <v>0</v>
      </c>
      <c r="AX51" s="89">
        <f t="shared" si="13"/>
        <v>0</v>
      </c>
      <c r="AY51" s="89">
        <f t="shared" si="13"/>
        <v>0</v>
      </c>
      <c r="AZ51" s="89">
        <f t="shared" si="13"/>
        <v>0</v>
      </c>
      <c r="BA51" s="89">
        <f t="shared" si="13"/>
        <v>0</v>
      </c>
      <c r="BB51" s="89">
        <f t="shared" si="13"/>
        <v>0</v>
      </c>
      <c r="BC51" s="89">
        <f t="shared" si="13"/>
        <v>0</v>
      </c>
      <c r="BD51" s="89">
        <f t="shared" si="13"/>
        <v>0</v>
      </c>
      <c r="BE51" s="89">
        <f t="shared" si="13"/>
        <v>0</v>
      </c>
      <c r="BF51" s="89">
        <f t="shared" si="13"/>
        <v>0</v>
      </c>
      <c r="BG51" s="89">
        <f t="shared" si="13"/>
        <v>0</v>
      </c>
      <c r="BH51" s="89">
        <f t="shared" si="13"/>
        <v>0</v>
      </c>
      <c r="BI51" s="89">
        <f t="shared" si="13"/>
        <v>0</v>
      </c>
      <c r="BJ51" s="89">
        <f t="shared" si="13"/>
        <v>0</v>
      </c>
      <c r="BK51" s="89">
        <f t="shared" si="13"/>
        <v>0</v>
      </c>
      <c r="BL51" s="89">
        <f t="shared" si="13"/>
        <v>0</v>
      </c>
      <c r="BM51" s="89">
        <f t="shared" si="13"/>
        <v>0</v>
      </c>
      <c r="BN51" s="89">
        <f t="shared" si="13"/>
        <v>0</v>
      </c>
      <c r="BO51" s="89">
        <f t="shared" si="13"/>
        <v>0</v>
      </c>
      <c r="BP51" s="89">
        <f t="shared" si="13"/>
        <v>0</v>
      </c>
      <c r="BQ51" s="89">
        <f t="shared" si="13"/>
        <v>0</v>
      </c>
      <c r="BR51" s="89">
        <f t="shared" si="13"/>
        <v>0</v>
      </c>
      <c r="BS51" s="89">
        <f t="shared" si="13"/>
        <v>0</v>
      </c>
      <c r="BT51" s="89">
        <f t="shared" si="13"/>
        <v>0</v>
      </c>
      <c r="BU51" s="219">
        <f t="shared" si="10"/>
        <v>0</v>
      </c>
    </row>
    <row r="52" spans="2:73"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19"/>
      <c r="AV52" s="219"/>
      <c r="AW52" s="219"/>
      <c r="AX52" s="219"/>
      <c r="AY52" s="219"/>
      <c r="AZ52" s="219"/>
      <c r="BA52" s="219"/>
      <c r="BB52" s="219"/>
      <c r="BC52" s="219"/>
      <c r="BD52" s="219"/>
      <c r="BE52" s="219"/>
      <c r="BU52" s="219"/>
    </row>
    <row r="53" spans="2:73"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 t="s">
        <v>537</v>
      </c>
      <c r="BU53" s="219"/>
    </row>
    <row r="54" spans="2:73"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19"/>
      <c r="AL54" s="219"/>
      <c r="AM54" s="219"/>
      <c r="AN54" s="219"/>
      <c r="AO54" s="219"/>
      <c r="AP54" s="219"/>
      <c r="AQ54" s="219"/>
      <c r="AR54" s="219"/>
      <c r="AS54" s="219"/>
      <c r="AT54" s="219"/>
      <c r="AU54" s="219"/>
      <c r="AV54" s="219"/>
      <c r="AW54" s="219"/>
      <c r="AX54" s="219"/>
      <c r="AY54" s="219"/>
      <c r="AZ54" s="219"/>
      <c r="BA54" s="219"/>
      <c r="BB54" s="219"/>
      <c r="BC54" s="219"/>
      <c r="BD54" s="219"/>
      <c r="BE54" s="219"/>
    </row>
    <row r="55" spans="2:73"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219"/>
      <c r="AN55" s="219"/>
      <c r="AO55" s="219"/>
      <c r="AP55" s="219"/>
      <c r="AQ55" s="219"/>
      <c r="AR55" s="219"/>
      <c r="AS55" s="219"/>
      <c r="AT55" s="219"/>
      <c r="AU55" s="219"/>
      <c r="AV55" s="219"/>
      <c r="AW55" s="219"/>
      <c r="AX55" s="219"/>
      <c r="AY55" s="219"/>
      <c r="AZ55" s="219"/>
      <c r="BA55" s="219"/>
      <c r="BB55" s="219"/>
      <c r="BC55" s="219"/>
      <c r="BD55" s="219"/>
      <c r="BE55" s="219"/>
    </row>
    <row r="56" spans="2:73"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219"/>
      <c r="AN56" s="219"/>
      <c r="AO56" s="219"/>
      <c r="AP56" s="219"/>
      <c r="AQ56" s="219"/>
      <c r="AR56" s="219"/>
      <c r="AS56" s="219"/>
      <c r="AT56" s="219"/>
      <c r="AU56" s="219"/>
      <c r="AV56" s="219"/>
      <c r="AW56" s="219"/>
      <c r="AX56" s="219"/>
      <c r="AY56" s="219"/>
      <c r="AZ56" s="219"/>
      <c r="BA56" s="219"/>
      <c r="BB56" s="219"/>
      <c r="BC56" s="219"/>
      <c r="BD56" s="219"/>
      <c r="BE56" s="219"/>
    </row>
    <row r="57" spans="2:73"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219"/>
      <c r="AN57" s="219"/>
      <c r="AO57" s="219"/>
      <c r="AP57" s="219"/>
      <c r="AQ57" s="219"/>
      <c r="AR57" s="219"/>
      <c r="AS57" s="219"/>
      <c r="AT57" s="219"/>
      <c r="AU57" s="219"/>
      <c r="AV57" s="219"/>
      <c r="AW57" s="219"/>
      <c r="AX57" s="219"/>
      <c r="AY57" s="219"/>
      <c r="AZ57" s="219"/>
      <c r="BA57" s="219"/>
      <c r="BB57" s="219"/>
      <c r="BC57" s="219"/>
      <c r="BD57" s="219"/>
      <c r="BE57" s="219"/>
    </row>
    <row r="58" spans="2:73"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219"/>
      <c r="AN58" s="219"/>
      <c r="AO58" s="219"/>
      <c r="AP58" s="219"/>
      <c r="AQ58" s="219"/>
      <c r="AR58" s="219"/>
      <c r="AS58" s="219"/>
      <c r="AT58" s="219"/>
      <c r="AU58" s="219"/>
      <c r="AV58" s="219"/>
      <c r="AW58" s="219"/>
      <c r="AX58" s="219"/>
      <c r="AY58" s="219"/>
      <c r="AZ58" s="219"/>
      <c r="BA58" s="219"/>
      <c r="BB58" s="219"/>
      <c r="BC58" s="219"/>
      <c r="BD58" s="219"/>
      <c r="BE58" s="219"/>
    </row>
    <row r="59" spans="2:73"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19"/>
      <c r="AL59" s="219"/>
      <c r="AM59" s="219"/>
      <c r="AN59" s="219"/>
      <c r="AO59" s="219"/>
      <c r="AP59" s="219"/>
      <c r="AQ59" s="219"/>
      <c r="AR59" s="219"/>
      <c r="AS59" s="219"/>
      <c r="AT59" s="219"/>
      <c r="AU59" s="219"/>
      <c r="AV59" s="219"/>
      <c r="AW59" s="219"/>
      <c r="AX59" s="219"/>
      <c r="AY59" s="219"/>
      <c r="AZ59" s="219"/>
      <c r="BA59" s="219"/>
      <c r="BB59" s="219"/>
      <c r="BC59" s="219"/>
      <c r="BD59" s="219"/>
      <c r="BE59" s="219"/>
    </row>
    <row r="60" spans="2:73"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19"/>
      <c r="AW60" s="219"/>
      <c r="AX60" s="219"/>
      <c r="AY60" s="219"/>
      <c r="AZ60" s="219"/>
      <c r="BA60" s="219"/>
      <c r="BB60" s="219"/>
      <c r="BC60" s="219"/>
      <c r="BD60" s="219"/>
      <c r="BE60" s="219"/>
    </row>
    <row r="61" spans="2:73"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219"/>
      <c r="AN61" s="219"/>
      <c r="AO61" s="219"/>
      <c r="AP61" s="219"/>
      <c r="AQ61" s="219"/>
      <c r="AR61" s="219"/>
      <c r="AS61" s="219"/>
      <c r="AT61" s="219"/>
      <c r="AU61" s="219"/>
      <c r="AV61" s="219"/>
      <c r="AW61" s="219"/>
      <c r="AX61" s="219"/>
      <c r="AY61" s="219"/>
      <c r="AZ61" s="219"/>
      <c r="BA61" s="219"/>
      <c r="BB61" s="219"/>
      <c r="BC61" s="219"/>
      <c r="BD61" s="219"/>
      <c r="BE61" s="219"/>
    </row>
    <row r="62" spans="2:73"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219"/>
      <c r="AN62" s="219"/>
      <c r="AO62" s="219"/>
      <c r="AP62" s="219"/>
      <c r="AQ62" s="219"/>
      <c r="AR62" s="219"/>
      <c r="AS62" s="219"/>
      <c r="AT62" s="219"/>
      <c r="AU62" s="219"/>
      <c r="AV62" s="219"/>
      <c r="AW62" s="219"/>
      <c r="AX62" s="219"/>
      <c r="AY62" s="219"/>
      <c r="AZ62" s="219"/>
      <c r="BA62" s="219"/>
      <c r="BB62" s="219"/>
      <c r="BC62" s="219"/>
      <c r="BD62" s="219"/>
      <c r="BE62" s="219"/>
    </row>
    <row r="63" spans="2:73"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19"/>
      <c r="AL63" s="219"/>
      <c r="AM63" s="219"/>
      <c r="AN63" s="219"/>
      <c r="AO63" s="219"/>
      <c r="AP63" s="219"/>
      <c r="AQ63" s="219"/>
      <c r="AR63" s="219"/>
      <c r="AS63" s="219"/>
      <c r="AT63" s="219"/>
      <c r="AU63" s="219"/>
      <c r="AV63" s="219"/>
      <c r="AW63" s="219"/>
      <c r="AX63" s="219"/>
      <c r="AY63" s="219"/>
      <c r="AZ63" s="219"/>
      <c r="BA63" s="219"/>
      <c r="BB63" s="219"/>
      <c r="BC63" s="219"/>
      <c r="BD63" s="219"/>
      <c r="BE63" s="219"/>
    </row>
    <row r="64" spans="2:73"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219"/>
      <c r="AN64" s="219"/>
      <c r="AO64" s="219"/>
      <c r="AP64" s="219"/>
      <c r="AQ64" s="219"/>
      <c r="AR64" s="219"/>
      <c r="AS64" s="219"/>
      <c r="AT64" s="219"/>
      <c r="AU64" s="219"/>
      <c r="AV64" s="219"/>
      <c r="AW64" s="219"/>
      <c r="AX64" s="219"/>
      <c r="AY64" s="219"/>
      <c r="AZ64" s="219"/>
      <c r="BA64" s="219"/>
      <c r="BB64" s="219"/>
      <c r="BC64" s="219"/>
      <c r="BD64" s="219"/>
      <c r="BE64" s="219"/>
    </row>
    <row r="65" spans="8:57"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219"/>
      <c r="AN65" s="219"/>
      <c r="AO65" s="219"/>
      <c r="AP65" s="219"/>
      <c r="AQ65" s="219"/>
      <c r="AR65" s="219"/>
      <c r="AS65" s="219"/>
      <c r="AT65" s="219"/>
      <c r="AU65" s="219"/>
      <c r="AV65" s="219"/>
      <c r="AW65" s="219"/>
      <c r="AX65" s="219"/>
      <c r="AY65" s="219"/>
      <c r="AZ65" s="219"/>
      <c r="BA65" s="219"/>
      <c r="BB65" s="219"/>
      <c r="BC65" s="219"/>
      <c r="BD65" s="219"/>
      <c r="BE65" s="219"/>
    </row>
    <row r="66" spans="8:57"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19"/>
      <c r="AV66" s="219"/>
      <c r="AW66" s="219"/>
      <c r="AX66" s="219"/>
      <c r="AY66" s="219"/>
      <c r="AZ66" s="219"/>
      <c r="BA66" s="219"/>
      <c r="BB66" s="219"/>
      <c r="BC66" s="219"/>
      <c r="BD66" s="219"/>
      <c r="BE66" s="219"/>
    </row>
    <row r="67" spans="8:57"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19"/>
      <c r="AL67" s="219"/>
      <c r="AM67" s="219"/>
      <c r="AN67" s="219"/>
      <c r="AO67" s="219"/>
      <c r="AP67" s="219"/>
      <c r="AQ67" s="219"/>
      <c r="AR67" s="219"/>
      <c r="AS67" s="219"/>
      <c r="AT67" s="219"/>
      <c r="AU67" s="219"/>
      <c r="AV67" s="219"/>
      <c r="AW67" s="219"/>
      <c r="AX67" s="219"/>
      <c r="AY67" s="219"/>
      <c r="AZ67" s="219"/>
      <c r="BA67" s="219"/>
      <c r="BB67" s="219"/>
      <c r="BC67" s="219"/>
      <c r="BD67" s="219"/>
      <c r="BE67" s="219"/>
    </row>
    <row r="68" spans="8:57"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219"/>
      <c r="AN68" s="219"/>
      <c r="AO68" s="219"/>
      <c r="AP68" s="219"/>
      <c r="AQ68" s="219"/>
      <c r="AR68" s="219"/>
      <c r="AS68" s="219"/>
      <c r="AT68" s="219"/>
      <c r="AU68" s="219"/>
      <c r="AV68" s="219"/>
      <c r="AW68" s="219"/>
      <c r="AX68" s="219"/>
      <c r="AY68" s="219"/>
      <c r="AZ68" s="219"/>
      <c r="BA68" s="219"/>
      <c r="BB68" s="219"/>
      <c r="BC68" s="219"/>
      <c r="BD68" s="219"/>
      <c r="BE68" s="219"/>
    </row>
    <row r="69" spans="8:57"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19"/>
      <c r="AL69" s="219"/>
      <c r="AM69" s="219"/>
      <c r="AN69" s="219"/>
      <c r="AO69" s="219"/>
      <c r="AP69" s="219"/>
      <c r="AQ69" s="219"/>
      <c r="AR69" s="219"/>
      <c r="AS69" s="219"/>
      <c r="AT69" s="219"/>
      <c r="AU69" s="219"/>
      <c r="AV69" s="219"/>
      <c r="AW69" s="219"/>
      <c r="AX69" s="219"/>
      <c r="AY69" s="219"/>
      <c r="AZ69" s="219"/>
      <c r="BA69" s="219"/>
      <c r="BB69" s="219"/>
      <c r="BC69" s="219"/>
      <c r="BD69" s="219"/>
      <c r="BE69" s="219"/>
    </row>
    <row r="70" spans="8:57"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19"/>
      <c r="AL70" s="219"/>
      <c r="AM70" s="219"/>
      <c r="AN70" s="219"/>
      <c r="AO70" s="219"/>
      <c r="AP70" s="219"/>
      <c r="AQ70" s="219"/>
      <c r="AR70" s="219"/>
      <c r="AS70" s="219"/>
      <c r="AT70" s="219"/>
      <c r="AU70" s="219"/>
      <c r="AV70" s="219"/>
      <c r="AW70" s="219"/>
      <c r="AX70" s="219"/>
      <c r="AY70" s="219"/>
      <c r="AZ70" s="219"/>
      <c r="BA70" s="219"/>
      <c r="BB70" s="219"/>
      <c r="BC70" s="219"/>
      <c r="BD70" s="219"/>
      <c r="BE70" s="219"/>
    </row>
    <row r="71" spans="8:57"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219"/>
      <c r="AN71" s="219"/>
      <c r="AO71" s="219"/>
      <c r="AP71" s="219"/>
      <c r="AQ71" s="219"/>
      <c r="AR71" s="219"/>
      <c r="AS71" s="219"/>
      <c r="AT71" s="219"/>
      <c r="AU71" s="219"/>
      <c r="AV71" s="219"/>
      <c r="AW71" s="219"/>
      <c r="AX71" s="219"/>
      <c r="AY71" s="219"/>
      <c r="AZ71" s="219"/>
      <c r="BA71" s="219"/>
      <c r="BB71" s="219"/>
      <c r="BC71" s="219"/>
      <c r="BD71" s="219"/>
      <c r="BE71" s="219"/>
    </row>
    <row r="72" spans="8:57"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  <c r="AX72" s="219"/>
      <c r="AY72" s="219"/>
      <c r="AZ72" s="219"/>
      <c r="BA72" s="219"/>
      <c r="BB72" s="219"/>
      <c r="BC72" s="219"/>
      <c r="BD72" s="219"/>
      <c r="BE72" s="219"/>
    </row>
    <row r="73" spans="8:57"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19"/>
      <c r="AW73" s="219"/>
      <c r="AX73" s="219"/>
      <c r="AY73" s="219"/>
      <c r="AZ73" s="219"/>
      <c r="BA73" s="219"/>
      <c r="BB73" s="219"/>
      <c r="BC73" s="219"/>
      <c r="BD73" s="219"/>
      <c r="BE73" s="219"/>
    </row>
    <row r="74" spans="8:57"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</row>
    <row r="75" spans="8:57"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19"/>
      <c r="AW75" s="219"/>
      <c r="AX75" s="219"/>
      <c r="AY75" s="219"/>
      <c r="AZ75" s="219"/>
      <c r="BA75" s="219"/>
      <c r="BB75" s="219"/>
      <c r="BC75" s="219"/>
      <c r="BD75" s="219"/>
      <c r="BE75" s="219"/>
    </row>
    <row r="76" spans="8:57"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  <c r="AX76" s="219"/>
      <c r="AY76" s="219"/>
      <c r="AZ76" s="219"/>
      <c r="BA76" s="219"/>
      <c r="BB76" s="219"/>
      <c r="BC76" s="219"/>
      <c r="BD76" s="219"/>
      <c r="BE76" s="219"/>
    </row>
    <row r="77" spans="8:57"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19"/>
      <c r="AZ77" s="219"/>
      <c r="BA77" s="219"/>
      <c r="BB77" s="219"/>
      <c r="BC77" s="219"/>
      <c r="BD77" s="219"/>
      <c r="BE77" s="219"/>
    </row>
    <row r="78" spans="8:57"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</row>
    <row r="79" spans="8:57"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</row>
    <row r="80" spans="8:57"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  <c r="AX80" s="219"/>
      <c r="AY80" s="219"/>
      <c r="AZ80" s="219"/>
      <c r="BA80" s="219"/>
      <c r="BB80" s="219"/>
      <c r="BC80" s="219"/>
      <c r="BD80" s="219"/>
      <c r="BE80" s="219"/>
    </row>
    <row r="81" spans="8:57"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  <c r="AX81" s="219"/>
      <c r="AY81" s="219"/>
      <c r="AZ81" s="219"/>
      <c r="BA81" s="219"/>
      <c r="BB81" s="219"/>
      <c r="BC81" s="219"/>
      <c r="BD81" s="219"/>
      <c r="BE81" s="219"/>
    </row>
    <row r="82" spans="8:57"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  <c r="AX82" s="219"/>
      <c r="AY82" s="219"/>
      <c r="AZ82" s="219"/>
      <c r="BA82" s="219"/>
      <c r="BB82" s="219"/>
      <c r="BC82" s="219"/>
      <c r="BD82" s="219"/>
      <c r="BE82" s="219"/>
    </row>
    <row r="83" spans="8:57"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</row>
    <row r="84" spans="8:57"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19"/>
      <c r="AZ84" s="219"/>
      <c r="BA84" s="219"/>
      <c r="BB84" s="219"/>
      <c r="BC84" s="219"/>
      <c r="BD84" s="219"/>
      <c r="BE84" s="219"/>
    </row>
    <row r="85" spans="8:57"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  <c r="AX85" s="219"/>
      <c r="AY85" s="219"/>
      <c r="AZ85" s="219"/>
      <c r="BA85" s="219"/>
      <c r="BB85" s="219"/>
      <c r="BC85" s="219"/>
      <c r="BD85" s="219"/>
      <c r="BE85" s="219"/>
    </row>
    <row r="86" spans="8:57"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219"/>
      <c r="AN86" s="219"/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</row>
    <row r="87" spans="8:57"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</row>
    <row r="88" spans="8:57"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19"/>
      <c r="AZ88" s="219"/>
      <c r="BA88" s="219"/>
      <c r="BB88" s="219"/>
      <c r="BC88" s="219"/>
      <c r="BD88" s="219"/>
      <c r="BE88" s="219"/>
    </row>
    <row r="89" spans="8:57"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19"/>
      <c r="AZ89" s="219"/>
      <c r="BA89" s="219"/>
      <c r="BB89" s="219"/>
      <c r="BC89" s="219"/>
      <c r="BD89" s="219"/>
      <c r="BE89" s="219"/>
    </row>
    <row r="90" spans="8:57"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19"/>
      <c r="AZ90" s="219"/>
      <c r="BA90" s="219"/>
      <c r="BB90" s="219"/>
      <c r="BC90" s="219"/>
      <c r="BD90" s="219"/>
      <c r="BE90" s="219"/>
    </row>
    <row r="91" spans="8:57"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19"/>
      <c r="AZ91" s="219"/>
      <c r="BA91" s="219"/>
      <c r="BB91" s="219"/>
      <c r="BC91" s="219"/>
      <c r="BD91" s="219"/>
      <c r="BE91" s="219"/>
    </row>
    <row r="92" spans="8:57"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B92" s="219"/>
      <c r="BC92" s="219"/>
      <c r="BD92" s="219"/>
      <c r="BE92" s="219"/>
    </row>
    <row r="93" spans="8:57"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19"/>
    </row>
    <row r="94" spans="8:57"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</row>
    <row r="95" spans="8:57"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219"/>
      <c r="AY95" s="219"/>
      <c r="AZ95" s="219"/>
      <c r="BA95" s="219"/>
      <c r="BB95" s="219"/>
      <c r="BC95" s="219"/>
      <c r="BD95" s="219"/>
      <c r="BE95" s="219"/>
    </row>
    <row r="96" spans="8:57"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</row>
    <row r="97" spans="8:57"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  <c r="AX97" s="219"/>
      <c r="AY97" s="219"/>
      <c r="AZ97" s="219"/>
      <c r="BA97" s="219"/>
      <c r="BB97" s="219"/>
      <c r="BC97" s="219"/>
      <c r="BD97" s="219"/>
      <c r="BE97" s="219"/>
    </row>
    <row r="98" spans="8:57"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19"/>
      <c r="AZ98" s="219"/>
      <c r="BA98" s="219"/>
      <c r="BB98" s="219"/>
      <c r="BC98" s="219"/>
      <c r="BD98" s="219"/>
      <c r="BE98" s="219"/>
    </row>
    <row r="99" spans="8:57"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219"/>
      <c r="AN99" s="219"/>
      <c r="AO99" s="219"/>
      <c r="AP99" s="219"/>
      <c r="AQ99" s="219"/>
      <c r="AR99" s="219"/>
      <c r="AS99" s="219"/>
      <c r="AT99" s="219"/>
      <c r="AU99" s="219"/>
      <c r="AV99" s="219"/>
      <c r="AW99" s="219"/>
      <c r="AX99" s="219"/>
      <c r="AY99" s="219"/>
      <c r="AZ99" s="219"/>
      <c r="BA99" s="219"/>
      <c r="BB99" s="219"/>
      <c r="BC99" s="219"/>
      <c r="BD99" s="219"/>
      <c r="BE99" s="219"/>
    </row>
    <row r="100" spans="8:57"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219"/>
      <c r="AN100" s="219"/>
      <c r="AO100" s="219"/>
      <c r="AP100" s="219"/>
      <c r="AQ100" s="219"/>
      <c r="AR100" s="219"/>
      <c r="AS100" s="219"/>
      <c r="AT100" s="219"/>
      <c r="AU100" s="219"/>
      <c r="AV100" s="219"/>
      <c r="AW100" s="219"/>
      <c r="AX100" s="219"/>
      <c r="AY100" s="219"/>
      <c r="AZ100" s="219"/>
      <c r="BA100" s="219"/>
      <c r="BB100" s="219"/>
      <c r="BC100" s="219"/>
      <c r="BD100" s="219"/>
      <c r="BE100" s="2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zoomScale="70" zoomScaleNormal="70" workbookViewId="0">
      <selection activeCell="D44" activeCellId="1" sqref="F7 D44"/>
    </sheetView>
  </sheetViews>
  <sheetFormatPr defaultColWidth="9.109375" defaultRowHeight="13.8"/>
  <cols>
    <col min="1" max="1" width="11.109375" style="30" bestFit="1" customWidth="1"/>
    <col min="2" max="2" width="21.6640625" style="30" bestFit="1" customWidth="1"/>
    <col min="3" max="3" width="13.44140625" style="30" bestFit="1" customWidth="1"/>
    <col min="4" max="4" width="12.88671875" style="30" bestFit="1" customWidth="1"/>
    <col min="5" max="5" width="23.88671875" style="30" bestFit="1" customWidth="1"/>
    <col min="6" max="6" width="7.88671875" style="30" customWidth="1"/>
    <col min="7" max="7" width="9" style="30" bestFit="1" customWidth="1"/>
    <col min="8" max="8" width="21.109375" style="30" bestFit="1" customWidth="1"/>
    <col min="9" max="9" width="8.6640625" style="30" bestFit="1" customWidth="1"/>
    <col min="10" max="11" width="9" style="30" customWidth="1"/>
    <col min="12" max="12" width="8.6640625" style="30" customWidth="1"/>
    <col min="13" max="13" width="7.88671875" style="30" bestFit="1" customWidth="1"/>
    <col min="14" max="15" width="9.109375" style="30"/>
    <col min="16" max="16" width="12" style="30" bestFit="1" customWidth="1"/>
    <col min="17" max="17" width="10.5546875" style="30" customWidth="1"/>
    <col min="18" max="16384" width="9.109375" style="30"/>
  </cols>
  <sheetData>
    <row r="1" spans="1:24">
      <c r="A1" s="23" t="s">
        <v>501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14.4" thickBot="1"/>
    <row r="3" spans="1:24" ht="14.4" thickBot="1">
      <c r="A3" s="26" t="s">
        <v>460</v>
      </c>
      <c r="B3" s="27" t="s">
        <v>461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24">
      <c r="A4" s="31"/>
      <c r="B4" s="27" t="s">
        <v>64</v>
      </c>
      <c r="C4" s="28"/>
      <c r="D4" s="29"/>
      <c r="E4" s="32" t="s">
        <v>462</v>
      </c>
      <c r="F4" s="32" t="s">
        <v>445</v>
      </c>
      <c r="G4" s="27" t="s">
        <v>62</v>
      </c>
      <c r="H4" s="28"/>
      <c r="I4" s="29"/>
      <c r="J4" s="27" t="s">
        <v>156</v>
      </c>
      <c r="K4" s="28"/>
      <c r="L4" s="29"/>
      <c r="M4" s="32" t="s">
        <v>463</v>
      </c>
      <c r="N4" s="33"/>
    </row>
    <row r="5" spans="1:24" ht="5.25" customHeight="1">
      <c r="A5" s="31"/>
      <c r="B5" s="34"/>
      <c r="C5" s="35"/>
      <c r="D5" s="36"/>
      <c r="E5" s="37"/>
      <c r="F5" s="37"/>
      <c r="G5" s="34"/>
      <c r="H5" s="35"/>
      <c r="I5" s="36"/>
      <c r="J5" s="34"/>
      <c r="K5" s="35"/>
      <c r="L5" s="36"/>
      <c r="M5" s="37"/>
      <c r="N5" s="33"/>
    </row>
    <row r="6" spans="1:24" hidden="1">
      <c r="A6" s="31"/>
      <c r="B6" s="34"/>
      <c r="C6" s="35"/>
      <c r="D6" s="36"/>
      <c r="E6" s="37"/>
      <c r="F6" s="37"/>
      <c r="G6" s="34"/>
      <c r="H6" s="35"/>
      <c r="I6" s="36"/>
      <c r="J6" s="34"/>
      <c r="K6" s="35"/>
      <c r="L6" s="36"/>
      <c r="M6" s="37"/>
      <c r="N6" s="33"/>
    </row>
    <row r="7" spans="1:24" ht="6.75" customHeight="1">
      <c r="A7" s="31"/>
      <c r="B7" s="34"/>
      <c r="C7" s="35"/>
      <c r="D7" s="36"/>
      <c r="E7" s="37"/>
      <c r="F7" s="37"/>
      <c r="G7" s="34"/>
      <c r="H7" s="35"/>
      <c r="I7" s="36"/>
      <c r="J7" s="34"/>
      <c r="K7" s="35"/>
      <c r="L7" s="36"/>
      <c r="M7" s="37"/>
      <c r="N7" s="33"/>
    </row>
    <row r="8" spans="1:24" ht="3.75" customHeight="1" thickBot="1">
      <c r="A8" s="31"/>
      <c r="B8" s="38"/>
      <c r="C8" s="39"/>
      <c r="D8" s="40"/>
      <c r="E8" s="37"/>
      <c r="F8" s="37"/>
      <c r="G8" s="38"/>
      <c r="H8" s="39"/>
      <c r="I8" s="40"/>
      <c r="J8" s="38"/>
      <c r="K8" s="39"/>
      <c r="L8" s="40"/>
      <c r="M8" s="37"/>
      <c r="N8" s="33"/>
    </row>
    <row r="9" spans="1:24" ht="14.4" thickBot="1">
      <c r="A9" s="31"/>
      <c r="B9" s="41" t="s">
        <v>464</v>
      </c>
      <c r="C9" s="42"/>
      <c r="D9" s="43"/>
      <c r="E9" s="37"/>
      <c r="F9" s="37"/>
      <c r="G9" s="41" t="s">
        <v>344</v>
      </c>
      <c r="H9" s="42"/>
      <c r="I9" s="43"/>
      <c r="J9" s="41" t="s">
        <v>344</v>
      </c>
      <c r="K9" s="42"/>
      <c r="L9" s="43"/>
      <c r="M9" s="37"/>
      <c r="N9" s="44"/>
    </row>
    <row r="10" spans="1:24" ht="16.2" thickBot="1">
      <c r="A10" s="45"/>
      <c r="B10" s="46" t="s">
        <v>465</v>
      </c>
      <c r="C10" s="46" t="s">
        <v>466</v>
      </c>
      <c r="D10" s="46" t="s">
        <v>467</v>
      </c>
      <c r="E10" s="47"/>
      <c r="F10" s="47"/>
      <c r="G10" s="46" t="s">
        <v>468</v>
      </c>
      <c r="H10" s="46" t="s">
        <v>469</v>
      </c>
      <c r="I10" s="46" t="s">
        <v>467</v>
      </c>
      <c r="J10" s="46" t="s">
        <v>468</v>
      </c>
      <c r="K10" s="48" t="s">
        <v>469</v>
      </c>
      <c r="L10" s="46" t="s">
        <v>467</v>
      </c>
      <c r="M10" s="47"/>
      <c r="N10" s="44"/>
      <c r="O10" s="59"/>
      <c r="P10" s="60" t="s">
        <v>413</v>
      </c>
      <c r="Q10" s="60"/>
      <c r="R10" s="60"/>
      <c r="S10" s="60"/>
      <c r="T10" s="60"/>
      <c r="U10" s="61"/>
    </row>
    <row r="11" spans="1:24" ht="14.4" thickBot="1">
      <c r="A11" s="27" t="s">
        <v>470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6"/>
      <c r="N11" s="44"/>
      <c r="O11" s="51"/>
      <c r="P11" s="52" t="s">
        <v>489</v>
      </c>
      <c r="Q11" s="52" t="s">
        <v>490</v>
      </c>
      <c r="R11" s="52" t="s">
        <v>445</v>
      </c>
      <c r="S11" s="52" t="s">
        <v>462</v>
      </c>
      <c r="T11" s="52" t="s">
        <v>492</v>
      </c>
      <c r="U11" s="53" t="s">
        <v>491</v>
      </c>
    </row>
    <row r="12" spans="1:24" ht="14.4" thickBot="1">
      <c r="A12" s="27" t="s">
        <v>471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6"/>
      <c r="N12" s="44"/>
      <c r="O12" s="54">
        <v>2016</v>
      </c>
      <c r="P12" s="50">
        <f>B17+C17+D17</f>
        <v>0</v>
      </c>
      <c r="Q12" s="50">
        <f>G17+H17+I17</f>
        <v>0</v>
      </c>
      <c r="R12" s="50">
        <f>F17</f>
        <v>0</v>
      </c>
      <c r="S12" s="50">
        <f>E17</f>
        <v>0</v>
      </c>
      <c r="T12" s="50">
        <f>J17+K17+L17</f>
        <v>0</v>
      </c>
      <c r="U12" s="55">
        <f>M17</f>
        <v>0</v>
      </c>
    </row>
    <row r="13" spans="1:24" ht="14.4" thickBot="1">
      <c r="A13" s="27" t="s">
        <v>472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6"/>
      <c r="N13" s="44"/>
      <c r="O13" s="56">
        <v>2017</v>
      </c>
      <c r="P13" s="57">
        <f>B18+C18+D18</f>
        <v>0</v>
      </c>
      <c r="Q13" s="57">
        <f>G18+H18+I18</f>
        <v>0</v>
      </c>
      <c r="R13" s="57">
        <f>F18</f>
        <v>0</v>
      </c>
      <c r="S13" s="57">
        <f>E18</f>
        <v>0</v>
      </c>
      <c r="T13" s="57">
        <f>J18+K18+L18</f>
        <v>0</v>
      </c>
      <c r="U13" s="58">
        <f>M18</f>
        <v>0</v>
      </c>
    </row>
    <row r="14" spans="1:24" ht="14.4" thickBot="1">
      <c r="A14" s="27" t="s">
        <v>473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6"/>
      <c r="N14" s="44"/>
    </row>
    <row r="15" spans="1:24" ht="14.4" thickBot="1">
      <c r="A15" s="27" t="s">
        <v>474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6"/>
      <c r="N15" s="44"/>
    </row>
    <row r="16" spans="1:24" ht="14.4" thickBot="1">
      <c r="A16" s="27" t="s">
        <v>475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6"/>
      <c r="N16" s="44"/>
    </row>
    <row r="17" spans="1:23" ht="14.4" thickBot="1">
      <c r="A17" s="27" t="s">
        <v>476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6"/>
      <c r="N17" s="44"/>
    </row>
    <row r="18" spans="1:23" ht="14.4" thickBot="1">
      <c r="A18" s="41" t="s">
        <v>477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9"/>
      <c r="N18" s="44"/>
    </row>
    <row r="21" spans="1:23" ht="14.4" thickBot="1">
      <c r="A21" s="72" t="s">
        <v>460</v>
      </c>
      <c r="B21" s="76" t="s">
        <v>520</v>
      </c>
      <c r="C21" s="76"/>
      <c r="D21" s="76"/>
      <c r="E21" s="76"/>
      <c r="F21" s="76"/>
      <c r="G21" s="76"/>
      <c r="H21" s="76"/>
      <c r="I21" s="76"/>
      <c r="J21" s="76"/>
      <c r="K21" s="72"/>
    </row>
    <row r="22" spans="1:23">
      <c r="A22" s="73"/>
      <c r="B22" s="77" t="s">
        <v>478</v>
      </c>
      <c r="C22" s="78"/>
      <c r="D22" s="79"/>
      <c r="E22" s="77" t="s">
        <v>479</v>
      </c>
      <c r="F22" s="78"/>
      <c r="G22" s="79"/>
      <c r="H22" s="77" t="s">
        <v>480</v>
      </c>
      <c r="I22" s="78"/>
      <c r="J22" s="79"/>
      <c r="K22" s="75" t="s">
        <v>463</v>
      </c>
    </row>
    <row r="23" spans="1:23" ht="14.4" thickBot="1">
      <c r="A23" s="73"/>
      <c r="B23" s="80" t="s">
        <v>64</v>
      </c>
      <c r="C23" s="71" t="s">
        <v>62</v>
      </c>
      <c r="D23" s="81" t="s">
        <v>156</v>
      </c>
      <c r="E23" s="80" t="s">
        <v>64</v>
      </c>
      <c r="F23" s="71" t="s">
        <v>62</v>
      </c>
      <c r="G23" s="81" t="s">
        <v>156</v>
      </c>
      <c r="H23" s="80" t="s">
        <v>64</v>
      </c>
      <c r="I23" s="71" t="s">
        <v>62</v>
      </c>
      <c r="J23" s="81" t="s">
        <v>156</v>
      </c>
      <c r="K23" s="75"/>
    </row>
    <row r="24" spans="1:23" ht="29.25" hidden="1" customHeight="1">
      <c r="A24" s="73"/>
      <c r="B24" s="80"/>
      <c r="C24" s="71"/>
      <c r="D24" s="81"/>
      <c r="E24" s="80"/>
      <c r="F24" s="71"/>
      <c r="G24" s="81"/>
      <c r="H24" s="80"/>
      <c r="I24" s="71"/>
      <c r="J24" s="81"/>
      <c r="K24" s="75"/>
    </row>
    <row r="25" spans="1:23" ht="14.4" hidden="1" thickBot="1">
      <c r="A25" s="73"/>
      <c r="B25" s="80"/>
      <c r="C25" s="71"/>
      <c r="D25" s="81"/>
      <c r="E25" s="80"/>
      <c r="F25" s="71"/>
      <c r="G25" s="81"/>
      <c r="H25" s="80"/>
      <c r="I25" s="71"/>
      <c r="J25" s="81"/>
      <c r="K25" s="75"/>
    </row>
    <row r="26" spans="1:23" ht="14.4" hidden="1" thickBot="1">
      <c r="A26" s="73"/>
      <c r="B26" s="80"/>
      <c r="C26" s="71"/>
      <c r="D26" s="81"/>
      <c r="E26" s="80"/>
      <c r="F26" s="71"/>
      <c r="G26" s="81"/>
      <c r="H26" s="80"/>
      <c r="I26" s="71"/>
      <c r="J26" s="81"/>
      <c r="K26" s="75"/>
    </row>
    <row r="27" spans="1:23" ht="14.4" hidden="1" thickBot="1">
      <c r="A27" s="73"/>
      <c r="B27" s="80"/>
      <c r="C27" s="71"/>
      <c r="D27" s="81"/>
      <c r="E27" s="80"/>
      <c r="F27" s="71"/>
      <c r="G27" s="81"/>
      <c r="H27" s="80"/>
      <c r="I27" s="71"/>
      <c r="J27" s="81"/>
      <c r="K27" s="75"/>
    </row>
    <row r="28" spans="1:23" ht="14.4" thickBot="1">
      <c r="A28" s="73" t="s">
        <v>470</v>
      </c>
      <c r="B28" s="82"/>
      <c r="C28" s="72"/>
      <c r="D28" s="81"/>
      <c r="E28" s="82"/>
      <c r="F28" s="72"/>
      <c r="G28" s="81"/>
      <c r="H28" s="82"/>
      <c r="I28" s="72"/>
      <c r="J28" s="81"/>
      <c r="K28" s="74"/>
      <c r="O28" s="62"/>
      <c r="P28" s="62" t="s">
        <v>376</v>
      </c>
      <c r="Q28" s="63"/>
      <c r="R28" s="63"/>
      <c r="S28" s="64"/>
      <c r="T28" s="62" t="s">
        <v>375</v>
      </c>
      <c r="U28" s="63"/>
      <c r="V28" s="63"/>
      <c r="W28" s="64"/>
    </row>
    <row r="29" spans="1:23">
      <c r="A29" s="73" t="s">
        <v>471</v>
      </c>
      <c r="B29" s="82"/>
      <c r="C29" s="72"/>
      <c r="D29" s="81"/>
      <c r="E29" s="82"/>
      <c r="F29" s="72"/>
      <c r="G29" s="81"/>
      <c r="H29" s="82"/>
      <c r="I29" s="72"/>
      <c r="J29" s="81"/>
      <c r="K29" s="74"/>
      <c r="O29" s="62"/>
      <c r="P29" s="65" t="s">
        <v>64</v>
      </c>
      <c r="Q29" s="66" t="s">
        <v>62</v>
      </c>
      <c r="R29" s="66" t="s">
        <v>156</v>
      </c>
      <c r="S29" s="67" t="s">
        <v>493</v>
      </c>
      <c r="T29" s="65" t="s">
        <v>64</v>
      </c>
      <c r="U29" s="66" t="s">
        <v>62</v>
      </c>
      <c r="V29" s="66" t="s">
        <v>156</v>
      </c>
      <c r="W29" s="67" t="s">
        <v>493</v>
      </c>
    </row>
    <row r="30" spans="1:23">
      <c r="A30" s="73" t="s">
        <v>472</v>
      </c>
      <c r="B30" s="82"/>
      <c r="C30" s="72"/>
      <c r="D30" s="81"/>
      <c r="E30" s="82"/>
      <c r="F30" s="72"/>
      <c r="G30" s="81"/>
      <c r="H30" s="82"/>
      <c r="I30" s="72"/>
      <c r="J30" s="81"/>
      <c r="K30" s="74"/>
      <c r="O30" s="65">
        <v>2016</v>
      </c>
      <c r="P30" s="65">
        <f>E28+H28</f>
        <v>0</v>
      </c>
      <c r="Q30" s="66">
        <f t="shared" ref="Q30:R30" si="0">F28+I28</f>
        <v>0</v>
      </c>
      <c r="R30" s="66">
        <f t="shared" si="0"/>
        <v>0</v>
      </c>
      <c r="S30" s="67">
        <f>K34</f>
        <v>0</v>
      </c>
      <c r="T30" s="65">
        <f>B34</f>
        <v>0</v>
      </c>
      <c r="U30" s="66">
        <f t="shared" ref="U30:V30" si="1">C34</f>
        <v>0</v>
      </c>
      <c r="V30" s="66">
        <f t="shared" si="1"/>
        <v>0</v>
      </c>
      <c r="W30" s="67"/>
    </row>
    <row r="31" spans="1:23" ht="14.4" thickBot="1">
      <c r="A31" s="73" t="s">
        <v>473</v>
      </c>
      <c r="B31" s="82"/>
      <c r="C31" s="72"/>
      <c r="D31" s="81"/>
      <c r="E31" s="82"/>
      <c r="F31" s="72"/>
      <c r="G31" s="81"/>
      <c r="H31" s="82"/>
      <c r="I31" s="72"/>
      <c r="J31" s="81"/>
      <c r="K31" s="74"/>
      <c r="O31" s="68">
        <v>2017</v>
      </c>
      <c r="P31" s="68">
        <f>E35+H35</f>
        <v>0</v>
      </c>
      <c r="Q31" s="69">
        <f>F35+I35</f>
        <v>0</v>
      </c>
      <c r="R31" s="69">
        <f>G35+J35</f>
        <v>0</v>
      </c>
      <c r="S31" s="70">
        <f>K35</f>
        <v>0</v>
      </c>
      <c r="T31" s="68">
        <f>B35</f>
        <v>0</v>
      </c>
      <c r="U31" s="69">
        <f t="shared" ref="U31" si="2">C35</f>
        <v>0</v>
      </c>
      <c r="V31" s="69">
        <f t="shared" ref="V31" si="3">D35</f>
        <v>0</v>
      </c>
      <c r="W31" s="70"/>
    </row>
    <row r="32" spans="1:23">
      <c r="A32" s="73" t="s">
        <v>474</v>
      </c>
      <c r="B32" s="82"/>
      <c r="C32" s="72"/>
      <c r="D32" s="81"/>
      <c r="E32" s="82"/>
      <c r="F32" s="72"/>
      <c r="G32" s="81"/>
      <c r="H32" s="82"/>
      <c r="I32" s="72"/>
      <c r="J32" s="81"/>
      <c r="K32" s="74"/>
    </row>
    <row r="33" spans="1:11">
      <c r="A33" s="73" t="s">
        <v>475</v>
      </c>
      <c r="B33" s="82"/>
      <c r="C33" s="72"/>
      <c r="D33" s="81"/>
      <c r="E33" s="82"/>
      <c r="F33" s="72"/>
      <c r="G33" s="81"/>
      <c r="H33" s="82"/>
      <c r="I33" s="72"/>
      <c r="J33" s="81"/>
      <c r="K33" s="74"/>
    </row>
    <row r="34" spans="1:11">
      <c r="A34" s="73" t="s">
        <v>476</v>
      </c>
      <c r="B34" s="82"/>
      <c r="C34" s="72"/>
      <c r="D34" s="81"/>
      <c r="E34" s="82"/>
      <c r="F34" s="72"/>
      <c r="G34" s="81"/>
      <c r="H34" s="82"/>
      <c r="I34" s="72"/>
      <c r="J34" s="81"/>
      <c r="K34" s="74"/>
    </row>
    <row r="35" spans="1:11" ht="14.4" thickBot="1">
      <c r="A35" s="73" t="s">
        <v>477</v>
      </c>
      <c r="B35" s="83"/>
      <c r="C35" s="84"/>
      <c r="D35" s="85"/>
      <c r="E35" s="83"/>
      <c r="F35" s="84"/>
      <c r="G35" s="85"/>
      <c r="H35" s="83"/>
      <c r="I35" s="84"/>
      <c r="J35" s="85"/>
      <c r="K35" s="74"/>
    </row>
    <row r="37" spans="1:11" ht="14.4" thickBot="1"/>
    <row r="38" spans="1:11" ht="14.4" thickBot="1">
      <c r="A38" s="26" t="s">
        <v>481</v>
      </c>
      <c r="B38" s="41" t="s">
        <v>482</v>
      </c>
      <c r="C38" s="42"/>
      <c r="D38" s="42"/>
      <c r="E38" s="42"/>
      <c r="F38" s="43"/>
    </row>
    <row r="39" spans="1:11" ht="14.4" thickBot="1">
      <c r="A39" s="31"/>
      <c r="B39" s="41" t="s">
        <v>483</v>
      </c>
      <c r="C39" s="43"/>
      <c r="D39" s="41" t="s">
        <v>484</v>
      </c>
      <c r="E39" s="43"/>
      <c r="F39" s="26" t="s">
        <v>463</v>
      </c>
    </row>
    <row r="40" spans="1:11" ht="14.4" thickBot="1">
      <c r="A40" s="45"/>
      <c r="B40" s="27" t="s">
        <v>64</v>
      </c>
      <c r="C40" s="27" t="s">
        <v>62</v>
      </c>
      <c r="D40" s="27" t="s">
        <v>64</v>
      </c>
      <c r="E40" s="27" t="s">
        <v>62</v>
      </c>
      <c r="F40" s="45"/>
    </row>
    <row r="41" spans="1:11" ht="14.4" thickBot="1">
      <c r="A41" s="27" t="s">
        <v>470</v>
      </c>
      <c r="B41" s="27"/>
      <c r="C41" s="27"/>
      <c r="D41" s="27"/>
      <c r="E41" s="27"/>
      <c r="F41" s="26"/>
      <c r="H41" s="30" t="s">
        <v>494</v>
      </c>
    </row>
    <row r="42" spans="1:11" ht="14.4" thickBot="1">
      <c r="A42" s="27" t="s">
        <v>471</v>
      </c>
      <c r="B42" s="27"/>
      <c r="C42" s="27"/>
      <c r="D42" s="27"/>
      <c r="E42" s="27"/>
      <c r="F42" s="26"/>
      <c r="H42" s="62"/>
      <c r="I42" s="63" t="s">
        <v>64</v>
      </c>
      <c r="J42" s="63" t="s">
        <v>62</v>
      </c>
      <c r="K42" s="64" t="s">
        <v>493</v>
      </c>
    </row>
    <row r="43" spans="1:11" ht="14.4" thickBot="1">
      <c r="A43" s="27" t="s">
        <v>472</v>
      </c>
      <c r="B43" s="27"/>
      <c r="C43" s="27"/>
      <c r="D43" s="27"/>
      <c r="E43" s="27"/>
      <c r="F43" s="26"/>
      <c r="H43" s="65">
        <v>2016</v>
      </c>
      <c r="I43" s="66">
        <f>B47+D47</f>
        <v>0</v>
      </c>
      <c r="J43" s="66">
        <f>C47+E47</f>
        <v>0</v>
      </c>
      <c r="K43" s="67">
        <f>F47</f>
        <v>0</v>
      </c>
    </row>
    <row r="44" spans="1:11" ht="14.4" thickBot="1">
      <c r="A44" s="27" t="s">
        <v>473</v>
      </c>
      <c r="B44" s="27"/>
      <c r="C44" s="27"/>
      <c r="D44" s="27"/>
      <c r="E44" s="27"/>
      <c r="F44" s="26"/>
      <c r="H44" s="68">
        <v>2017</v>
      </c>
      <c r="I44" s="69">
        <f>B48+D48</f>
        <v>0</v>
      </c>
      <c r="J44" s="69">
        <f>C48+E48</f>
        <v>0</v>
      </c>
      <c r="K44" s="70">
        <f>F48</f>
        <v>0</v>
      </c>
    </row>
    <row r="45" spans="1:11" ht="14.4" thickBot="1">
      <c r="A45" s="27" t="s">
        <v>474</v>
      </c>
      <c r="B45" s="27"/>
      <c r="C45" s="27"/>
      <c r="D45" s="27"/>
      <c r="E45" s="27"/>
      <c r="F45" s="26"/>
    </row>
    <row r="46" spans="1:11" ht="14.4" thickBot="1">
      <c r="A46" s="27" t="s">
        <v>475</v>
      </c>
      <c r="B46" s="27"/>
      <c r="C46" s="27"/>
      <c r="D46" s="27"/>
      <c r="E46" s="27"/>
      <c r="F46" s="26"/>
    </row>
    <row r="47" spans="1:11" ht="14.4" thickBot="1">
      <c r="A47" s="27" t="s">
        <v>476</v>
      </c>
      <c r="B47" s="27"/>
      <c r="C47" s="27"/>
      <c r="D47" s="27"/>
      <c r="E47" s="27"/>
      <c r="F47" s="26"/>
    </row>
    <row r="48" spans="1:11" ht="14.4" thickBot="1">
      <c r="A48" s="41" t="s">
        <v>477</v>
      </c>
      <c r="B48" s="41"/>
      <c r="C48" s="41"/>
      <c r="D48" s="41"/>
      <c r="E48" s="41"/>
      <c r="F48" s="49"/>
      <c r="G48" s="30">
        <f>SUM(B48:F48)</f>
        <v>0</v>
      </c>
    </row>
    <row r="50" spans="1:9" ht="14.4" thickBot="1"/>
    <row r="51" spans="1:9" ht="14.4" thickBot="1">
      <c r="A51" s="26" t="s">
        <v>481</v>
      </c>
      <c r="B51" s="41" t="s">
        <v>485</v>
      </c>
      <c r="C51" s="42"/>
      <c r="D51" s="43"/>
      <c r="H51" s="30" t="s">
        <v>355</v>
      </c>
    </row>
    <row r="52" spans="1:9" ht="14.4" thickBot="1">
      <c r="A52" s="31"/>
      <c r="B52" s="41" t="s">
        <v>344</v>
      </c>
      <c r="C52" s="42"/>
      <c r="D52" s="43"/>
      <c r="H52" s="62"/>
      <c r="I52" s="64" t="s">
        <v>64</v>
      </c>
    </row>
    <row r="53" spans="1:9" ht="14.4" thickBot="1">
      <c r="A53" s="45"/>
      <c r="B53" s="27" t="s">
        <v>486</v>
      </c>
      <c r="C53" s="27" t="s">
        <v>487</v>
      </c>
      <c r="D53" s="26" t="s">
        <v>488</v>
      </c>
      <c r="H53" s="65">
        <v>2016</v>
      </c>
      <c r="I53" s="67">
        <f>B60+C60+D60</f>
        <v>0</v>
      </c>
    </row>
    <row r="54" spans="1:9" ht="14.4" thickBot="1">
      <c r="A54" s="27" t="s">
        <v>470</v>
      </c>
      <c r="B54" s="27"/>
      <c r="C54" s="27"/>
      <c r="D54" s="26"/>
      <c r="H54" s="68">
        <v>2017</v>
      </c>
      <c r="I54" s="70">
        <f>B61+C61+D61</f>
        <v>0</v>
      </c>
    </row>
    <row r="55" spans="1:9" ht="14.4" thickBot="1">
      <c r="A55" s="27" t="s">
        <v>471</v>
      </c>
      <c r="B55" s="27"/>
      <c r="C55" s="27"/>
      <c r="D55" s="26"/>
    </row>
    <row r="56" spans="1:9" ht="14.4" thickBot="1">
      <c r="A56" s="27" t="s">
        <v>472</v>
      </c>
      <c r="B56" s="27"/>
      <c r="C56" s="27"/>
      <c r="D56" s="26"/>
    </row>
    <row r="57" spans="1:9" ht="14.4" thickBot="1">
      <c r="A57" s="27" t="s">
        <v>473</v>
      </c>
      <c r="B57" s="27"/>
      <c r="C57" s="27"/>
      <c r="D57" s="26"/>
    </row>
    <row r="58" spans="1:9" ht="14.4" thickBot="1">
      <c r="A58" s="27" t="s">
        <v>474</v>
      </c>
      <c r="B58" s="27"/>
      <c r="C58" s="27"/>
      <c r="D58" s="26"/>
    </row>
    <row r="59" spans="1:9" ht="14.4" thickBot="1">
      <c r="A59" s="27" t="s">
        <v>475</v>
      </c>
      <c r="B59" s="27"/>
      <c r="C59" s="27"/>
      <c r="D59" s="26"/>
    </row>
    <row r="60" spans="1:9" ht="14.4" thickBot="1">
      <c r="A60" s="27" t="s">
        <v>476</v>
      </c>
      <c r="B60" s="27"/>
      <c r="C60" s="27"/>
      <c r="D60" s="26"/>
    </row>
    <row r="61" spans="1:9" ht="14.4" thickBot="1">
      <c r="A61" s="41" t="s">
        <v>477</v>
      </c>
      <c r="B61" s="41"/>
      <c r="C61" s="41"/>
      <c r="D61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Z118"/>
  <sheetViews>
    <sheetView zoomScale="70" zoomScaleNormal="70" workbookViewId="0">
      <selection sqref="A1:XFD1048576"/>
    </sheetView>
  </sheetViews>
  <sheetFormatPr defaultColWidth="9.109375" defaultRowHeight="13.8"/>
  <cols>
    <col min="1" max="1" width="5" style="10" customWidth="1"/>
    <col min="2" max="2" width="25.44140625" style="10" customWidth="1"/>
    <col min="3" max="3" width="30.33203125" style="10" customWidth="1"/>
    <col min="4" max="4" width="30.5546875" style="10" customWidth="1"/>
    <col min="5" max="5" width="25" style="10" bestFit="1" customWidth="1"/>
    <col min="6" max="6" width="14" style="10" bestFit="1" customWidth="1"/>
    <col min="7" max="7" width="16.109375" style="10" customWidth="1"/>
    <col min="8" max="8" width="18.5546875" style="10" customWidth="1"/>
    <col min="9" max="9" width="18.109375" style="10" customWidth="1"/>
    <col min="10" max="10" width="20.5546875" style="10" customWidth="1"/>
    <col min="11" max="11" width="20.44140625" style="10" customWidth="1"/>
    <col min="12" max="12" width="19.5546875" style="10" customWidth="1"/>
    <col min="13" max="13" width="7.6640625" style="10" customWidth="1"/>
    <col min="14" max="14" width="24.5546875" style="10" bestFit="1" customWidth="1"/>
    <col min="15" max="15" width="17.88671875" style="10" bestFit="1" customWidth="1"/>
    <col min="16" max="16" width="21.109375" style="10" customWidth="1"/>
    <col min="17" max="17" width="13" style="10" bestFit="1" customWidth="1"/>
    <col min="18" max="18" width="9.88671875" style="10" customWidth="1"/>
    <col min="19" max="19" width="40.88671875" style="10" customWidth="1"/>
    <col min="20" max="20" width="44" style="10" customWidth="1"/>
    <col min="21" max="21" width="12.44140625" style="10" bestFit="1" customWidth="1"/>
    <col min="22" max="22" width="15.44140625" style="10" customWidth="1"/>
    <col min="23" max="23" width="24.5546875" style="10" bestFit="1" customWidth="1"/>
    <col min="24" max="24" width="15.6640625" style="10" bestFit="1" customWidth="1"/>
    <col min="25" max="25" width="11.33203125" style="10" bestFit="1" customWidth="1"/>
    <col min="26" max="26" width="10.5546875" style="10" customWidth="1"/>
    <col min="27" max="16384" width="9.109375" style="10"/>
  </cols>
  <sheetData>
    <row r="1" spans="1:26" ht="17.399999999999999">
      <c r="A1" s="118"/>
      <c r="B1" s="118" t="s">
        <v>298</v>
      </c>
      <c r="C1" s="118"/>
      <c r="D1" s="118"/>
      <c r="E1" s="118"/>
      <c r="F1" s="118"/>
      <c r="G1" s="118"/>
    </row>
    <row r="2" spans="1:26">
      <c r="D2" s="109" t="s">
        <v>14</v>
      </c>
      <c r="E2" s="109"/>
      <c r="P2" s="11"/>
    </row>
    <row r="3" spans="1:26">
      <c r="B3" s="104" t="s">
        <v>45</v>
      </c>
      <c r="C3" s="104" t="s">
        <v>260</v>
      </c>
      <c r="D3" s="104" t="s">
        <v>0</v>
      </c>
      <c r="E3" s="104" t="s">
        <v>261</v>
      </c>
      <c r="F3" s="106">
        <f>BASE_YEAR</f>
        <v>2017</v>
      </c>
      <c r="P3" s="11"/>
    </row>
    <row r="4" spans="1:26" ht="17.25" customHeight="1" thickBot="1">
      <c r="B4" s="124" t="s">
        <v>502</v>
      </c>
      <c r="C4" s="124"/>
      <c r="D4" s="124" t="s">
        <v>503</v>
      </c>
      <c r="E4" s="124" t="s">
        <v>262</v>
      </c>
      <c r="F4" s="125" t="s">
        <v>43</v>
      </c>
      <c r="P4" s="11"/>
    </row>
    <row r="5" spans="1:26">
      <c r="B5" s="110" t="s">
        <v>502</v>
      </c>
      <c r="C5" s="110"/>
      <c r="D5" s="110"/>
      <c r="E5" s="110" t="s">
        <v>271</v>
      </c>
      <c r="F5" s="126" t="str">
        <f>General!$D$26</f>
        <v>Mpgkm</v>
      </c>
      <c r="P5" s="11"/>
    </row>
    <row r="6" spans="1:26">
      <c r="B6" s="11" t="s">
        <v>42</v>
      </c>
      <c r="C6" s="11" t="str">
        <f>Commodities!$P$7</f>
        <v>Road Private Car</v>
      </c>
      <c r="D6" s="11" t="str">
        <f>Commodities!$O$7</f>
        <v>TRARPPC</v>
      </c>
      <c r="E6" s="12" t="str">
        <f>General!$D$26</f>
        <v>Mpgkm</v>
      </c>
      <c r="F6" s="164">
        <f>SUM(N17:N22)</f>
        <v>28644.000000000004</v>
      </c>
      <c r="P6" s="11"/>
    </row>
    <row r="7" spans="1:26">
      <c r="B7" s="11" t="s">
        <v>42</v>
      </c>
      <c r="C7" s="11" t="str">
        <f>Commodities!$P$8</f>
        <v>Road Moto</v>
      </c>
      <c r="D7" s="11" t="str">
        <f>Commodities!$O$8</f>
        <v>TRARPMO</v>
      </c>
      <c r="E7" s="12" t="str">
        <f>General!$D$26</f>
        <v>Mpgkm</v>
      </c>
      <c r="F7" s="164">
        <f>N31</f>
        <v>0</v>
      </c>
      <c r="P7" s="11"/>
    </row>
    <row r="8" spans="1:26">
      <c r="B8" s="114" t="s">
        <v>42</v>
      </c>
      <c r="C8" s="114" t="str">
        <f>Commodities!$P$16</f>
        <v>Lubricants</v>
      </c>
      <c r="D8" s="114" t="str">
        <f>Commodities!$O$16</f>
        <v>TRANELUB</v>
      </c>
      <c r="E8" s="116" t="str">
        <f>General!$B$2</f>
        <v>PJ</v>
      </c>
      <c r="F8" s="143">
        <f>H40</f>
        <v>0</v>
      </c>
      <c r="H8" s="165"/>
      <c r="P8" s="11"/>
    </row>
    <row r="9" spans="1:26">
      <c r="P9" s="11"/>
    </row>
    <row r="10" spans="1:26" ht="17.399999999999999">
      <c r="B10" s="118" t="s">
        <v>270</v>
      </c>
      <c r="C10" s="118"/>
      <c r="D10" s="118"/>
      <c r="E10" s="118"/>
      <c r="F10" s="118"/>
      <c r="G10" s="118"/>
      <c r="Q10" s="10" t="s">
        <v>267</v>
      </c>
    </row>
    <row r="12" spans="1:26" ht="17.399999999999999">
      <c r="B12" s="118" t="s">
        <v>413</v>
      </c>
      <c r="C12" s="118"/>
      <c r="E12" s="120"/>
      <c r="F12" s="120"/>
      <c r="G12" s="120"/>
      <c r="H12" s="120"/>
      <c r="J12" s="9"/>
      <c r="K12" s="9"/>
      <c r="L12" s="9"/>
      <c r="M12" s="8"/>
      <c r="Q12" s="92" t="s">
        <v>40</v>
      </c>
      <c r="R12" s="92"/>
      <c r="S12" s="92" t="s">
        <v>268</v>
      </c>
      <c r="T12" s="92"/>
      <c r="U12" s="92"/>
      <c r="V12" s="92"/>
      <c r="W12" s="92"/>
      <c r="X12" s="92"/>
      <c r="Y12" s="92"/>
    </row>
    <row r="13" spans="1:26">
      <c r="E13" s="102" t="s">
        <v>14</v>
      </c>
      <c r="F13" s="102"/>
      <c r="H13" s="9"/>
      <c r="Q13" s="100" t="s">
        <v>19</v>
      </c>
      <c r="R13" s="100"/>
      <c r="S13" s="92"/>
      <c r="T13" s="92"/>
      <c r="U13" s="92"/>
      <c r="V13" s="92"/>
      <c r="W13" s="92"/>
      <c r="X13" s="92"/>
      <c r="Y13" s="92"/>
    </row>
    <row r="14" spans="1:26" ht="27.75" customHeight="1">
      <c r="B14" s="104" t="s">
        <v>1</v>
      </c>
      <c r="C14" s="104" t="s">
        <v>44</v>
      </c>
      <c r="D14" s="104" t="s">
        <v>6</v>
      </c>
      <c r="E14" s="105" t="s">
        <v>7</v>
      </c>
      <c r="F14" s="106" t="s">
        <v>265</v>
      </c>
      <c r="G14" s="106" t="s">
        <v>16</v>
      </c>
      <c r="H14" s="106" t="s">
        <v>17</v>
      </c>
      <c r="I14" s="106" t="s">
        <v>273</v>
      </c>
      <c r="J14" s="106" t="s">
        <v>3</v>
      </c>
      <c r="K14" s="106" t="s">
        <v>266</v>
      </c>
      <c r="L14" s="106" t="s">
        <v>329</v>
      </c>
      <c r="N14" s="106"/>
      <c r="O14" s="106" t="s">
        <v>551</v>
      </c>
      <c r="Q14" s="94" t="s">
        <v>12</v>
      </c>
      <c r="R14" s="94" t="s">
        <v>34</v>
      </c>
      <c r="S14" s="94" t="s">
        <v>1</v>
      </c>
      <c r="T14" s="94" t="s">
        <v>2</v>
      </c>
      <c r="U14" s="94" t="s">
        <v>20</v>
      </c>
      <c r="V14" s="94" t="s">
        <v>21</v>
      </c>
      <c r="W14" s="94" t="s">
        <v>22</v>
      </c>
      <c r="X14" s="94" t="s">
        <v>23</v>
      </c>
      <c r="Y14" s="94" t="s">
        <v>24</v>
      </c>
    </row>
    <row r="15" spans="1:26" ht="29.25" customHeight="1" thickBot="1">
      <c r="B15" s="107" t="s">
        <v>457</v>
      </c>
      <c r="C15" s="107" t="s">
        <v>26</v>
      </c>
      <c r="D15" s="107" t="s">
        <v>36</v>
      </c>
      <c r="E15" s="108" t="s">
        <v>37</v>
      </c>
      <c r="F15" s="107" t="s">
        <v>272</v>
      </c>
      <c r="G15" s="107" t="s">
        <v>38</v>
      </c>
      <c r="H15" s="107" t="s">
        <v>274</v>
      </c>
      <c r="I15" s="107" t="s">
        <v>275</v>
      </c>
      <c r="J15" s="107" t="s">
        <v>41</v>
      </c>
      <c r="K15" s="107" t="s">
        <v>276</v>
      </c>
      <c r="L15" s="107" t="s">
        <v>39</v>
      </c>
      <c r="N15" s="106" t="s">
        <v>280</v>
      </c>
      <c r="O15" s="106" t="s">
        <v>353</v>
      </c>
      <c r="Q15" s="130" t="s">
        <v>47</v>
      </c>
      <c r="R15" s="130" t="s">
        <v>35</v>
      </c>
      <c r="S15" s="130" t="s">
        <v>25</v>
      </c>
      <c r="T15" s="130" t="s">
        <v>26</v>
      </c>
      <c r="U15" s="130" t="s">
        <v>27</v>
      </c>
      <c r="V15" s="130" t="s">
        <v>28</v>
      </c>
      <c r="W15" s="130" t="s">
        <v>51</v>
      </c>
      <c r="X15" s="130" t="s">
        <v>50</v>
      </c>
      <c r="Y15" s="130" t="s">
        <v>29</v>
      </c>
      <c r="Z15" s="88"/>
    </row>
    <row r="16" spans="1:26" ht="17.25" customHeight="1">
      <c r="B16" s="110"/>
      <c r="C16" s="111"/>
      <c r="D16" s="111"/>
      <c r="E16" s="129" t="s">
        <v>52</v>
      </c>
      <c r="F16" s="111" t="str">
        <f>General!$D$11</f>
        <v>000s_Units</v>
      </c>
      <c r="G16" s="111" t="str">
        <f>General!$D$12</f>
        <v>MVkms/PJ</v>
      </c>
      <c r="H16" s="111" t="str">
        <f>General!$D$14</f>
        <v>km/year</v>
      </c>
      <c r="I16" s="111" t="str">
        <f>General!$D$15</f>
        <v>passenger/vehicle</v>
      </c>
      <c r="J16" s="111" t="str">
        <f>General!$D$19</f>
        <v>k$/Unit</v>
      </c>
      <c r="K16" s="111" t="str">
        <f>General!$D$22</f>
        <v>Years</v>
      </c>
      <c r="L16" s="111" t="str">
        <f>General!$D$23</f>
        <v>(milion_vkm)/(thousand_vkm)</v>
      </c>
      <c r="N16" s="111" t="str">
        <f>General!$D$26</f>
        <v>Mpgkm</v>
      </c>
      <c r="O16" s="111" t="str">
        <f>General!$B$2</f>
        <v>PJ</v>
      </c>
      <c r="Q16" s="10" t="s">
        <v>269</v>
      </c>
      <c r="R16" s="11"/>
      <c r="S16" s="10" t="str">
        <f>Commodities!$O$7&amp;"_HYB_E01"</f>
        <v>TRARPPC_HYB_E01</v>
      </c>
      <c r="T16" s="10" t="s">
        <v>421</v>
      </c>
      <c r="U16" s="88" t="str">
        <f>General!$D$30</f>
        <v>MVkms</v>
      </c>
      <c r="V16" s="88" t="str">
        <f>General!$D$11</f>
        <v>000s_Units</v>
      </c>
      <c r="W16" s="12"/>
      <c r="X16" s="12" t="s">
        <v>279</v>
      </c>
      <c r="Y16" s="11"/>
    </row>
    <row r="17" spans="1:25">
      <c r="A17" s="11"/>
      <c r="B17" s="10" t="str">
        <f t="shared" ref="B17:C22" si="0">S16</f>
        <v>TRARPPC_HYB_E01</v>
      </c>
      <c r="C17" s="10" t="str">
        <f t="shared" si="0"/>
        <v>Private Car Hybrid (E)</v>
      </c>
      <c r="D17" s="11" t="str">
        <f>TRA_BAL!$D$11</f>
        <v>TRAOILGSL</v>
      </c>
      <c r="E17" s="113" t="str">
        <f t="shared" ref="E17:E22" si="1">$D$6</f>
        <v>TRARPPC</v>
      </c>
      <c r="F17" s="166">
        <f>VLOOKUP(MID($C$17,13,6),TRA_BAL!$F$20:$K$25,2,FALSE)</f>
        <v>0</v>
      </c>
      <c r="G17" s="163">
        <f>VLOOKUP(MID($C$17,13,6),TRA_BAL!$F$38:$K$43,2,FALSE)</f>
        <v>596.20850464168439</v>
      </c>
      <c r="H17" s="132">
        <f>VLOOKUP(MID($C$17,13,6),TRA_BAL!$N$20:$S$25,2,FALSE)</f>
        <v>14000</v>
      </c>
      <c r="I17" s="166">
        <f>VLOOKUP(MID($C$17,13,6),TRA_BAL!$V$20:$AA$25,2,FALSE)</f>
        <v>2.2000000000000002</v>
      </c>
      <c r="J17" s="88">
        <v>0.2</v>
      </c>
      <c r="K17" s="88">
        <v>25</v>
      </c>
      <c r="L17" s="167">
        <v>1E-3</v>
      </c>
      <c r="N17" s="135">
        <f t="shared" ref="N17:N22" si="2">F17*H17*I17*L17</f>
        <v>0</v>
      </c>
      <c r="O17" s="135">
        <f t="shared" ref="O17:O22" si="3">IF(G17=0,"-",F17*H17*L17/G17)</f>
        <v>0</v>
      </c>
      <c r="R17" s="11"/>
      <c r="S17" s="10" t="str">
        <f>Commodities!$O$7&amp;"_ELC_E01"</f>
        <v>TRARPPC_ELC_E01</v>
      </c>
      <c r="T17" s="10" t="s">
        <v>416</v>
      </c>
      <c r="U17" s="88" t="str">
        <f>General!$D$30</f>
        <v>MVkms</v>
      </c>
      <c r="V17" s="88" t="str">
        <f>General!$D$11</f>
        <v>000s_Units</v>
      </c>
      <c r="W17" s="12"/>
      <c r="X17" s="12" t="s">
        <v>279</v>
      </c>
      <c r="Y17" s="11"/>
    </row>
    <row r="18" spans="1:25">
      <c r="A18" s="11"/>
      <c r="B18" s="10" t="str">
        <f t="shared" si="0"/>
        <v>TRARPPC_ELC_E01</v>
      </c>
      <c r="C18" s="10" t="str">
        <f t="shared" si="0"/>
        <v>Private Car Electricity (E)</v>
      </c>
      <c r="D18" s="11" t="str">
        <f>D50</f>
        <v>TRABATS</v>
      </c>
      <c r="E18" s="113" t="str">
        <f t="shared" si="1"/>
        <v>TRARPPC</v>
      </c>
      <c r="F18" s="166">
        <f>VLOOKUP(MID($C$18,13,11),TRA_BAL!$F$20:$K$25,2,FALSE)</f>
        <v>0</v>
      </c>
      <c r="G18" s="163">
        <f>VLOOKUP(MID($C$18,13,11),TRA_BAL!$F$38:$K$43,2,FALSE)</f>
        <v>1846.7220683287164</v>
      </c>
      <c r="H18" s="132">
        <f>VLOOKUP(MID($C$18,13,11),TRA_BAL!$N$20:$S$25,2,FALSE)</f>
        <v>11000</v>
      </c>
      <c r="I18" s="166">
        <f>VLOOKUP(MID($C$18,13,11),TRA_BAL!$V$20:$AA$25,2,FALSE)</f>
        <v>2.2000000000000002</v>
      </c>
      <c r="J18" s="88">
        <v>0.2</v>
      </c>
      <c r="K18" s="88">
        <v>25</v>
      </c>
      <c r="L18" s="167">
        <v>1E-3</v>
      </c>
      <c r="N18" s="135">
        <f t="shared" si="2"/>
        <v>0</v>
      </c>
      <c r="O18" s="167">
        <f t="shared" si="3"/>
        <v>0</v>
      </c>
      <c r="R18" s="11"/>
      <c r="S18" s="10" t="str">
        <f>Commodities!$O$7&amp;"_"&amp;RIGHT(TRA_BAL!$C$11,3)&amp;"_E00"</f>
        <v>TRARPPC_LPG_E00</v>
      </c>
      <c r="T18" s="10" t="s">
        <v>417</v>
      </c>
      <c r="U18" s="88" t="str">
        <f>General!$D$30</f>
        <v>MVkms</v>
      </c>
      <c r="V18" s="88" t="str">
        <f>General!$D$11</f>
        <v>000s_Units</v>
      </c>
      <c r="W18" s="88"/>
      <c r="X18" s="88" t="s">
        <v>279</v>
      </c>
      <c r="Y18" s="11"/>
    </row>
    <row r="19" spans="1:25">
      <c r="A19" s="11"/>
      <c r="B19" s="11" t="str">
        <f t="shared" si="0"/>
        <v>TRARPPC_LPG_E00</v>
      </c>
      <c r="C19" s="11" t="str">
        <f t="shared" si="0"/>
        <v>Private Car LPG(E)</v>
      </c>
      <c r="D19" s="10" t="str">
        <f>TRA_BAL!$C$11</f>
        <v>TRAOILLPG</v>
      </c>
      <c r="E19" s="113" t="str">
        <f>$D$6</f>
        <v>TRARPPC</v>
      </c>
      <c r="F19" s="166">
        <f>VLOOKUP(MID($C$19,13,3),TRA_BAL!$F$20:$K$25,2,FALSE)</f>
        <v>0</v>
      </c>
      <c r="G19" s="163">
        <f>VLOOKUP(MID($C$19,13,3),TRA_BAL!$F$38:$K$43,2,FALSE)</f>
        <v>423.6550917478861</v>
      </c>
      <c r="H19" s="132">
        <f>VLOOKUP(MID($C$19,13,3),TRA_BAL!$N$20:$S$25,2,FALSE)</f>
        <v>28000</v>
      </c>
      <c r="I19" s="166">
        <f>VLOOKUP(MID($C$19,13,3),TRA_BAL!$V$20:$AA$25,2,FALSE)</f>
        <v>2.2000000000000002</v>
      </c>
      <c r="J19" s="12">
        <v>0.2</v>
      </c>
      <c r="K19" s="12">
        <v>25</v>
      </c>
      <c r="L19" s="136">
        <v>1E-3</v>
      </c>
      <c r="N19" s="135">
        <f t="shared" si="2"/>
        <v>0</v>
      </c>
      <c r="O19" s="135">
        <f t="shared" si="3"/>
        <v>0</v>
      </c>
      <c r="R19" s="11"/>
      <c r="S19" s="10" t="str">
        <f>Commodities!$O$7&amp;"_"&amp;RIGHT(TRA_BAL!$D$11,3)&amp;"_E00"</f>
        <v>TRARPPC_GSL_E00</v>
      </c>
      <c r="T19" s="10" t="s">
        <v>418</v>
      </c>
      <c r="U19" s="88" t="str">
        <f>General!$D$30</f>
        <v>MVkms</v>
      </c>
      <c r="V19" s="88" t="str">
        <f>General!$D$11</f>
        <v>000s_Units</v>
      </c>
      <c r="W19" s="88"/>
      <c r="X19" s="88" t="s">
        <v>279</v>
      </c>
      <c r="Y19" s="11"/>
    </row>
    <row r="20" spans="1:25">
      <c r="A20" s="11"/>
      <c r="B20" s="11" t="str">
        <f t="shared" si="0"/>
        <v>TRARPPC_GSL_E00</v>
      </c>
      <c r="C20" s="11" t="str">
        <f t="shared" si="0"/>
        <v>Private Car Gasoline(E)</v>
      </c>
      <c r="D20" s="11" t="str">
        <f>TRA_BAL!$D$11</f>
        <v>TRAOILGSL</v>
      </c>
      <c r="E20" s="113" t="str">
        <f t="shared" si="1"/>
        <v>TRARPPC</v>
      </c>
      <c r="F20" s="166">
        <f>VLOOKUP(MID($C$20,13,8),TRA_BAL!$F$20:$K$25,2,FALSE)</f>
        <v>850</v>
      </c>
      <c r="G20" s="163">
        <f>VLOOKUP(MID($C$20,13,8),TRA_BAL!$F$38:$K$43,2,FALSE)</f>
        <v>357.72510278501056</v>
      </c>
      <c r="H20" s="132">
        <f>VLOOKUP(MID($C$20,13,8),TRA_BAL!$N$20:$S$25,2,FALSE)</f>
        <v>14000</v>
      </c>
      <c r="I20" s="166">
        <f>VLOOKUP(MID($C$20,13,8),TRA_BAL!$V$20:$AA$25,2,FALSE)</f>
        <v>2.2000000000000002</v>
      </c>
      <c r="J20" s="12">
        <v>0.2</v>
      </c>
      <c r="K20" s="12">
        <v>25</v>
      </c>
      <c r="L20" s="167">
        <v>1E-3</v>
      </c>
      <c r="N20" s="135">
        <f t="shared" si="2"/>
        <v>26180.000000000004</v>
      </c>
      <c r="O20" s="135">
        <f>IF(G20=0,"-",F20*H20*L20/G20)</f>
        <v>33.265767225600015</v>
      </c>
      <c r="R20" s="11"/>
      <c r="S20" s="10" t="str">
        <f>Commodities!$O$7&amp;"_"&amp;RIGHT(TRA_BAL!$G$11,3)&amp;"_E00"</f>
        <v>TRARPPC_DSL_E00</v>
      </c>
      <c r="T20" s="10" t="s">
        <v>419</v>
      </c>
      <c r="U20" s="88" t="str">
        <f>General!$D$30</f>
        <v>MVkms</v>
      </c>
      <c r="V20" s="88" t="str">
        <f>General!$D$11</f>
        <v>000s_Units</v>
      </c>
      <c r="W20" s="88"/>
      <c r="X20" s="88" t="s">
        <v>279</v>
      </c>
      <c r="Y20" s="11"/>
    </row>
    <row r="21" spans="1:25">
      <c r="A21" s="11"/>
      <c r="B21" s="11" t="str">
        <f t="shared" si="0"/>
        <v>TRARPPC_DSL_E00</v>
      </c>
      <c r="C21" s="11" t="str">
        <f t="shared" si="0"/>
        <v>Private Car Diesel (E)</v>
      </c>
      <c r="D21" s="11" t="str">
        <f>TRA_BAL!$G$11</f>
        <v>TRAOILDSL</v>
      </c>
      <c r="E21" s="113" t="str">
        <f t="shared" si="1"/>
        <v>TRARPPC</v>
      </c>
      <c r="F21" s="166">
        <f>VLOOKUP(MID($C$21,13,6),TRA_BAL!$F$20:$K$25,2,FALSE)</f>
        <v>40</v>
      </c>
      <c r="G21" s="163">
        <f>VLOOKUP(MID($C$21,13,6),TRA_BAL!$F$38:$K$43,2,FALSE)</f>
        <v>447.2267097844736</v>
      </c>
      <c r="H21" s="132">
        <f>VLOOKUP(MID($C$21,13,6),TRA_BAL!$N$20:$S$25,2,FALSE)</f>
        <v>28000</v>
      </c>
      <c r="I21" s="166">
        <f>VLOOKUP(MID($C$21,13,6),TRA_BAL!$V$20:$AA$25,2,FALSE)</f>
        <v>2.2000000000000002</v>
      </c>
      <c r="J21" s="12">
        <v>0.2</v>
      </c>
      <c r="K21" s="12">
        <v>25</v>
      </c>
      <c r="L21" s="167">
        <v>1E-3</v>
      </c>
      <c r="N21" s="135">
        <f t="shared" si="2"/>
        <v>2464</v>
      </c>
      <c r="O21" s="117">
        <f t="shared" si="3"/>
        <v>2.5043226969599997</v>
      </c>
      <c r="Q21" s="114"/>
      <c r="R21" s="114"/>
      <c r="S21" s="114" t="str">
        <f>Commodities!$O$7&amp;"_"&amp;LEFT(RIGHT(TRA_BAL!$J$11,6),3)&amp;"_E00"</f>
        <v>TRARPPC_GAS_E00</v>
      </c>
      <c r="T21" s="114" t="s">
        <v>420</v>
      </c>
      <c r="U21" s="116" t="str">
        <f>General!$D$30</f>
        <v>MVkms</v>
      </c>
      <c r="V21" s="116" t="str">
        <f>General!$D$11</f>
        <v>000s_Units</v>
      </c>
      <c r="W21" s="116"/>
      <c r="X21" s="116" t="s">
        <v>279</v>
      </c>
      <c r="Y21" s="114"/>
    </row>
    <row r="22" spans="1:25">
      <c r="A22" s="11"/>
      <c r="B22" s="114" t="str">
        <f t="shared" si="0"/>
        <v>TRARPPC_GAS_E00</v>
      </c>
      <c r="C22" s="114" t="str">
        <f t="shared" si="0"/>
        <v>Private Car Gas (E)</v>
      </c>
      <c r="D22" s="114" t="str">
        <f>TRA_BAL!$J$11</f>
        <v>TRAGASNAT</v>
      </c>
      <c r="E22" s="115" t="str">
        <f t="shared" si="1"/>
        <v>TRARPPC</v>
      </c>
      <c r="F22" s="168">
        <f>VLOOKUP(MID($C$22,13,3),TRA_BAL!$F$20:$K$25,2,FALSE)</f>
        <v>0</v>
      </c>
      <c r="G22" s="152">
        <f>VLOOKUP(MID($C$22,13,3),TRA_BAL!$F$38:$K$43,2,FALSE)</f>
        <v>333.33333333333337</v>
      </c>
      <c r="H22" s="138">
        <f>VLOOKUP(MID($C$22,13,3),TRA_BAL!$N$20:$S$25,2,FALSE)</f>
        <v>22000</v>
      </c>
      <c r="I22" s="169">
        <f>VLOOKUP(MID($C$22,13,3),TRA_BAL!$V$20:$AA$25,2,FALSE)</f>
        <v>2.2000000000000002</v>
      </c>
      <c r="J22" s="116">
        <v>0.2</v>
      </c>
      <c r="K22" s="116">
        <v>25</v>
      </c>
      <c r="L22" s="139">
        <v>1E-3</v>
      </c>
      <c r="N22" s="140">
        <f t="shared" si="2"/>
        <v>0</v>
      </c>
      <c r="O22" s="140">
        <f t="shared" si="3"/>
        <v>0</v>
      </c>
      <c r="Q22" s="141"/>
      <c r="R22" s="114"/>
      <c r="S22" s="114" t="str">
        <f>Commodities!$O$8&amp;"_"&amp;RIGHT(TRA_BAL!$D$11,3)&amp;"_E01"</f>
        <v>TRARPMO_GSL_E01</v>
      </c>
      <c r="T22" s="114" t="s">
        <v>414</v>
      </c>
      <c r="U22" s="156" t="str">
        <f>General!$D$30</f>
        <v>MVkms</v>
      </c>
      <c r="V22" s="156" t="str">
        <f>General!$D$11</f>
        <v>000s_Units</v>
      </c>
      <c r="W22" s="156"/>
      <c r="X22" s="116" t="s">
        <v>279</v>
      </c>
      <c r="Y22" s="114"/>
    </row>
    <row r="23" spans="1:25">
      <c r="O23" s="170">
        <f>SUM(O17:O22)</f>
        <v>35.770089922560018</v>
      </c>
      <c r="Q23" s="141"/>
      <c r="R23" s="114"/>
      <c r="S23" s="114" t="s">
        <v>322</v>
      </c>
      <c r="T23" s="114" t="s">
        <v>415</v>
      </c>
      <c r="U23" s="116" t="str">
        <f>General!$B$2</f>
        <v>PJ</v>
      </c>
      <c r="V23" s="116" t="str">
        <f>General!$B$3</f>
        <v>PJa</v>
      </c>
      <c r="W23" s="116"/>
      <c r="X23" s="116"/>
      <c r="Y23" s="114"/>
    </row>
    <row r="24" spans="1:25">
      <c r="Q24" s="10" t="s">
        <v>510</v>
      </c>
      <c r="S24" s="10" t="s">
        <v>515</v>
      </c>
      <c r="T24" s="10" t="s">
        <v>511</v>
      </c>
      <c r="U24" s="88" t="s">
        <v>351</v>
      </c>
      <c r="V24" s="88" t="s">
        <v>512</v>
      </c>
      <c r="W24" s="88" t="s">
        <v>114</v>
      </c>
      <c r="X24" s="88" t="s">
        <v>55</v>
      </c>
    </row>
    <row r="25" spans="1:25">
      <c r="U25" s="88"/>
      <c r="V25" s="88"/>
      <c r="W25" s="88"/>
      <c r="X25" s="88"/>
    </row>
    <row r="26" spans="1:25" ht="17.399999999999999">
      <c r="B26" s="118" t="s">
        <v>257</v>
      </c>
      <c r="C26" s="118"/>
      <c r="E26" s="120"/>
      <c r="F26" s="120"/>
      <c r="G26" s="120"/>
      <c r="I26" s="9"/>
      <c r="J26" s="9"/>
      <c r="K26" s="9"/>
      <c r="L26" s="8"/>
      <c r="O26" s="11"/>
    </row>
    <row r="27" spans="1:25">
      <c r="E27" s="102" t="s">
        <v>14</v>
      </c>
      <c r="G27" s="9"/>
      <c r="N27" s="11"/>
    </row>
    <row r="28" spans="1:25">
      <c r="B28" s="104" t="s">
        <v>1</v>
      </c>
      <c r="C28" s="104" t="s">
        <v>44</v>
      </c>
      <c r="D28" s="104" t="s">
        <v>6</v>
      </c>
      <c r="E28" s="105" t="s">
        <v>7</v>
      </c>
      <c r="F28" s="106" t="s">
        <v>265</v>
      </c>
      <c r="G28" s="106" t="s">
        <v>16</v>
      </c>
      <c r="H28" s="106" t="s">
        <v>17</v>
      </c>
      <c r="I28" s="106" t="s">
        <v>273</v>
      </c>
      <c r="J28" s="106" t="s">
        <v>3</v>
      </c>
      <c r="K28" s="106" t="s">
        <v>266</v>
      </c>
      <c r="L28" s="106" t="s">
        <v>329</v>
      </c>
      <c r="N28" s="106"/>
      <c r="O28" s="106" t="s">
        <v>551</v>
      </c>
    </row>
    <row r="29" spans="1:25" ht="28.2" thickBot="1">
      <c r="B29" s="107" t="s">
        <v>457</v>
      </c>
      <c r="C29" s="107" t="s">
        <v>26</v>
      </c>
      <c r="D29" s="107" t="s">
        <v>36</v>
      </c>
      <c r="E29" s="108" t="s">
        <v>37</v>
      </c>
      <c r="F29" s="107" t="s">
        <v>272</v>
      </c>
      <c r="G29" s="107" t="s">
        <v>38</v>
      </c>
      <c r="H29" s="107" t="s">
        <v>274</v>
      </c>
      <c r="I29" s="107" t="s">
        <v>275</v>
      </c>
      <c r="J29" s="107" t="s">
        <v>41</v>
      </c>
      <c r="K29" s="107" t="s">
        <v>276</v>
      </c>
      <c r="L29" s="107" t="s">
        <v>39</v>
      </c>
      <c r="N29" s="106" t="s">
        <v>280</v>
      </c>
      <c r="O29" s="106" t="s">
        <v>353</v>
      </c>
    </row>
    <row r="30" spans="1:25" ht="27.6">
      <c r="B30" s="110"/>
      <c r="C30" s="111"/>
      <c r="D30" s="111"/>
      <c r="E30" s="129" t="s">
        <v>52</v>
      </c>
      <c r="F30" s="111" t="str">
        <f>General!$D$11</f>
        <v>000s_Units</v>
      </c>
      <c r="G30" s="111" t="str">
        <f>General!$D$12</f>
        <v>MVkms/PJ</v>
      </c>
      <c r="H30" s="111" t="str">
        <f>General!$D$14</f>
        <v>km/year</v>
      </c>
      <c r="I30" s="111" t="str">
        <f>General!$D$15</f>
        <v>passenger/vehicle</v>
      </c>
      <c r="J30" s="111" t="str">
        <f>General!$D$19</f>
        <v>k$/Unit</v>
      </c>
      <c r="K30" s="111" t="str">
        <f>General!$D$22</f>
        <v>Years</v>
      </c>
      <c r="L30" s="111" t="str">
        <f>General!$D$23</f>
        <v>(milion_vkm)/(thousand_vkm)</v>
      </c>
      <c r="N30" s="111" t="str">
        <f>General!$D$26</f>
        <v>Mpgkm</v>
      </c>
      <c r="O30" s="111" t="str">
        <f>General!$B$2</f>
        <v>PJ</v>
      </c>
    </row>
    <row r="31" spans="1:25">
      <c r="B31" s="10" t="str">
        <f>$S$22</f>
        <v>TRARPMO_GSL_E01</v>
      </c>
      <c r="C31" s="10" t="str">
        <f>$T$22</f>
        <v>Motorcycles Gasoline (E)</v>
      </c>
      <c r="D31" s="10" t="str">
        <f>TRA_BAL!$D$11</f>
        <v>TRAOILGSL</v>
      </c>
      <c r="E31" s="113" t="str">
        <f>$D$7</f>
        <v>TRARPMO</v>
      </c>
      <c r="F31" s="166">
        <f>VLOOKUP(MID($C$31,13,8),TRA_BAL!$F$20:$K$25,3,FALSE)</f>
        <v>0</v>
      </c>
      <c r="G31" s="163">
        <f>VLOOKUP(MID($C$31,13,8),TRA_BAL!$F$38:$K$43,3,FALSE)</f>
        <v>635.95573828446322</v>
      </c>
      <c r="H31" s="132">
        <f>VLOOKUP(MID($C$31,13,8),TRA_BAL!$N$20:$S$25,3,FALSE)</f>
        <v>8000</v>
      </c>
      <c r="I31" s="166">
        <f>VLOOKUP(MID($C$31,13,8),TRA_BAL!$V$20:$AA$25,3,FALSE)</f>
        <v>1</v>
      </c>
      <c r="J31" s="88">
        <v>0.2</v>
      </c>
      <c r="K31" s="88">
        <v>25</v>
      </c>
      <c r="L31" s="167">
        <v>1E-3</v>
      </c>
      <c r="N31" s="158">
        <f>F31*H31*I31*L31</f>
        <v>0</v>
      </c>
      <c r="O31" s="135">
        <f>F31*H31*L31/G31</f>
        <v>0</v>
      </c>
    </row>
    <row r="32" spans="1:25">
      <c r="N32" s="171">
        <f>SUM(N31:N31)</f>
        <v>0</v>
      </c>
      <c r="O32" s="170">
        <f>SUM(O31:O31)</f>
        <v>0</v>
      </c>
    </row>
    <row r="33" spans="2:16">
      <c r="P33" s="11"/>
    </row>
    <row r="35" spans="2:16" ht="17.399999999999999">
      <c r="B35" s="118" t="s">
        <v>324</v>
      </c>
      <c r="C35" s="118"/>
      <c r="D35" s="118"/>
      <c r="E35" s="120"/>
      <c r="F35" s="120"/>
      <c r="G35" s="120"/>
      <c r="I35" s="9"/>
      <c r="J35" s="9"/>
      <c r="K35" s="9"/>
      <c r="L35" s="8"/>
    </row>
    <row r="36" spans="2:16">
      <c r="E36" s="102" t="s">
        <v>14</v>
      </c>
      <c r="P36" s="11"/>
    </row>
    <row r="37" spans="2:16">
      <c r="B37" s="104" t="s">
        <v>1</v>
      </c>
      <c r="C37" s="104" t="s">
        <v>44</v>
      </c>
      <c r="D37" s="104" t="s">
        <v>6</v>
      </c>
      <c r="E37" s="105" t="s">
        <v>7</v>
      </c>
      <c r="F37" s="106" t="s">
        <v>313</v>
      </c>
      <c r="H37" s="106" t="s">
        <v>551</v>
      </c>
      <c r="P37" s="11"/>
    </row>
    <row r="38" spans="2:16" ht="28.2" thickBot="1">
      <c r="B38" s="107" t="s">
        <v>457</v>
      </c>
      <c r="C38" s="107" t="s">
        <v>26</v>
      </c>
      <c r="D38" s="107" t="s">
        <v>36</v>
      </c>
      <c r="E38" s="108" t="s">
        <v>37</v>
      </c>
      <c r="F38" s="107" t="s">
        <v>315</v>
      </c>
      <c r="H38" s="106" t="s">
        <v>42</v>
      </c>
      <c r="P38" s="11"/>
    </row>
    <row r="39" spans="2:16">
      <c r="B39" s="110"/>
      <c r="C39" s="111"/>
      <c r="D39" s="111"/>
      <c r="E39" s="129" t="s">
        <v>52</v>
      </c>
      <c r="F39" s="111"/>
      <c r="H39" s="111" t="str">
        <f>General!$B$2</f>
        <v>PJ</v>
      </c>
      <c r="P39" s="11"/>
    </row>
    <row r="40" spans="2:16">
      <c r="B40" s="10" t="str">
        <f>$S$23</f>
        <v>TRANENLUB00</v>
      </c>
      <c r="C40" s="10" t="str">
        <f>$T$23</f>
        <v>Generic for lubricants</v>
      </c>
      <c r="D40" s="10" t="str">
        <f>TRA_BAL!$I$11</f>
        <v>TRAOILLUB</v>
      </c>
      <c r="E40" s="113" t="str">
        <f>$D$8</f>
        <v>TRANELUB</v>
      </c>
      <c r="F40" s="88">
        <v>1</v>
      </c>
      <c r="H40" s="117">
        <f>TRA_BAL!I6</f>
        <v>0</v>
      </c>
      <c r="P40" s="11"/>
    </row>
    <row r="41" spans="2:16">
      <c r="P41" s="11"/>
    </row>
    <row r="42" spans="2:16">
      <c r="P42" s="11"/>
    </row>
    <row r="44" spans="2:16" ht="17.399999999999999">
      <c r="B44" s="118" t="s">
        <v>505</v>
      </c>
      <c r="C44" s="118"/>
      <c r="D44" s="173"/>
      <c r="E44" s="173"/>
      <c r="F44" s="173"/>
      <c r="G44" s="173"/>
    </row>
    <row r="45" spans="2:16">
      <c r="B45" s="173"/>
      <c r="C45" s="173"/>
      <c r="D45" s="173"/>
      <c r="E45" s="173"/>
      <c r="F45" s="173"/>
      <c r="G45" s="173"/>
    </row>
    <row r="46" spans="2:16">
      <c r="B46" s="174"/>
      <c r="C46" s="174"/>
      <c r="D46" s="175" t="s">
        <v>14</v>
      </c>
      <c r="E46" s="176"/>
      <c r="F46" s="176"/>
      <c r="G46" s="176"/>
    </row>
    <row r="47" spans="2:16">
      <c r="B47" s="104" t="s">
        <v>1</v>
      </c>
      <c r="C47" s="104" t="s">
        <v>6</v>
      </c>
      <c r="D47" s="105" t="s">
        <v>7</v>
      </c>
      <c r="E47" s="104" t="s">
        <v>506</v>
      </c>
      <c r="F47" s="104" t="s">
        <v>507</v>
      </c>
      <c r="G47" s="104" t="s">
        <v>329</v>
      </c>
    </row>
    <row r="48" spans="2:16" ht="28.2" thickBot="1">
      <c r="B48" s="107" t="s">
        <v>457</v>
      </c>
      <c r="C48" s="107" t="s">
        <v>36</v>
      </c>
      <c r="D48" s="108" t="s">
        <v>37</v>
      </c>
      <c r="E48" s="107" t="s">
        <v>38</v>
      </c>
      <c r="F48" s="107" t="s">
        <v>508</v>
      </c>
      <c r="G48" s="107"/>
    </row>
    <row r="49" spans="2:7">
      <c r="B49" s="110" t="s">
        <v>52</v>
      </c>
      <c r="C49" s="110"/>
      <c r="D49" s="172"/>
      <c r="E49" s="110" t="s">
        <v>509</v>
      </c>
      <c r="F49" s="110" t="s">
        <v>278</v>
      </c>
      <c r="G49" s="110"/>
    </row>
    <row r="50" spans="2:7">
      <c r="B50" s="177" t="str">
        <f>S24</f>
        <v>BAT_TRARPPC_E01</v>
      </c>
      <c r="C50" s="174" t="s">
        <v>119</v>
      </c>
      <c r="D50" s="178" t="str">
        <f>Commodities!$D$39</f>
        <v>TRABATS</v>
      </c>
      <c r="E50" s="179">
        <v>0.95</v>
      </c>
      <c r="F50" s="179">
        <v>10</v>
      </c>
      <c r="G50" s="179">
        <v>3.5999999999999999E-3</v>
      </c>
    </row>
    <row r="51" spans="2:7">
      <c r="D51" s="113"/>
    </row>
    <row r="118" s="10" customFormat="1" ht="29.25" customHeight="1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Z41"/>
  <sheetViews>
    <sheetView zoomScale="70" zoomScaleNormal="70" workbookViewId="0">
      <selection sqref="A1:XFD1048576"/>
    </sheetView>
  </sheetViews>
  <sheetFormatPr defaultColWidth="9.109375" defaultRowHeight="13.8"/>
  <cols>
    <col min="1" max="1" width="5.44140625" style="10" customWidth="1"/>
    <col min="2" max="2" width="35.6640625" style="10" customWidth="1"/>
    <col min="3" max="3" width="25.6640625" style="10" customWidth="1"/>
    <col min="4" max="4" width="62.5546875" style="10" bestFit="1" customWidth="1"/>
    <col min="5" max="5" width="25" style="10" bestFit="1" customWidth="1"/>
    <col min="6" max="6" width="18.33203125" style="10" bestFit="1" customWidth="1"/>
    <col min="7" max="7" width="19.5546875" style="10" customWidth="1"/>
    <col min="8" max="10" width="20.5546875" style="10" customWidth="1"/>
    <col min="11" max="11" width="17.6640625" style="10" customWidth="1"/>
    <col min="12" max="12" width="19.5546875" style="10" customWidth="1"/>
    <col min="13" max="13" width="8" style="10" customWidth="1"/>
    <col min="14" max="14" width="26.33203125" style="10" bestFit="1" customWidth="1"/>
    <col min="15" max="15" width="24.5546875" style="10" bestFit="1" customWidth="1"/>
    <col min="16" max="16" width="17.88671875" style="10" bestFit="1" customWidth="1"/>
    <col min="17" max="17" width="7.109375" style="10" customWidth="1"/>
    <col min="18" max="18" width="13" style="10" bestFit="1" customWidth="1"/>
    <col min="19" max="19" width="30.5546875" style="10" customWidth="1"/>
    <col min="20" max="20" width="40.88671875" style="10" customWidth="1"/>
    <col min="21" max="21" width="45.88671875" style="10" customWidth="1"/>
    <col min="22" max="22" width="12.44140625" style="10" bestFit="1" customWidth="1"/>
    <col min="23" max="23" width="15.44140625" style="10" customWidth="1"/>
    <col min="24" max="24" width="24.5546875" style="10" bestFit="1" customWidth="1"/>
    <col min="25" max="25" width="15.6640625" style="10" bestFit="1" customWidth="1"/>
    <col min="26" max="26" width="17.44140625" style="10" bestFit="1" customWidth="1"/>
    <col min="27" max="27" width="5.6640625" style="10" customWidth="1"/>
    <col min="28" max="16384" width="9.109375" style="10"/>
  </cols>
  <sheetData>
    <row r="1" spans="1:26" ht="17.399999999999999">
      <c r="A1" s="118"/>
      <c r="B1" s="118" t="s">
        <v>300</v>
      </c>
      <c r="C1" s="118"/>
      <c r="D1" s="118"/>
      <c r="E1" s="118"/>
      <c r="F1" s="118"/>
      <c r="G1" s="118"/>
      <c r="P1" s="11"/>
    </row>
    <row r="2" spans="1:26">
      <c r="D2" s="109" t="s">
        <v>14</v>
      </c>
      <c r="E2" s="109"/>
    </row>
    <row r="3" spans="1:26">
      <c r="B3" s="104" t="s">
        <v>45</v>
      </c>
      <c r="C3" s="104" t="s">
        <v>260</v>
      </c>
      <c r="D3" s="104" t="s">
        <v>0</v>
      </c>
      <c r="E3" s="104" t="s">
        <v>261</v>
      </c>
      <c r="F3" s="106">
        <f>BASE_YEAR</f>
        <v>2017</v>
      </c>
    </row>
    <row r="4" spans="1:26" ht="14.4" thickBot="1">
      <c r="B4" s="124" t="s">
        <v>502</v>
      </c>
      <c r="C4" s="124"/>
      <c r="D4" s="124" t="s">
        <v>503</v>
      </c>
      <c r="E4" s="124" t="s">
        <v>262</v>
      </c>
      <c r="F4" s="125" t="s">
        <v>43</v>
      </c>
    </row>
    <row r="5" spans="1:26">
      <c r="B5" s="110" t="s">
        <v>502</v>
      </c>
      <c r="C5" s="110"/>
      <c r="D5" s="110"/>
      <c r="E5" s="110" t="s">
        <v>504</v>
      </c>
      <c r="F5" s="111" t="str">
        <f>General!$D$27</f>
        <v>Mtnkm</v>
      </c>
    </row>
    <row r="6" spans="1:26">
      <c r="B6" s="127" t="s">
        <v>42</v>
      </c>
      <c r="C6" s="127" t="str">
        <f>Commodities!$P$10</f>
        <v>Road Freight HDV</v>
      </c>
      <c r="D6" s="127" t="str">
        <f>Commodities!$O$10</f>
        <v>TRARHDV</v>
      </c>
      <c r="E6" s="133" t="str">
        <f>General!$D$27</f>
        <v>Mtnkm</v>
      </c>
      <c r="F6" s="128">
        <f>SUM(N16:N18)</f>
        <v>67320</v>
      </c>
      <c r="H6" s="160"/>
    </row>
    <row r="7" spans="1:26">
      <c r="B7" s="114" t="s">
        <v>42</v>
      </c>
      <c r="C7" s="114" t="str">
        <f>Commodities!$P$11</f>
        <v>Road Freight LDV</v>
      </c>
      <c r="D7" s="114" t="str">
        <f>Commodities!$O$11</f>
        <v>TRARLDV</v>
      </c>
      <c r="E7" s="116" t="str">
        <f>General!$D$27</f>
        <v>Mtnkm</v>
      </c>
      <c r="F7" s="143">
        <f>SUM(N26:N29)</f>
        <v>12150</v>
      </c>
      <c r="H7" s="160"/>
    </row>
    <row r="9" spans="1:26" ht="17.399999999999999">
      <c r="B9" s="118" t="s">
        <v>291</v>
      </c>
      <c r="C9" s="118"/>
      <c r="D9" s="118"/>
      <c r="E9" s="118"/>
      <c r="F9" s="118"/>
      <c r="G9" s="118"/>
    </row>
    <row r="10" spans="1:26">
      <c r="Q10" s="10" t="s">
        <v>267</v>
      </c>
      <c r="Z10" s="88"/>
    </row>
    <row r="11" spans="1:26" ht="17.399999999999999">
      <c r="B11" s="118" t="s">
        <v>285</v>
      </c>
      <c r="C11" s="118"/>
      <c r="D11" s="118"/>
      <c r="E11" s="120"/>
      <c r="F11" s="120"/>
      <c r="G11" s="120"/>
      <c r="I11" s="9"/>
      <c r="J11" s="9"/>
      <c r="K11" s="9"/>
      <c r="L11" s="8"/>
    </row>
    <row r="12" spans="1:26">
      <c r="E12" s="102" t="s">
        <v>14</v>
      </c>
      <c r="G12" s="9"/>
      <c r="Q12" s="92" t="s">
        <v>40</v>
      </c>
      <c r="R12" s="92"/>
      <c r="S12" s="92" t="s">
        <v>268</v>
      </c>
      <c r="T12" s="92"/>
      <c r="U12" s="92"/>
      <c r="V12" s="92"/>
      <c r="W12" s="92"/>
      <c r="X12" s="92"/>
      <c r="Y12" s="92"/>
    </row>
    <row r="13" spans="1:26" ht="20.25" customHeight="1">
      <c r="B13" s="104" t="s">
        <v>1</v>
      </c>
      <c r="C13" s="104" t="s">
        <v>44</v>
      </c>
      <c r="D13" s="104" t="s">
        <v>6</v>
      </c>
      <c r="E13" s="105" t="s">
        <v>7</v>
      </c>
      <c r="F13" s="106" t="s">
        <v>265</v>
      </c>
      <c r="G13" s="106" t="s">
        <v>16</v>
      </c>
      <c r="H13" s="106" t="s">
        <v>17</v>
      </c>
      <c r="I13" s="106" t="s">
        <v>273</v>
      </c>
      <c r="J13" s="106" t="s">
        <v>3</v>
      </c>
      <c r="K13" s="106" t="s">
        <v>266</v>
      </c>
      <c r="L13" s="106" t="s">
        <v>329</v>
      </c>
      <c r="N13" s="106" t="s">
        <v>551</v>
      </c>
      <c r="O13" s="106" t="s">
        <v>551</v>
      </c>
      <c r="Q13" s="100" t="s">
        <v>19</v>
      </c>
      <c r="R13" s="100"/>
      <c r="S13" s="92"/>
      <c r="T13" s="92"/>
      <c r="U13" s="92"/>
      <c r="V13" s="92"/>
      <c r="W13" s="92"/>
      <c r="X13" s="92"/>
      <c r="Y13" s="92"/>
    </row>
    <row r="14" spans="1:26" ht="20.25" customHeight="1" thickBot="1">
      <c r="B14" s="107" t="s">
        <v>457</v>
      </c>
      <c r="C14" s="107" t="s">
        <v>26</v>
      </c>
      <c r="D14" s="107" t="s">
        <v>36</v>
      </c>
      <c r="E14" s="108" t="s">
        <v>37</v>
      </c>
      <c r="F14" s="107" t="s">
        <v>272</v>
      </c>
      <c r="G14" s="107" t="s">
        <v>38</v>
      </c>
      <c r="H14" s="107" t="s">
        <v>274</v>
      </c>
      <c r="I14" s="107" t="s">
        <v>275</v>
      </c>
      <c r="J14" s="107" t="s">
        <v>41</v>
      </c>
      <c r="K14" s="107" t="s">
        <v>276</v>
      </c>
      <c r="L14" s="107" t="s">
        <v>39</v>
      </c>
      <c r="N14" s="106" t="s">
        <v>280</v>
      </c>
      <c r="O14" s="106" t="s">
        <v>353</v>
      </c>
      <c r="Q14" s="94" t="s">
        <v>12</v>
      </c>
      <c r="R14" s="94" t="s">
        <v>34</v>
      </c>
      <c r="S14" s="94" t="s">
        <v>1</v>
      </c>
      <c r="T14" s="94" t="s">
        <v>2</v>
      </c>
      <c r="U14" s="94" t="s">
        <v>20</v>
      </c>
      <c r="V14" s="94" t="s">
        <v>21</v>
      </c>
      <c r="W14" s="94" t="s">
        <v>22</v>
      </c>
      <c r="X14" s="94" t="s">
        <v>23</v>
      </c>
      <c r="Y14" s="94" t="s">
        <v>24</v>
      </c>
    </row>
    <row r="15" spans="1:26" ht="23.25" customHeight="1" thickBot="1">
      <c r="B15" s="110"/>
      <c r="C15" s="111"/>
      <c r="D15" s="111"/>
      <c r="E15" s="129" t="s">
        <v>52</v>
      </c>
      <c r="F15" s="111" t="str">
        <f>General!$D$11</f>
        <v>000s_Units</v>
      </c>
      <c r="G15" s="111" t="str">
        <f>General!$D$12</f>
        <v>MVkms/PJ</v>
      </c>
      <c r="H15" s="111" t="str">
        <f>General!$D$14</f>
        <v>km/year</v>
      </c>
      <c r="I15" s="111" t="str">
        <f>General!$D$17</f>
        <v>tons/vehicle</v>
      </c>
      <c r="J15" s="111" t="str">
        <f>General!$D$19</f>
        <v>k$/Unit</v>
      </c>
      <c r="K15" s="111" t="str">
        <f>General!$D$22</f>
        <v>Years</v>
      </c>
      <c r="L15" s="111" t="str">
        <f>General!$D$24</f>
        <v>(milion_tnkm)/(thousand_tnkm)</v>
      </c>
      <c r="N15" s="111" t="str">
        <f>General!$D$27</f>
        <v>Mtnkm</v>
      </c>
      <c r="O15" s="111" t="str">
        <f>General!$B$2</f>
        <v>PJ</v>
      </c>
      <c r="Q15" s="130" t="s">
        <v>47</v>
      </c>
      <c r="R15" s="130" t="s">
        <v>35</v>
      </c>
      <c r="S15" s="130" t="s">
        <v>25</v>
      </c>
      <c r="T15" s="130" t="s">
        <v>26</v>
      </c>
      <c r="U15" s="130" t="s">
        <v>27</v>
      </c>
      <c r="V15" s="130" t="s">
        <v>28</v>
      </c>
      <c r="W15" s="130" t="s">
        <v>51</v>
      </c>
      <c r="X15" s="130" t="s">
        <v>50</v>
      </c>
      <c r="Y15" s="130" t="s">
        <v>29</v>
      </c>
    </row>
    <row r="16" spans="1:26">
      <c r="A16" s="11"/>
      <c r="B16" s="11" t="str">
        <f>S16</f>
        <v>TRARHDV_DSL_E00</v>
      </c>
      <c r="C16" s="11" t="str">
        <f>T16</f>
        <v>HDV DSL(E)</v>
      </c>
      <c r="D16" s="11" t="str">
        <f>TRA_BAL!$G$11</f>
        <v>TRAOILDSL</v>
      </c>
      <c r="E16" s="113" t="str">
        <f>$D$6</f>
        <v>TRARHDV</v>
      </c>
      <c r="F16" s="159">
        <f>TRA_BAL!J23</f>
        <v>40</v>
      </c>
      <c r="G16" s="159">
        <f>TRA_BAL!J41</f>
        <v>111.8066774461184</v>
      </c>
      <c r="H16" s="159">
        <f>TRA_BAL!R23</f>
        <v>80000</v>
      </c>
      <c r="I16" s="159">
        <f>TRA_BAL!Z23</f>
        <v>18</v>
      </c>
      <c r="J16" s="12">
        <v>0.2</v>
      </c>
      <c r="K16" s="12">
        <v>25</v>
      </c>
      <c r="L16" s="136">
        <v>1E-3</v>
      </c>
      <c r="N16" s="140">
        <f>F16*H16*I16*L16</f>
        <v>57600</v>
      </c>
      <c r="O16" s="140">
        <f>IF(G16=0,"-",F16*H16*L16/G16)</f>
        <v>28.620830822399995</v>
      </c>
      <c r="Q16" s="10" t="s">
        <v>269</v>
      </c>
      <c r="R16" s="11"/>
      <c r="S16" s="10" t="str">
        <f>Commodities!$O$10&amp;"_"&amp;RIGHT(TRA_BAL!$G$11,3)&amp;"_E00"</f>
        <v>TRARHDV_DSL_E00</v>
      </c>
      <c r="T16" s="10" t="s">
        <v>433</v>
      </c>
      <c r="U16" s="88" t="str">
        <f>General!$D$30</f>
        <v>MVkms</v>
      </c>
      <c r="V16" s="88" t="str">
        <f>General!$D$11</f>
        <v>000s_Units</v>
      </c>
      <c r="W16" s="11"/>
      <c r="X16" s="12" t="s">
        <v>279</v>
      </c>
      <c r="Y16" s="11"/>
    </row>
    <row r="17" spans="1:25">
      <c r="A17" s="11"/>
      <c r="B17" s="11" t="str">
        <f t="shared" ref="B17:B18" si="0">S17</f>
        <v>TRARHDV_GSL_E00</v>
      </c>
      <c r="C17" s="11" t="str">
        <f t="shared" ref="C17:C18" si="1">T17</f>
        <v>HDV GSL(E)</v>
      </c>
      <c r="D17" s="11" t="str">
        <f>TRA_BAL!$D$11</f>
        <v>TRAOILGSL</v>
      </c>
      <c r="E17" s="113" t="str">
        <f t="shared" ref="E17:E18" si="2">$D$6</f>
        <v>TRARHDV</v>
      </c>
      <c r="F17" s="159">
        <f>TRA_BAL!J21</f>
        <v>30</v>
      </c>
      <c r="G17" s="159">
        <f>TRA_BAL!J39</f>
        <v>102.20717222428874</v>
      </c>
      <c r="H17" s="159">
        <f>TRA_BAL!R21</f>
        <v>18000</v>
      </c>
      <c r="I17" s="159">
        <f>TRA_BAL!Z21</f>
        <v>18</v>
      </c>
      <c r="J17" s="12">
        <v>0.2</v>
      </c>
      <c r="K17" s="12">
        <v>25</v>
      </c>
      <c r="L17" s="136">
        <v>1E-3</v>
      </c>
      <c r="N17" s="140">
        <f t="shared" ref="N17:N18" si="3">F17*H17*I17*L17</f>
        <v>9720</v>
      </c>
      <c r="O17" s="140">
        <f>IF(G17=0,"-",F17*H17*L17/G17)</f>
        <v>5.2833865593600011</v>
      </c>
      <c r="R17" s="11"/>
      <c r="S17" s="10" t="str">
        <f>Commodities!$O$10&amp;"_"&amp;RIGHT(TRA_BAL!$D$11,3)&amp;"_E00"</f>
        <v>TRARHDV_GSL_E00</v>
      </c>
      <c r="T17" s="10" t="s">
        <v>499</v>
      </c>
      <c r="U17" s="88" t="str">
        <f>General!$D$30</f>
        <v>MVkms</v>
      </c>
      <c r="V17" s="88" t="str">
        <f>General!$D$11</f>
        <v>000s_Units</v>
      </c>
      <c r="W17" s="11"/>
      <c r="X17" s="12" t="s">
        <v>279</v>
      </c>
      <c r="Y17" s="11"/>
    </row>
    <row r="18" spans="1:25">
      <c r="A18" s="11"/>
      <c r="B18" s="114" t="str">
        <f t="shared" si="0"/>
        <v>TRARHDV_GAS_E00</v>
      </c>
      <c r="C18" s="114" t="str">
        <f t="shared" si="1"/>
        <v>HDV N.Gas(E)</v>
      </c>
      <c r="D18" s="114" t="str">
        <f>TRA_BAL!$J$11</f>
        <v>TRAGASNAT</v>
      </c>
      <c r="E18" s="115" t="str">
        <f t="shared" si="2"/>
        <v>TRARHDV</v>
      </c>
      <c r="F18" s="140">
        <f>TRA_BAL!J24</f>
        <v>0</v>
      </c>
      <c r="G18" s="140">
        <f>TRA_BAL!J42</f>
        <v>200</v>
      </c>
      <c r="H18" s="140">
        <f>TRA_BAL!R24</f>
        <v>36000</v>
      </c>
      <c r="I18" s="140">
        <f>TRA_BAL!Z24</f>
        <v>18</v>
      </c>
      <c r="J18" s="116">
        <v>0.2</v>
      </c>
      <c r="K18" s="116">
        <v>25</v>
      </c>
      <c r="L18" s="139">
        <v>1E-3</v>
      </c>
      <c r="N18" s="140">
        <f t="shared" si="3"/>
        <v>0</v>
      </c>
      <c r="O18" s="140">
        <f>IF(G18=0,"-",F18*H18*L18/G18)</f>
        <v>0</v>
      </c>
      <c r="Q18" s="114"/>
      <c r="R18" s="114"/>
      <c r="S18" s="114" t="str">
        <f>Commodities!$O$10&amp;"_"&amp;LEFT(RIGHT(TRA_BAL!$J$11,6),3)&amp;"_E00"</f>
        <v>TRARHDV_GAS_E00</v>
      </c>
      <c r="T18" s="114" t="s">
        <v>500</v>
      </c>
      <c r="U18" s="116" t="str">
        <f>General!$D$30</f>
        <v>MVkms</v>
      </c>
      <c r="V18" s="116" t="str">
        <f>General!$D$11</f>
        <v>000s_Units</v>
      </c>
      <c r="W18" s="114"/>
      <c r="X18" s="116" t="s">
        <v>279</v>
      </c>
      <c r="Y18" s="114"/>
    </row>
    <row r="19" spans="1:25">
      <c r="A19" s="11"/>
      <c r="B19" s="11"/>
      <c r="C19" s="11"/>
      <c r="D19" s="11"/>
      <c r="E19" s="11"/>
      <c r="F19" s="161"/>
      <c r="G19" s="162"/>
      <c r="H19" s="163"/>
      <c r="I19" s="161"/>
      <c r="J19" s="12"/>
      <c r="K19" s="12"/>
      <c r="L19" s="136"/>
      <c r="R19" s="11"/>
      <c r="S19" s="10" t="str">
        <f>Commodities!$O$11&amp;"_"&amp;RIGHT(TRA_BAL!$G$11,3)&amp;"_E00"</f>
        <v>TRARLDV_DSL_E00</v>
      </c>
      <c r="T19" s="10" t="s">
        <v>434</v>
      </c>
      <c r="U19" s="88" t="str">
        <f>General!$D$30</f>
        <v>MVkms</v>
      </c>
      <c r="V19" s="88" t="str">
        <f>General!$D$11</f>
        <v>000s_Units</v>
      </c>
      <c r="W19" s="11"/>
      <c r="X19" s="12" t="s">
        <v>279</v>
      </c>
      <c r="Y19" s="11"/>
    </row>
    <row r="20" spans="1:25">
      <c r="R20" s="11"/>
      <c r="S20" s="10" t="str">
        <f>Commodities!$O$11&amp;"_"&amp;RIGHT(TRA_BAL!$D$11,3)&amp;"_E00"</f>
        <v>TRARLDV_GSL_E00</v>
      </c>
      <c r="T20" s="10" t="s">
        <v>435</v>
      </c>
      <c r="U20" s="88" t="str">
        <f>General!$D$30</f>
        <v>MVkms</v>
      </c>
      <c r="V20" s="88" t="str">
        <f>General!$D$11</f>
        <v>000s_Units</v>
      </c>
      <c r="W20" s="11"/>
      <c r="X20" s="12" t="s">
        <v>279</v>
      </c>
      <c r="Y20" s="11"/>
    </row>
    <row r="21" spans="1:25" ht="17.399999999999999">
      <c r="B21" s="118" t="s">
        <v>284</v>
      </c>
      <c r="C21" s="118"/>
      <c r="D21" s="118"/>
      <c r="E21" s="120"/>
      <c r="F21" s="120"/>
      <c r="G21" s="120"/>
      <c r="I21" s="9"/>
      <c r="J21" s="9"/>
      <c r="K21" s="9"/>
      <c r="L21" s="8"/>
      <c r="R21" s="11"/>
      <c r="S21" s="10" t="str">
        <f>Commodities!$O$11&amp;"_"&amp;RIGHT(TRA_BAL!$C$11,3)&amp;"_E00"</f>
        <v>TRARLDV_LPG_E00</v>
      </c>
      <c r="T21" s="10" t="s">
        <v>436</v>
      </c>
      <c r="U21" s="88" t="str">
        <f>General!$D$30</f>
        <v>MVkms</v>
      </c>
      <c r="V21" s="88" t="str">
        <f>General!$D$11</f>
        <v>000s_Units</v>
      </c>
      <c r="W21" s="11"/>
      <c r="X21" s="12" t="s">
        <v>279</v>
      </c>
      <c r="Y21" s="11"/>
    </row>
    <row r="22" spans="1:25">
      <c r="E22" s="102" t="s">
        <v>14</v>
      </c>
      <c r="G22" s="9"/>
      <c r="Q22" s="114"/>
      <c r="R22" s="114"/>
      <c r="S22" s="114" t="str">
        <f>Commodities!$O$11&amp;"_"&amp;LEFT(RIGHT(TRA_BAL!$J$11,6),3)&amp;"_E00"</f>
        <v>TRARLDV_GAS_E00</v>
      </c>
      <c r="T22" s="114" t="s">
        <v>437</v>
      </c>
      <c r="U22" s="116" t="str">
        <f>General!$D$30</f>
        <v>MVkms</v>
      </c>
      <c r="V22" s="116" t="str">
        <f>General!$D$11</f>
        <v>000s_Units</v>
      </c>
      <c r="W22" s="114"/>
      <c r="X22" s="116" t="s">
        <v>279</v>
      </c>
      <c r="Y22" s="114"/>
    </row>
    <row r="23" spans="1:25">
      <c r="B23" s="104" t="s">
        <v>1</v>
      </c>
      <c r="C23" s="104" t="s">
        <v>44</v>
      </c>
      <c r="D23" s="104" t="s">
        <v>6</v>
      </c>
      <c r="E23" s="105" t="s">
        <v>7</v>
      </c>
      <c r="F23" s="106" t="s">
        <v>265</v>
      </c>
      <c r="G23" s="106" t="s">
        <v>16</v>
      </c>
      <c r="H23" s="106" t="s">
        <v>17</v>
      </c>
      <c r="I23" s="106" t="s">
        <v>273</v>
      </c>
      <c r="J23" s="106" t="s">
        <v>3</v>
      </c>
      <c r="K23" s="106" t="s">
        <v>266</v>
      </c>
      <c r="L23" s="106" t="s">
        <v>329</v>
      </c>
      <c r="N23" s="106" t="s">
        <v>551</v>
      </c>
      <c r="O23" s="106" t="s">
        <v>551</v>
      </c>
      <c r="Q23" s="11"/>
      <c r="R23" s="11"/>
      <c r="S23" s="11"/>
      <c r="T23" s="11"/>
      <c r="U23" s="12"/>
      <c r="V23" s="12"/>
      <c r="W23" s="11"/>
      <c r="X23" s="12"/>
      <c r="Y23" s="11"/>
    </row>
    <row r="24" spans="1:25" ht="28.2" thickBot="1">
      <c r="B24" s="107" t="s">
        <v>457</v>
      </c>
      <c r="C24" s="107" t="s">
        <v>26</v>
      </c>
      <c r="D24" s="107" t="s">
        <v>36</v>
      </c>
      <c r="E24" s="108" t="s">
        <v>37</v>
      </c>
      <c r="F24" s="107" t="s">
        <v>272</v>
      </c>
      <c r="G24" s="107" t="s">
        <v>38</v>
      </c>
      <c r="H24" s="107" t="s">
        <v>274</v>
      </c>
      <c r="I24" s="107" t="s">
        <v>275</v>
      </c>
      <c r="J24" s="107" t="s">
        <v>41</v>
      </c>
      <c r="K24" s="107" t="s">
        <v>276</v>
      </c>
      <c r="L24" s="107" t="s">
        <v>39</v>
      </c>
      <c r="N24" s="106" t="s">
        <v>280</v>
      </c>
      <c r="O24" s="106" t="s">
        <v>353</v>
      </c>
      <c r="Q24" s="11"/>
      <c r="R24" s="11"/>
      <c r="S24" s="11"/>
      <c r="T24" s="11"/>
      <c r="U24" s="12"/>
      <c r="V24" s="12"/>
      <c r="W24" s="11"/>
      <c r="X24" s="12"/>
      <c r="Y24" s="11"/>
    </row>
    <row r="25" spans="1:25" ht="27.6">
      <c r="B25" s="110"/>
      <c r="C25" s="111"/>
      <c r="D25" s="111"/>
      <c r="E25" s="129" t="s">
        <v>52</v>
      </c>
      <c r="F25" s="111" t="str">
        <f>General!$D$11</f>
        <v>000s_Units</v>
      </c>
      <c r="G25" s="111" t="str">
        <f>General!$D$12</f>
        <v>MVkms/PJ</v>
      </c>
      <c r="H25" s="111" t="str">
        <f>General!$D$14</f>
        <v>km/year</v>
      </c>
      <c r="I25" s="111" t="str">
        <f>General!$D$17</f>
        <v>tons/vehicle</v>
      </c>
      <c r="J25" s="111" t="str">
        <f>General!$D$19</f>
        <v>k$/Unit</v>
      </c>
      <c r="K25" s="111" t="str">
        <f>General!$D$22</f>
        <v>Years</v>
      </c>
      <c r="L25" s="111" t="str">
        <f>General!$D$24</f>
        <v>(milion_tnkm)/(thousand_tnkm)</v>
      </c>
      <c r="N25" s="111" t="str">
        <f>General!$D$27</f>
        <v>Mtnkm</v>
      </c>
      <c r="O25" s="111" t="str">
        <f>General!$B$2</f>
        <v>PJ</v>
      </c>
      <c r="Q25" s="11"/>
      <c r="R25" s="11"/>
      <c r="S25" s="11"/>
      <c r="T25" s="11"/>
      <c r="U25" s="12"/>
      <c r="V25" s="12"/>
      <c r="W25" s="11"/>
      <c r="X25" s="12"/>
      <c r="Y25" s="11"/>
    </row>
    <row r="26" spans="1:25">
      <c r="B26" s="11" t="str">
        <f t="shared" ref="B26:C29" si="4">S19</f>
        <v>TRARLDV_DSL_E00</v>
      </c>
      <c r="C26" s="11" t="str">
        <f t="shared" si="4"/>
        <v>LDV DSL(E)</v>
      </c>
      <c r="D26" s="11" t="str">
        <f>TRA_BAL!$G$11</f>
        <v>TRAOILDSL</v>
      </c>
      <c r="E26" s="113" t="str">
        <f>$D$7</f>
        <v>TRARLDV</v>
      </c>
      <c r="F26" s="159">
        <f>TRA_BAL!K23</f>
        <v>20</v>
      </c>
      <c r="G26" s="159">
        <f>TRA_BAL!K41</f>
        <v>191.66858990763151</v>
      </c>
      <c r="H26" s="159">
        <f>TRA_BAL!S23</f>
        <v>40000</v>
      </c>
      <c r="I26" s="159">
        <f>TRA_BAL!AA23</f>
        <v>3</v>
      </c>
      <c r="J26" s="12">
        <v>0.2</v>
      </c>
      <c r="K26" s="12">
        <v>25</v>
      </c>
      <c r="L26" s="136">
        <v>1E-3</v>
      </c>
      <c r="N26" s="159">
        <f>F26*H26*I26*L26</f>
        <v>2400</v>
      </c>
      <c r="O26" s="117">
        <f>IF(G26=0,"-",F26*H26*L26/G26)</f>
        <v>4.1738711616000002</v>
      </c>
      <c r="Q26" s="11"/>
      <c r="R26" s="11"/>
      <c r="S26" s="11"/>
      <c r="T26" s="11"/>
      <c r="U26" s="12"/>
      <c r="V26" s="12"/>
      <c r="W26" s="11"/>
      <c r="X26" s="12"/>
      <c r="Y26" s="11"/>
    </row>
    <row r="27" spans="1:25">
      <c r="B27" s="11" t="str">
        <f t="shared" si="4"/>
        <v>TRARLDV_GSL_E00</v>
      </c>
      <c r="C27" s="11" t="str">
        <f t="shared" si="4"/>
        <v>LDV GSL(E)</v>
      </c>
      <c r="D27" s="11" t="str">
        <f>TRA_BAL!$D$11</f>
        <v>TRAOILGSL</v>
      </c>
      <c r="E27" s="113" t="str">
        <f>$D$7</f>
        <v>TRARLDV</v>
      </c>
      <c r="F27" s="159">
        <f>TRA_BAL!K21</f>
        <v>250</v>
      </c>
      <c r="G27" s="159">
        <f>TRA_BAL!K39</f>
        <v>158.98893457111581</v>
      </c>
      <c r="H27" s="159">
        <f>TRA_BAL!S21</f>
        <v>13000</v>
      </c>
      <c r="I27" s="159">
        <f>TRA_BAL!AA21</f>
        <v>3</v>
      </c>
      <c r="J27" s="12">
        <v>0.2</v>
      </c>
      <c r="K27" s="12">
        <v>25</v>
      </c>
      <c r="L27" s="136">
        <v>1E-3</v>
      </c>
      <c r="N27" s="159">
        <f>F27*H27*I27*L27</f>
        <v>9750</v>
      </c>
      <c r="O27" s="135">
        <f>IF(G27=0,"-",F27*H27*L27/G27)</f>
        <v>20.441674188000007</v>
      </c>
      <c r="Q27" s="11"/>
      <c r="R27" s="11"/>
      <c r="S27" s="11"/>
      <c r="T27" s="11"/>
      <c r="U27" s="11"/>
      <c r="V27" s="11"/>
      <c r="W27" s="11"/>
      <c r="X27" s="11"/>
      <c r="Y27" s="11"/>
    </row>
    <row r="28" spans="1:25">
      <c r="B28" s="11" t="str">
        <f t="shared" si="4"/>
        <v>TRARLDV_LPG_E00</v>
      </c>
      <c r="C28" s="11" t="str">
        <f t="shared" si="4"/>
        <v>LDV LPG(E)</v>
      </c>
      <c r="D28" s="11" t="str">
        <f>TRA_BAL!$C$11</f>
        <v>TRAOILLPG</v>
      </c>
      <c r="E28" s="113" t="str">
        <f>$D$7</f>
        <v>TRARLDV</v>
      </c>
      <c r="F28" s="159">
        <f>TRA_BAL!K20</f>
        <v>0</v>
      </c>
      <c r="G28" s="159">
        <f>TRA_BAL!K38</f>
        <v>216.53482467114179</v>
      </c>
      <c r="H28" s="159">
        <f>TRA_BAL!S20</f>
        <v>0</v>
      </c>
      <c r="I28" s="159">
        <f>TRA_BAL!AA20</f>
        <v>3</v>
      </c>
      <c r="J28" s="12">
        <v>0.2</v>
      </c>
      <c r="K28" s="12">
        <v>25</v>
      </c>
      <c r="L28" s="136">
        <v>1E-3</v>
      </c>
      <c r="N28" s="159">
        <f>F28*H28*I28*L28</f>
        <v>0</v>
      </c>
      <c r="O28" s="135">
        <f>IF(G28=0,"-",F28*H28*L28/G28)</f>
        <v>0</v>
      </c>
      <c r="Q28" s="11"/>
      <c r="R28" s="11"/>
      <c r="S28" s="11"/>
      <c r="T28" s="11"/>
      <c r="U28" s="11"/>
      <c r="V28" s="11"/>
      <c r="W28" s="11"/>
      <c r="X28" s="11"/>
      <c r="Y28" s="11"/>
    </row>
    <row r="29" spans="1:25">
      <c r="B29" s="114" t="str">
        <f t="shared" si="4"/>
        <v>TRARLDV_GAS_E00</v>
      </c>
      <c r="C29" s="114" t="str">
        <f t="shared" si="4"/>
        <v>LDV N.Gas(E)</v>
      </c>
      <c r="D29" s="114" t="str">
        <f>TRA_BAL!$J$11</f>
        <v>TRAGASNAT</v>
      </c>
      <c r="E29" s="115" t="str">
        <f>$D$7</f>
        <v>TRARLDV</v>
      </c>
      <c r="F29" s="140">
        <f>TRA_BAL!K24</f>
        <v>0</v>
      </c>
      <c r="G29" s="140">
        <f>TRA_BAL!K42</f>
        <v>285.71428571428572</v>
      </c>
      <c r="H29" s="140">
        <f>TRA_BAL!S24</f>
        <v>18000</v>
      </c>
      <c r="I29" s="140">
        <f>TRA_BAL!AA24</f>
        <v>3</v>
      </c>
      <c r="J29" s="116">
        <v>0.2</v>
      </c>
      <c r="K29" s="116">
        <v>25</v>
      </c>
      <c r="L29" s="139">
        <v>1E-3</v>
      </c>
      <c r="N29" s="140">
        <f>F29*H29*I29*L29</f>
        <v>0</v>
      </c>
      <c r="O29" s="140">
        <f>IF(G29=0,"-",F29*H29*L29/G29)</f>
        <v>0</v>
      </c>
      <c r="Q29" s="11"/>
      <c r="R29" s="11"/>
      <c r="S29" s="11"/>
      <c r="T29" s="11"/>
      <c r="U29" s="11"/>
      <c r="V29" s="11"/>
      <c r="W29" s="11"/>
      <c r="X29" s="11"/>
      <c r="Y29" s="11"/>
    </row>
    <row r="30" spans="1:25">
      <c r="Q30" s="11"/>
      <c r="R30" s="11"/>
      <c r="S30" s="11"/>
      <c r="T30" s="11"/>
      <c r="U30" s="11"/>
      <c r="V30" s="11"/>
      <c r="W30" s="11"/>
      <c r="X30" s="11"/>
      <c r="Y30" s="11"/>
    </row>
    <row r="31" spans="1:25">
      <c r="Q31" s="11"/>
      <c r="R31" s="11"/>
      <c r="S31" s="11"/>
      <c r="T31" s="11"/>
      <c r="U31" s="11"/>
      <c r="V31" s="11"/>
      <c r="W31" s="11"/>
      <c r="X31" s="11"/>
      <c r="Y31" s="11"/>
    </row>
    <row r="32" spans="1:25">
      <c r="Q32" s="11"/>
      <c r="R32" s="11"/>
      <c r="S32" s="11"/>
      <c r="T32" s="11"/>
      <c r="U32" s="11"/>
      <c r="V32" s="11"/>
      <c r="W32" s="11"/>
      <c r="X32" s="11"/>
      <c r="Y32" s="11"/>
    </row>
    <row r="33" spans="17:25">
      <c r="Q33" s="11"/>
      <c r="R33" s="11"/>
      <c r="S33" s="11"/>
      <c r="T33" s="11"/>
      <c r="U33" s="11"/>
      <c r="V33" s="11"/>
      <c r="W33" s="11"/>
      <c r="X33" s="11"/>
      <c r="Y33" s="11"/>
    </row>
    <row r="34" spans="17:25">
      <c r="Q34" s="11"/>
      <c r="R34" s="11"/>
      <c r="S34" s="11"/>
      <c r="T34" s="11"/>
      <c r="U34" s="11"/>
      <c r="V34" s="11"/>
      <c r="W34" s="11"/>
      <c r="X34" s="11"/>
      <c r="Y34" s="11"/>
    </row>
    <row r="40" spans="17:25" ht="31.5" customHeight="1"/>
    <row r="41" spans="17:25" ht="28.5" customHeight="1"/>
  </sheetData>
  <mergeCells count="1">
    <mergeCell ref="H6:H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62"/>
  <sheetViews>
    <sheetView topLeftCell="A11" zoomScale="70" zoomScaleNormal="70" workbookViewId="0">
      <selection activeCell="A11" sqref="A1:XFD1048576"/>
    </sheetView>
  </sheetViews>
  <sheetFormatPr defaultColWidth="9.109375" defaultRowHeight="13.8"/>
  <cols>
    <col min="1" max="1" width="5.44140625" style="10" customWidth="1"/>
    <col min="2" max="2" width="25.44140625" style="10" customWidth="1"/>
    <col min="3" max="3" width="26" style="10" customWidth="1"/>
    <col min="4" max="4" width="27.88671875" style="10" bestFit="1" customWidth="1"/>
    <col min="5" max="5" width="14" style="10" bestFit="1" customWidth="1"/>
    <col min="6" max="6" width="19.5546875" style="10" customWidth="1"/>
    <col min="7" max="9" width="20.5546875" style="10" customWidth="1"/>
    <col min="10" max="10" width="19.5546875" style="10" bestFit="1" customWidth="1"/>
    <col min="11" max="11" width="19.5546875" style="10" customWidth="1"/>
    <col min="12" max="12" width="32.33203125" style="10" bestFit="1" customWidth="1"/>
    <col min="13" max="13" width="4.5546875" style="10" customWidth="1"/>
    <col min="14" max="16" width="21.109375" style="10" customWidth="1"/>
    <col min="17" max="17" width="13.44140625" style="10" customWidth="1"/>
    <col min="18" max="18" width="17.33203125" style="10" customWidth="1"/>
    <col min="19" max="19" width="13" style="10" bestFit="1" customWidth="1"/>
    <col min="20" max="20" width="30.5546875" style="10" customWidth="1"/>
    <col min="21" max="21" width="49" style="10" customWidth="1"/>
    <col min="22" max="22" width="14.109375" style="10" customWidth="1"/>
    <col min="23" max="23" width="12.44140625" style="10" bestFit="1" customWidth="1"/>
    <col min="24" max="24" width="15.44140625" style="10" customWidth="1"/>
    <col min="25" max="25" width="24.5546875" style="10" bestFit="1" customWidth="1"/>
    <col min="26" max="26" width="19" style="10" customWidth="1"/>
    <col min="27" max="27" width="4.44140625" style="10" customWidth="1"/>
    <col min="28" max="28" width="11" style="10" bestFit="1" customWidth="1"/>
    <col min="29" max="16384" width="9.109375" style="10"/>
  </cols>
  <sheetData>
    <row r="1" spans="1:27" ht="17.399999999999999">
      <c r="A1" s="118"/>
      <c r="B1" s="118" t="s">
        <v>301</v>
      </c>
      <c r="C1" s="118"/>
      <c r="D1" s="118"/>
      <c r="E1" s="118"/>
      <c r="F1" s="118"/>
      <c r="Q1" s="11"/>
    </row>
    <row r="2" spans="1:27">
      <c r="D2" s="109" t="s">
        <v>14</v>
      </c>
      <c r="E2" s="109"/>
    </row>
    <row r="3" spans="1:27">
      <c r="B3" s="104" t="s">
        <v>45</v>
      </c>
      <c r="C3" s="104" t="s">
        <v>260</v>
      </c>
      <c r="D3" s="104" t="s">
        <v>0</v>
      </c>
      <c r="E3" s="104" t="s">
        <v>261</v>
      </c>
      <c r="F3" s="106">
        <f>BASE_YEAR</f>
        <v>2017</v>
      </c>
    </row>
    <row r="4" spans="1:27" ht="14.4" thickBot="1">
      <c r="B4" s="124" t="s">
        <v>502</v>
      </c>
      <c r="C4" s="124"/>
      <c r="D4" s="124" t="s">
        <v>503</v>
      </c>
      <c r="E4" s="124" t="s">
        <v>262</v>
      </c>
      <c r="F4" s="125" t="s">
        <v>43</v>
      </c>
    </row>
    <row r="5" spans="1:27">
      <c r="B5" s="11" t="s">
        <v>42</v>
      </c>
      <c r="C5" s="11" t="str">
        <f>Commodities!$P$12</f>
        <v>Rail passenger</v>
      </c>
      <c r="D5" s="11" t="str">
        <f>Commodities!$O$12</f>
        <v>TRARAILP</v>
      </c>
      <c r="E5" s="12" t="str">
        <f>General!$D$26</f>
        <v>Mpgkm</v>
      </c>
      <c r="F5" s="142">
        <f>SUM(N17:N18)</f>
        <v>4200</v>
      </c>
    </row>
    <row r="6" spans="1:27">
      <c r="B6" s="114" t="s">
        <v>42</v>
      </c>
      <c r="C6" s="114" t="str">
        <f>Commodities!$P$13</f>
        <v>Rail freight</v>
      </c>
      <c r="D6" s="114" t="str">
        <f>Commodities!$O$13</f>
        <v>TRARAILF</v>
      </c>
      <c r="E6" s="116" t="str">
        <f>General!$D$27</f>
        <v>Mtnkm</v>
      </c>
      <c r="F6" s="143">
        <f>SUM(N25:N26)</f>
        <v>7500</v>
      </c>
    </row>
    <row r="8" spans="1:27" ht="17.399999999999999">
      <c r="B8" s="118" t="s">
        <v>306</v>
      </c>
      <c r="C8" s="118"/>
      <c r="D8" s="118"/>
      <c r="E8" s="118"/>
      <c r="F8" s="118"/>
    </row>
    <row r="10" spans="1:27">
      <c r="R10" s="10" t="s">
        <v>267</v>
      </c>
    </row>
    <row r="12" spans="1:27" ht="17.399999999999999">
      <c r="B12" s="118" t="s">
        <v>308</v>
      </c>
      <c r="D12" s="120"/>
      <c r="E12" s="120"/>
      <c r="F12" s="120"/>
      <c r="H12" s="9"/>
      <c r="I12" s="9"/>
      <c r="J12" s="9"/>
      <c r="K12" s="8"/>
      <c r="R12" s="92" t="s">
        <v>40</v>
      </c>
      <c r="S12" s="92"/>
      <c r="T12" s="92" t="s">
        <v>268</v>
      </c>
      <c r="U12" s="92"/>
      <c r="V12" s="92"/>
      <c r="W12" s="92"/>
      <c r="X12" s="92"/>
      <c r="Y12" s="92"/>
      <c r="Z12" s="92"/>
    </row>
    <row r="13" spans="1:27" ht="22.5" customHeight="1">
      <c r="E13" s="102" t="s">
        <v>14</v>
      </c>
      <c r="G13" s="9"/>
      <c r="R13" s="100" t="s">
        <v>19</v>
      </c>
      <c r="S13" s="100"/>
      <c r="T13" s="92"/>
      <c r="U13" s="92"/>
      <c r="V13" s="92"/>
      <c r="W13" s="92"/>
      <c r="X13" s="92"/>
      <c r="Y13" s="92"/>
      <c r="Z13" s="92"/>
      <c r="AA13" s="88"/>
    </row>
    <row r="14" spans="1:27" ht="17.25" customHeight="1">
      <c r="B14" s="104" t="s">
        <v>1</v>
      </c>
      <c r="C14" s="104" t="s">
        <v>44</v>
      </c>
      <c r="D14" s="104" t="s">
        <v>6</v>
      </c>
      <c r="E14" s="105" t="s">
        <v>7</v>
      </c>
      <c r="F14" s="106" t="s">
        <v>265</v>
      </c>
      <c r="G14" s="106" t="s">
        <v>16</v>
      </c>
      <c r="H14" s="106" t="s">
        <v>17</v>
      </c>
      <c r="I14" s="106" t="s">
        <v>273</v>
      </c>
      <c r="J14" s="106" t="s">
        <v>3</v>
      </c>
      <c r="K14" s="106" t="s">
        <v>266</v>
      </c>
      <c r="L14" s="106" t="s">
        <v>329</v>
      </c>
      <c r="N14" s="106" t="s">
        <v>551</v>
      </c>
      <c r="O14" s="106"/>
      <c r="P14" s="106" t="s">
        <v>551</v>
      </c>
      <c r="R14" s="94" t="s">
        <v>12</v>
      </c>
      <c r="S14" s="94" t="s">
        <v>34</v>
      </c>
      <c r="T14" s="94" t="s">
        <v>1</v>
      </c>
      <c r="U14" s="94" t="s">
        <v>2</v>
      </c>
      <c r="V14" s="94" t="s">
        <v>20</v>
      </c>
      <c r="W14" s="94" t="s">
        <v>21</v>
      </c>
      <c r="X14" s="94" t="s">
        <v>22</v>
      </c>
      <c r="Y14" s="94" t="s">
        <v>23</v>
      </c>
      <c r="Z14" s="94" t="s">
        <v>24</v>
      </c>
    </row>
    <row r="15" spans="1:27" ht="15.75" customHeight="1" thickBot="1">
      <c r="B15" s="107" t="s">
        <v>457</v>
      </c>
      <c r="C15" s="107" t="s">
        <v>26</v>
      </c>
      <c r="D15" s="107" t="s">
        <v>36</v>
      </c>
      <c r="E15" s="108" t="s">
        <v>37</v>
      </c>
      <c r="F15" s="107" t="s">
        <v>272</v>
      </c>
      <c r="G15" s="107" t="s">
        <v>38</v>
      </c>
      <c r="H15" s="107" t="s">
        <v>274</v>
      </c>
      <c r="I15" s="107" t="s">
        <v>275</v>
      </c>
      <c r="J15" s="107" t="s">
        <v>41</v>
      </c>
      <c r="K15" s="107" t="s">
        <v>276</v>
      </c>
      <c r="L15" s="107" t="s">
        <v>39</v>
      </c>
      <c r="N15" s="106" t="s">
        <v>280</v>
      </c>
      <c r="O15" s="106" t="s">
        <v>495</v>
      </c>
      <c r="P15" s="106" t="s">
        <v>353</v>
      </c>
      <c r="R15" s="130" t="s">
        <v>47</v>
      </c>
      <c r="S15" s="130" t="s">
        <v>35</v>
      </c>
      <c r="T15" s="130" t="s">
        <v>25</v>
      </c>
      <c r="U15" s="130" t="s">
        <v>26</v>
      </c>
      <c r="V15" s="130" t="s">
        <v>27</v>
      </c>
      <c r="W15" s="130" t="s">
        <v>28</v>
      </c>
      <c r="X15" s="130" t="s">
        <v>51</v>
      </c>
      <c r="Y15" s="130" t="s">
        <v>50</v>
      </c>
      <c r="Z15" s="130" t="s">
        <v>29</v>
      </c>
    </row>
    <row r="16" spans="1:27">
      <c r="B16" s="110"/>
      <c r="C16" s="111"/>
      <c r="D16" s="111"/>
      <c r="E16" s="129" t="s">
        <v>52</v>
      </c>
      <c r="F16" s="111" t="str">
        <f>General!$D$11</f>
        <v>000s_Units</v>
      </c>
      <c r="G16" s="111" t="str">
        <f>General!$D$12</f>
        <v>MVkms/PJ</v>
      </c>
      <c r="H16" s="111" t="str">
        <f>General!$D$14</f>
        <v>km/year</v>
      </c>
      <c r="I16" s="111" t="str">
        <f>General!$D$15</f>
        <v>passenger/vehicle</v>
      </c>
      <c r="J16" s="111" t="str">
        <f>General!$D$19</f>
        <v>k$/Unit</v>
      </c>
      <c r="K16" s="111" t="str">
        <f>General!$D$22</f>
        <v>Years</v>
      </c>
      <c r="L16" s="111" t="str">
        <f>General!$D$23</f>
        <v>(milion_vkm)/(thousand_vkm)</v>
      </c>
      <c r="M16" s="114"/>
      <c r="N16" s="111" t="str">
        <f>General!$D$26</f>
        <v>Mpgkm</v>
      </c>
      <c r="O16" s="111" t="str">
        <f>General!$D$26</f>
        <v>Mpgkm</v>
      </c>
      <c r="P16" s="111" t="str">
        <f>General!$B$2</f>
        <v>PJ</v>
      </c>
      <c r="R16" s="10" t="s">
        <v>269</v>
      </c>
      <c r="T16" s="10" t="str">
        <f>Commodities!$O$12&amp;"_"&amp;RIGHT(TRA_BAL!$G$11,3)&amp;"_E00"</f>
        <v>TRARAILP_DSL_E00</v>
      </c>
      <c r="U16" s="10" t="s">
        <v>438</v>
      </c>
      <c r="V16" s="88" t="str">
        <f>General!$D$30</f>
        <v>MVkms</v>
      </c>
      <c r="W16" s="88" t="str">
        <f>General!$D$11</f>
        <v>000s_Units</v>
      </c>
      <c r="Y16" s="88" t="s">
        <v>279</v>
      </c>
    </row>
    <row r="17" spans="1:26">
      <c r="B17" s="114" t="str">
        <f>T16</f>
        <v>TRARAILP_DSL_E00</v>
      </c>
      <c r="C17" s="114" t="str">
        <f>U16</f>
        <v>Passenger Trains  DSL (E)</v>
      </c>
      <c r="D17" s="114" t="str">
        <f>TRA_BAL!$G$11</f>
        <v>TRAOILDSL</v>
      </c>
      <c r="E17" s="115" t="str">
        <f>$D$5</f>
        <v>TRARAILP</v>
      </c>
      <c r="F17" s="144">
        <f>TRA_BAL!F50</f>
        <v>0.1</v>
      </c>
      <c r="G17" s="140">
        <f>TRA_BAL!I50</f>
        <v>18.576903071027459</v>
      </c>
      <c r="H17" s="145">
        <f>TRA_BAL!H50</f>
        <v>140000</v>
      </c>
      <c r="I17" s="146">
        <f>TRA_BAL!G50</f>
        <v>200</v>
      </c>
      <c r="J17" s="116">
        <v>1</v>
      </c>
      <c r="K17" s="116">
        <v>20</v>
      </c>
      <c r="L17" s="139">
        <v>1E-3</v>
      </c>
      <c r="M17" s="114"/>
      <c r="N17" s="147">
        <f t="shared" ref="N17:N18" si="0">F17*H17*I17*L17</f>
        <v>2800</v>
      </c>
      <c r="O17" s="148"/>
      <c r="P17" s="149">
        <f t="shared" ref="P17:P18" si="1">IF(G17=0,"-",F17*H17*L17/G17)</f>
        <v>0.75362400000000007</v>
      </c>
      <c r="R17" s="11"/>
      <c r="S17" s="11"/>
      <c r="T17" s="11" t="str">
        <f>Commodities!$O$13&amp;"_"&amp;RIGHT(TRA_BAL!$G$11,3)&amp;"_E00"</f>
        <v>TRARAILF_DSL_E00</v>
      </c>
      <c r="U17" s="11" t="s">
        <v>439</v>
      </c>
      <c r="V17" s="88" t="str">
        <f>General!$D$30</f>
        <v>MVkms</v>
      </c>
      <c r="W17" s="88" t="str">
        <f>General!$D$11</f>
        <v>000s_Units</v>
      </c>
      <c r="X17" s="11"/>
      <c r="Y17" s="12" t="s">
        <v>279</v>
      </c>
      <c r="Z17" s="11"/>
    </row>
    <row r="18" spans="1:26">
      <c r="B18" s="114" t="str">
        <f>T18</f>
        <v>TRARAILP_ELC_E00</v>
      </c>
      <c r="C18" s="114" t="str">
        <f>U18</f>
        <v>Passenger Trains  ELE (E)</v>
      </c>
      <c r="D18" s="114" t="str">
        <f>TRA_BAL!$K$11</f>
        <v>TRAELC</v>
      </c>
      <c r="E18" s="115" t="str">
        <f>$D$5</f>
        <v>TRARAILP</v>
      </c>
      <c r="F18" s="144">
        <f>TRA_BAL!F49</f>
        <v>0.05</v>
      </c>
      <c r="G18" s="140">
        <f>TRA_BAL!I49</f>
        <v>29.855737078436988</v>
      </c>
      <c r="H18" s="145">
        <f>TRA_BAL!H49</f>
        <v>140000</v>
      </c>
      <c r="I18" s="146">
        <f>TRA_BAL!G49</f>
        <v>200</v>
      </c>
      <c r="J18" s="116">
        <v>1</v>
      </c>
      <c r="K18" s="116">
        <v>30</v>
      </c>
      <c r="L18" s="139">
        <v>1E-3</v>
      </c>
      <c r="M18" s="114"/>
      <c r="N18" s="147">
        <f t="shared" si="0"/>
        <v>1400</v>
      </c>
      <c r="O18" s="150"/>
      <c r="P18" s="149">
        <f t="shared" si="1"/>
        <v>0.23446080000000002</v>
      </c>
      <c r="R18" s="11"/>
      <c r="S18" s="11"/>
      <c r="T18" s="10" t="str">
        <f>Commodities!$O$12&amp;"_"&amp;RIGHT(TRA_BAL!$K$11,3)&amp;"_E00"</f>
        <v>TRARAILP_ELC_E00</v>
      </c>
      <c r="U18" s="10" t="s">
        <v>532</v>
      </c>
      <c r="V18" s="88" t="str">
        <f>General!$D$30</f>
        <v>MVkms</v>
      </c>
      <c r="W18" s="88" t="str">
        <f>General!$D$11</f>
        <v>000s_Units</v>
      </c>
      <c r="Y18" s="88" t="s">
        <v>279</v>
      </c>
    </row>
    <row r="19" spans="1:26">
      <c r="R19" s="11"/>
      <c r="S19" s="11"/>
      <c r="T19" s="11" t="str">
        <f>Commodities!$O$13&amp;"_"&amp;RIGHT(TRA_BAL!$K$11,3)&amp;"_E00"</f>
        <v>TRARAILF_ELC_E00</v>
      </c>
      <c r="U19" s="11" t="s">
        <v>531</v>
      </c>
      <c r="V19" s="88" t="str">
        <f>General!$D$30</f>
        <v>MVkms</v>
      </c>
      <c r="W19" s="88" t="str">
        <f>General!$D$11</f>
        <v>000s_Units</v>
      </c>
      <c r="X19" s="11"/>
      <c r="Y19" s="12" t="s">
        <v>279</v>
      </c>
      <c r="Z19" s="11"/>
    </row>
    <row r="20" spans="1:26" ht="17.399999999999999">
      <c r="B20" s="118" t="s">
        <v>307</v>
      </c>
      <c r="D20" s="120"/>
      <c r="E20" s="120"/>
      <c r="F20" s="120"/>
      <c r="H20" s="9"/>
      <c r="I20" s="9"/>
      <c r="J20" s="9"/>
      <c r="K20" s="8"/>
      <c r="R20" s="11"/>
      <c r="S20" s="11"/>
      <c r="T20" s="11"/>
      <c r="U20" s="11"/>
      <c r="V20" s="12"/>
      <c r="W20" s="12"/>
      <c r="X20" s="11"/>
      <c r="Y20" s="12"/>
      <c r="Z20" s="11"/>
    </row>
    <row r="21" spans="1:26">
      <c r="E21" s="102" t="s">
        <v>14</v>
      </c>
      <c r="G21" s="9"/>
      <c r="R21" s="11"/>
      <c r="S21" s="11"/>
      <c r="T21" s="11"/>
      <c r="U21" s="11"/>
      <c r="V21" s="12"/>
      <c r="W21" s="12"/>
      <c r="X21" s="11"/>
      <c r="Y21" s="12"/>
      <c r="Z21" s="11"/>
    </row>
    <row r="22" spans="1:26">
      <c r="B22" s="104" t="s">
        <v>1</v>
      </c>
      <c r="C22" s="104" t="s">
        <v>44</v>
      </c>
      <c r="D22" s="104" t="s">
        <v>6</v>
      </c>
      <c r="E22" s="105" t="s">
        <v>7</v>
      </c>
      <c r="F22" s="106" t="s">
        <v>265</v>
      </c>
      <c r="G22" s="106" t="s">
        <v>16</v>
      </c>
      <c r="H22" s="106" t="s">
        <v>17</v>
      </c>
      <c r="I22" s="106" t="s">
        <v>273</v>
      </c>
      <c r="J22" s="106" t="s">
        <v>3</v>
      </c>
      <c r="K22" s="106" t="s">
        <v>266</v>
      </c>
      <c r="L22" s="106" t="s">
        <v>329</v>
      </c>
      <c r="N22" s="106" t="s">
        <v>551</v>
      </c>
      <c r="O22" s="106"/>
      <c r="P22" s="106" t="s">
        <v>551</v>
      </c>
      <c r="R22" s="11"/>
      <c r="S22" s="11"/>
      <c r="T22" s="11"/>
      <c r="U22" s="11"/>
      <c r="V22" s="12"/>
      <c r="W22" s="12"/>
      <c r="X22" s="11"/>
      <c r="Y22" s="12"/>
      <c r="Z22" s="11"/>
    </row>
    <row r="23" spans="1:26" ht="28.2" thickBot="1">
      <c r="B23" s="107" t="s">
        <v>457</v>
      </c>
      <c r="C23" s="107" t="s">
        <v>26</v>
      </c>
      <c r="D23" s="107" t="s">
        <v>36</v>
      </c>
      <c r="E23" s="108" t="s">
        <v>37</v>
      </c>
      <c r="F23" s="107" t="s">
        <v>272</v>
      </c>
      <c r="G23" s="107" t="s">
        <v>38</v>
      </c>
      <c r="H23" s="107" t="s">
        <v>274</v>
      </c>
      <c r="I23" s="107" t="s">
        <v>275</v>
      </c>
      <c r="J23" s="107" t="s">
        <v>41</v>
      </c>
      <c r="K23" s="107" t="s">
        <v>276</v>
      </c>
      <c r="L23" s="107" t="s">
        <v>39</v>
      </c>
      <c r="N23" s="106" t="s">
        <v>280</v>
      </c>
      <c r="O23" s="106" t="s">
        <v>495</v>
      </c>
      <c r="P23" s="106" t="s">
        <v>353</v>
      </c>
      <c r="R23" s="11"/>
      <c r="S23" s="11"/>
      <c r="T23" s="11"/>
      <c r="U23" s="11"/>
      <c r="V23" s="12"/>
      <c r="W23" s="12"/>
      <c r="X23" s="11"/>
      <c r="Y23" s="12"/>
      <c r="Z23" s="11"/>
    </row>
    <row r="24" spans="1:26">
      <c r="B24" s="110"/>
      <c r="C24" s="111"/>
      <c r="D24" s="111"/>
      <c r="E24" s="129" t="s">
        <v>52</v>
      </c>
      <c r="F24" s="111" t="str">
        <f>General!$D$11</f>
        <v>000s_Units</v>
      </c>
      <c r="G24" s="111" t="str">
        <f>General!$D$12</f>
        <v>MVkms/PJ</v>
      </c>
      <c r="H24" s="111" t="str">
        <f>General!$D$14</f>
        <v>km/year</v>
      </c>
      <c r="I24" s="111" t="str">
        <f>General!$D$17</f>
        <v>tons/vehicle</v>
      </c>
      <c r="J24" s="111" t="str">
        <f>General!$D$19</f>
        <v>k$/Unit</v>
      </c>
      <c r="K24" s="111" t="str">
        <f>General!$D$22</f>
        <v>Years</v>
      </c>
      <c r="L24" s="111" t="str">
        <f>General!$D$24</f>
        <v>(milion_tnkm)/(thousand_tnkm)</v>
      </c>
      <c r="M24" s="114"/>
      <c r="N24" s="111" t="str">
        <f>General!$D$27</f>
        <v>Mtnkm</v>
      </c>
      <c r="O24" s="111" t="str">
        <f>General!$D$27</f>
        <v>Mtnkm</v>
      </c>
      <c r="P24" s="111" t="str">
        <f>General!$B$2</f>
        <v>PJ</v>
      </c>
      <c r="R24" s="11"/>
      <c r="S24" s="11"/>
      <c r="T24" s="11"/>
      <c r="U24" s="11"/>
      <c r="V24" s="12"/>
      <c r="W24" s="12"/>
      <c r="X24" s="11"/>
      <c r="Y24" s="12"/>
      <c r="Z24" s="11"/>
    </row>
    <row r="25" spans="1:26">
      <c r="B25" s="114" t="str">
        <f>T17</f>
        <v>TRARAILF_DSL_E00</v>
      </c>
      <c r="C25" s="114" t="str">
        <f>U17</f>
        <v>Freight Trains DSL(E)</v>
      </c>
      <c r="D25" s="114" t="str">
        <f>TRA_BAL!$G$11</f>
        <v>TRAOILDSL</v>
      </c>
      <c r="E25" s="115" t="str">
        <f>$D$6</f>
        <v>TRARAILF</v>
      </c>
      <c r="F25" s="138">
        <f>TRA_BAL!F52</f>
        <v>0.15</v>
      </c>
      <c r="G25" s="151">
        <f>TRA_BAL!I52</f>
        <v>9.951912359478996</v>
      </c>
      <c r="H25" s="152">
        <f>TRA_BAL!H52</f>
        <v>200000</v>
      </c>
      <c r="I25" s="151">
        <f>TRA_BAL!G52</f>
        <v>150</v>
      </c>
      <c r="J25" s="116">
        <v>0.2</v>
      </c>
      <c r="K25" s="116">
        <v>20</v>
      </c>
      <c r="L25" s="139">
        <v>1E-3</v>
      </c>
      <c r="M25" s="114"/>
      <c r="N25" s="147">
        <f>F25*H25*I25*L25</f>
        <v>4500</v>
      </c>
      <c r="O25" s="148"/>
      <c r="P25" s="149">
        <f t="shared" ref="P25:P26" si="2">IF(G25=0,"-",F25*H25*L25/G25)</f>
        <v>3.0144960000000003</v>
      </c>
      <c r="R25" s="11"/>
      <c r="S25" s="11"/>
      <c r="T25" s="11"/>
      <c r="U25" s="11"/>
      <c r="V25" s="12"/>
      <c r="W25" s="12"/>
      <c r="X25" s="11"/>
      <c r="Y25" s="12"/>
      <c r="Z25" s="11"/>
    </row>
    <row r="26" spans="1:26">
      <c r="A26" s="11"/>
      <c r="B26" s="114" t="str">
        <f>T19</f>
        <v>TRARAILF_ELC_E00</v>
      </c>
      <c r="C26" s="114" t="str">
        <f>U19</f>
        <v>Freight Trains ELE (E)</v>
      </c>
      <c r="D26" s="114" t="str">
        <f>TRA_BAL!$K$11</f>
        <v>TRAELC</v>
      </c>
      <c r="E26" s="115" t="str">
        <f>$D$6</f>
        <v>TRARAILF</v>
      </c>
      <c r="F26" s="138">
        <f>TRA_BAL!F51</f>
        <v>0.1</v>
      </c>
      <c r="G26" s="151">
        <f>TRA_BAL!I51</f>
        <v>21.325526484597848</v>
      </c>
      <c r="H26" s="152">
        <f>TRA_BAL!H51</f>
        <v>200000</v>
      </c>
      <c r="I26" s="151">
        <f>TRA_BAL!G51</f>
        <v>150</v>
      </c>
      <c r="J26" s="116">
        <v>0.2</v>
      </c>
      <c r="K26" s="116">
        <v>30</v>
      </c>
      <c r="L26" s="139">
        <v>1E-3</v>
      </c>
      <c r="M26" s="114"/>
      <c r="N26" s="147">
        <f>F26*H26*I26*L26</f>
        <v>3000</v>
      </c>
      <c r="O26" s="150"/>
      <c r="P26" s="149">
        <f t="shared" si="2"/>
        <v>0.93784320000000021</v>
      </c>
    </row>
    <row r="27" spans="1:26">
      <c r="A27" s="11"/>
      <c r="B27" s="11"/>
      <c r="C27" s="11"/>
      <c r="D27" s="12"/>
      <c r="E27" s="12"/>
      <c r="F27" s="11"/>
      <c r="G27" s="12"/>
      <c r="H27" s="11"/>
    </row>
    <row r="28" spans="1:26">
      <c r="A28" s="11"/>
      <c r="B28" s="11"/>
      <c r="C28" s="11"/>
      <c r="D28" s="12"/>
      <c r="E28" s="12"/>
      <c r="F28" s="11"/>
      <c r="G28" s="12"/>
      <c r="H28" s="11"/>
    </row>
    <row r="29" spans="1:26" ht="17.399999999999999">
      <c r="A29" s="118"/>
      <c r="B29" s="118" t="s">
        <v>530</v>
      </c>
      <c r="C29" s="118"/>
      <c r="D29" s="118"/>
      <c r="E29" s="118"/>
      <c r="F29" s="118"/>
      <c r="Q29" s="11"/>
    </row>
    <row r="30" spans="1:26">
      <c r="D30" s="109" t="s">
        <v>14</v>
      </c>
      <c r="E30" s="109"/>
    </row>
    <row r="31" spans="1:26">
      <c r="B31" s="104" t="s">
        <v>45</v>
      </c>
      <c r="C31" s="104" t="s">
        <v>260</v>
      </c>
      <c r="D31" s="104" t="s">
        <v>0</v>
      </c>
      <c r="E31" s="104" t="s">
        <v>261</v>
      </c>
      <c r="F31" s="106">
        <f>BASE_YEAR</f>
        <v>2017</v>
      </c>
    </row>
    <row r="32" spans="1:26" ht="14.4" thickBot="1">
      <c r="B32" s="124"/>
      <c r="C32" s="124"/>
      <c r="D32" s="124" t="s">
        <v>458</v>
      </c>
      <c r="E32" s="124" t="s">
        <v>262</v>
      </c>
      <c r="F32" s="125" t="s">
        <v>43</v>
      </c>
    </row>
    <row r="33" spans="2:27">
      <c r="B33" s="11" t="s">
        <v>42</v>
      </c>
      <c r="C33" s="11" t="str">
        <f>Commodities!$P$14</f>
        <v>Waterways</v>
      </c>
      <c r="D33" s="11" t="str">
        <f>Commodities!$O$14</f>
        <v>TRANAVP</v>
      </c>
      <c r="E33" s="12" t="str">
        <f>General!$D$27</f>
        <v>Mtnkm</v>
      </c>
      <c r="F33" s="142">
        <f>N42</f>
        <v>3600</v>
      </c>
    </row>
    <row r="35" spans="2:27" ht="17.399999999999999">
      <c r="B35" s="118" t="s">
        <v>533</v>
      </c>
      <c r="C35" s="118"/>
      <c r="D35" s="118"/>
      <c r="E35" s="118"/>
      <c r="F35" s="118"/>
      <c r="R35" s="10" t="s">
        <v>267</v>
      </c>
    </row>
    <row r="37" spans="2:27" ht="17.399999999999999">
      <c r="B37" s="118" t="s">
        <v>528</v>
      </c>
      <c r="C37" s="118"/>
      <c r="D37" s="120"/>
      <c r="E37" s="120"/>
      <c r="F37" s="120"/>
      <c r="H37" s="9"/>
      <c r="I37" s="9"/>
      <c r="J37" s="9"/>
      <c r="K37" s="8"/>
      <c r="R37" s="92" t="s">
        <v>40</v>
      </c>
      <c r="S37" s="92"/>
      <c r="T37" s="92" t="s">
        <v>268</v>
      </c>
      <c r="U37" s="92"/>
      <c r="V37" s="92"/>
      <c r="W37" s="92"/>
      <c r="X37" s="92"/>
      <c r="Y37" s="92"/>
      <c r="Z37" s="92"/>
    </row>
    <row r="38" spans="2:27">
      <c r="E38" s="102" t="s">
        <v>14</v>
      </c>
      <c r="G38" s="9"/>
      <c r="R38" s="100" t="s">
        <v>19</v>
      </c>
      <c r="S38" s="100"/>
      <c r="T38" s="92"/>
      <c r="U38" s="92"/>
      <c r="V38" s="92"/>
      <c r="W38" s="92"/>
      <c r="X38" s="92"/>
      <c r="Y38" s="92"/>
      <c r="Z38" s="92"/>
    </row>
    <row r="39" spans="2:27">
      <c r="B39" s="104" t="s">
        <v>1</v>
      </c>
      <c r="C39" s="104" t="s">
        <v>44</v>
      </c>
      <c r="D39" s="104" t="s">
        <v>6</v>
      </c>
      <c r="E39" s="105" t="s">
        <v>7</v>
      </c>
      <c r="F39" s="106" t="s">
        <v>265</v>
      </c>
      <c r="G39" s="106" t="s">
        <v>16</v>
      </c>
      <c r="H39" s="106" t="s">
        <v>17</v>
      </c>
      <c r="I39" s="106" t="s">
        <v>273</v>
      </c>
      <c r="J39" s="106" t="s">
        <v>3</v>
      </c>
      <c r="K39" s="106" t="s">
        <v>266</v>
      </c>
      <c r="L39" s="106" t="s">
        <v>329</v>
      </c>
      <c r="N39" s="106" t="s">
        <v>551</v>
      </c>
      <c r="O39" s="106" t="s">
        <v>551</v>
      </c>
      <c r="P39" s="106" t="s">
        <v>453</v>
      </c>
      <c r="R39" s="94" t="s">
        <v>12</v>
      </c>
      <c r="S39" s="94" t="s">
        <v>34</v>
      </c>
      <c r="T39" s="94" t="s">
        <v>1</v>
      </c>
      <c r="U39" s="94" t="s">
        <v>2</v>
      </c>
      <c r="V39" s="94" t="s">
        <v>20</v>
      </c>
      <c r="W39" s="94" t="s">
        <v>21</v>
      </c>
      <c r="X39" s="94" t="s">
        <v>22</v>
      </c>
      <c r="Y39" s="94" t="s">
        <v>23</v>
      </c>
      <c r="Z39" s="94" t="s">
        <v>24</v>
      </c>
    </row>
    <row r="40" spans="2:27" ht="22.5" customHeight="1" thickBot="1">
      <c r="B40" s="107" t="s">
        <v>457</v>
      </c>
      <c r="C40" s="107" t="s">
        <v>26</v>
      </c>
      <c r="D40" s="107" t="s">
        <v>36</v>
      </c>
      <c r="E40" s="108" t="s">
        <v>37</v>
      </c>
      <c r="F40" s="107" t="s">
        <v>272</v>
      </c>
      <c r="G40" s="107" t="s">
        <v>38</v>
      </c>
      <c r="H40" s="107" t="s">
        <v>274</v>
      </c>
      <c r="I40" s="107" t="s">
        <v>275</v>
      </c>
      <c r="J40" s="107" t="s">
        <v>41</v>
      </c>
      <c r="K40" s="107" t="s">
        <v>276</v>
      </c>
      <c r="L40" s="107" t="s">
        <v>39</v>
      </c>
      <c r="N40" s="106" t="s">
        <v>280</v>
      </c>
      <c r="O40" s="106" t="s">
        <v>353</v>
      </c>
      <c r="P40" s="106" t="s">
        <v>353</v>
      </c>
      <c r="R40" s="130" t="s">
        <v>47</v>
      </c>
      <c r="S40" s="130" t="s">
        <v>35</v>
      </c>
      <c r="T40" s="130" t="s">
        <v>25</v>
      </c>
      <c r="U40" s="130" t="s">
        <v>26</v>
      </c>
      <c r="V40" s="130" t="s">
        <v>27</v>
      </c>
      <c r="W40" s="130" t="s">
        <v>28</v>
      </c>
      <c r="X40" s="130" t="s">
        <v>51</v>
      </c>
      <c r="Y40" s="130" t="s">
        <v>50</v>
      </c>
      <c r="Z40" s="130" t="s">
        <v>29</v>
      </c>
      <c r="AA40" s="88"/>
    </row>
    <row r="41" spans="2:27" ht="17.25" customHeight="1">
      <c r="B41" s="110"/>
      <c r="C41" s="111"/>
      <c r="D41" s="111"/>
      <c r="E41" s="129" t="s">
        <v>52</v>
      </c>
      <c r="F41" s="111" t="str">
        <f>General!$D$11</f>
        <v>000s_Units</v>
      </c>
      <c r="G41" s="111" t="str">
        <f>General!$D$12</f>
        <v>MVkms/PJ</v>
      </c>
      <c r="H41" s="111" t="str">
        <f>General!$D$14</f>
        <v>km/year</v>
      </c>
      <c r="I41" s="111" t="str">
        <f>General!$D$17</f>
        <v>tons/vehicle</v>
      </c>
      <c r="J41" s="111" t="str">
        <f>General!$D$19</f>
        <v>k$/Unit</v>
      </c>
      <c r="K41" s="111" t="str">
        <f>General!$D$22</f>
        <v>Years</v>
      </c>
      <c r="L41" s="111" t="str">
        <f>General!$D$23</f>
        <v>(milion_vkm)/(thousand_vkm)</v>
      </c>
      <c r="M41" s="114"/>
      <c r="N41" s="111" t="str">
        <f>General!$D$27</f>
        <v>Mtnkm</v>
      </c>
      <c r="O41" s="111" t="str">
        <f>General!$B$2</f>
        <v>PJ</v>
      </c>
      <c r="P41" s="111" t="str">
        <f>General!$B$2</f>
        <v>PJ</v>
      </c>
      <c r="R41" s="10" t="s">
        <v>269</v>
      </c>
      <c r="T41" s="10" t="str">
        <f>Commodities!$O$14&amp;"_"&amp;RIGHT(TRA_BAL!$G$11,3)&amp;"_E00"</f>
        <v>TRANAVP_DSL_E00</v>
      </c>
      <c r="U41" s="10" t="s">
        <v>440</v>
      </c>
      <c r="V41" s="88" t="str">
        <f>General!$D$30</f>
        <v>MVkms</v>
      </c>
      <c r="W41" s="88" t="str">
        <f>General!$D$11</f>
        <v>000s_Units</v>
      </c>
      <c r="Y41" s="88" t="s">
        <v>279</v>
      </c>
    </row>
    <row r="42" spans="2:27">
      <c r="B42" s="141" t="str">
        <f>T41</f>
        <v>TRANAVP_DSL_E00</v>
      </c>
      <c r="C42" s="141" t="str">
        <f>U41</f>
        <v>Existing vessels DSL (E)</v>
      </c>
      <c r="D42" s="141" t="str">
        <f>TRA_BAL!$G$11</f>
        <v>TRAOILDSL</v>
      </c>
      <c r="E42" s="153" t="str">
        <f>$D$33</f>
        <v>TRANAVP</v>
      </c>
      <c r="F42" s="154">
        <v>0.06</v>
      </c>
      <c r="G42" s="155">
        <f>N42/P42/I42</f>
        <v>21.496130696474633</v>
      </c>
      <c r="H42" s="155">
        <v>150000</v>
      </c>
      <c r="I42" s="155">
        <v>400</v>
      </c>
      <c r="J42" s="156">
        <v>1</v>
      </c>
      <c r="K42" s="156">
        <v>40</v>
      </c>
      <c r="L42" s="157">
        <v>1E-3</v>
      </c>
      <c r="M42" s="141"/>
      <c r="N42" s="154">
        <f>F42*H42*I42*L42</f>
        <v>3600</v>
      </c>
      <c r="O42" s="154">
        <f>F42*H42*L42/G42</f>
        <v>0.41868</v>
      </c>
      <c r="P42" s="157">
        <f>TRA_BAL!G9</f>
        <v>0.41868000000000005</v>
      </c>
    </row>
    <row r="46" spans="2:27">
      <c r="R46" s="11"/>
      <c r="S46" s="11"/>
      <c r="T46" s="11"/>
      <c r="U46" s="11"/>
      <c r="V46" s="12"/>
      <c r="W46" s="12"/>
      <c r="X46" s="11"/>
      <c r="Y46" s="12"/>
      <c r="Z46" s="11"/>
    </row>
    <row r="47" spans="2:27">
      <c r="R47" s="11"/>
      <c r="S47" s="11"/>
      <c r="T47" s="11"/>
      <c r="U47" s="11"/>
      <c r="V47" s="12"/>
      <c r="W47" s="12"/>
      <c r="X47" s="11"/>
      <c r="Y47" s="12"/>
      <c r="Z47" s="11"/>
    </row>
    <row r="49" spans="1:26" ht="17.399999999999999">
      <c r="A49" s="118"/>
      <c r="B49" s="118" t="s">
        <v>311</v>
      </c>
      <c r="C49" s="118"/>
      <c r="D49" s="118"/>
      <c r="E49" s="118"/>
      <c r="F49" s="118"/>
      <c r="N49" s="11"/>
      <c r="O49" s="11"/>
    </row>
    <row r="50" spans="1:26">
      <c r="D50" s="109" t="s">
        <v>14</v>
      </c>
      <c r="E50" s="109"/>
    </row>
    <row r="51" spans="1:26" ht="18.75" customHeight="1">
      <c r="B51" s="104" t="s">
        <v>45</v>
      </c>
      <c r="C51" s="104" t="s">
        <v>260</v>
      </c>
      <c r="D51" s="104" t="s">
        <v>0</v>
      </c>
      <c r="E51" s="104" t="s">
        <v>261</v>
      </c>
      <c r="F51" s="106">
        <f>BASE_YEAR</f>
        <v>2017</v>
      </c>
    </row>
    <row r="52" spans="1:26" ht="21.75" customHeight="1" thickBot="1">
      <c r="B52" s="124"/>
      <c r="C52" s="124"/>
      <c r="D52" s="124" t="s">
        <v>458</v>
      </c>
      <c r="E52" s="124" t="s">
        <v>262</v>
      </c>
      <c r="F52" s="125" t="s">
        <v>43</v>
      </c>
    </row>
    <row r="53" spans="1:26">
      <c r="B53" s="11" t="s">
        <v>42</v>
      </c>
      <c r="C53" s="11" t="str">
        <f>Commodities!$P$15</f>
        <v>Domestic Aviation</v>
      </c>
      <c r="D53" s="11" t="str">
        <f>Commodities!$O$15</f>
        <v>TRAAVDOM</v>
      </c>
      <c r="E53" s="12" t="str">
        <f>General!$D$28</f>
        <v>000s_km_flown</v>
      </c>
      <c r="F53" s="142">
        <f>I62</f>
        <v>2200</v>
      </c>
    </row>
    <row r="55" spans="1:26" ht="17.399999999999999">
      <c r="B55" s="118" t="s">
        <v>310</v>
      </c>
      <c r="C55" s="118"/>
      <c r="D55" s="118"/>
      <c r="E55" s="118"/>
      <c r="F55" s="118"/>
      <c r="R55" s="10" t="s">
        <v>267</v>
      </c>
    </row>
    <row r="57" spans="1:26" ht="17.399999999999999">
      <c r="B57" s="118" t="s">
        <v>526</v>
      </c>
      <c r="D57" s="120"/>
      <c r="E57" s="120"/>
      <c r="F57" s="120"/>
      <c r="G57" s="120"/>
      <c r="H57" s="9"/>
      <c r="I57" s="9"/>
      <c r="J57" s="9"/>
      <c r="K57" s="9"/>
      <c r="R57" s="92" t="s">
        <v>40</v>
      </c>
      <c r="S57" s="92"/>
      <c r="T57" s="92" t="s">
        <v>268</v>
      </c>
      <c r="U57" s="92"/>
      <c r="V57" s="92"/>
      <c r="W57" s="92"/>
      <c r="X57" s="92"/>
      <c r="Y57" s="92"/>
    </row>
    <row r="58" spans="1:26">
      <c r="E58" s="102" t="s">
        <v>14</v>
      </c>
      <c r="F58" s="102"/>
      <c r="R58" s="100" t="s">
        <v>19</v>
      </c>
      <c r="S58" s="92"/>
      <c r="T58" s="92"/>
      <c r="U58" s="92"/>
      <c r="V58" s="92"/>
      <c r="W58" s="92"/>
      <c r="X58" s="92"/>
      <c r="Y58" s="92"/>
    </row>
    <row r="59" spans="1:26" ht="20.25" customHeight="1">
      <c r="B59" s="104" t="s">
        <v>1</v>
      </c>
      <c r="C59" s="104" t="s">
        <v>44</v>
      </c>
      <c r="D59" s="104" t="s">
        <v>6</v>
      </c>
      <c r="E59" s="105" t="s">
        <v>7</v>
      </c>
      <c r="F59" s="106" t="s">
        <v>16</v>
      </c>
      <c r="G59" s="106" t="s">
        <v>266</v>
      </c>
      <c r="I59" s="106" t="s">
        <v>551</v>
      </c>
      <c r="J59" s="106" t="s">
        <v>551</v>
      </c>
      <c r="R59" s="94" t="s">
        <v>12</v>
      </c>
      <c r="S59" s="94" t="s">
        <v>34</v>
      </c>
      <c r="T59" s="94" t="s">
        <v>1</v>
      </c>
      <c r="U59" s="94" t="s">
        <v>2</v>
      </c>
      <c r="V59" s="94" t="s">
        <v>20</v>
      </c>
      <c r="W59" s="94" t="s">
        <v>21</v>
      </c>
      <c r="X59" s="94" t="s">
        <v>22</v>
      </c>
      <c r="Y59" s="94" t="s">
        <v>23</v>
      </c>
      <c r="Z59" s="94" t="s">
        <v>24</v>
      </c>
    </row>
    <row r="60" spans="1:26" ht="27" customHeight="1" thickBot="1">
      <c r="B60" s="107" t="s">
        <v>457</v>
      </c>
      <c r="C60" s="107" t="s">
        <v>26</v>
      </c>
      <c r="D60" s="107" t="s">
        <v>36</v>
      </c>
      <c r="E60" s="108" t="s">
        <v>37</v>
      </c>
      <c r="F60" s="107" t="s">
        <v>38</v>
      </c>
      <c r="G60" s="107" t="s">
        <v>276</v>
      </c>
      <c r="I60" s="107" t="s">
        <v>280</v>
      </c>
      <c r="J60" s="107" t="s">
        <v>353</v>
      </c>
      <c r="R60" s="130" t="s">
        <v>47</v>
      </c>
      <c r="S60" s="130" t="s">
        <v>35</v>
      </c>
      <c r="T60" s="130" t="s">
        <v>25</v>
      </c>
      <c r="U60" s="130" t="s">
        <v>26</v>
      </c>
      <c r="V60" s="130" t="s">
        <v>27</v>
      </c>
      <c r="W60" s="130" t="s">
        <v>28</v>
      </c>
      <c r="X60" s="130" t="s">
        <v>51</v>
      </c>
      <c r="Y60" s="130" t="s">
        <v>50</v>
      </c>
      <c r="Z60" s="130" t="s">
        <v>29</v>
      </c>
    </row>
    <row r="61" spans="1:26" ht="18.75" customHeight="1">
      <c r="B61" s="110"/>
      <c r="C61" s="111"/>
      <c r="D61" s="111"/>
      <c r="E61" s="129" t="s">
        <v>52</v>
      </c>
      <c r="F61" s="111" t="str">
        <f>General!$D$13</f>
        <v>000km_flown/PJ</v>
      </c>
      <c r="G61" s="111" t="str">
        <f>General!$D$22</f>
        <v>Years</v>
      </c>
      <c r="I61" s="111" t="str">
        <f>General!$D$28</f>
        <v>000s_km_flown</v>
      </c>
      <c r="J61" s="111" t="str">
        <f>General!$B$2</f>
        <v>PJ</v>
      </c>
      <c r="R61" s="10" t="s">
        <v>269</v>
      </c>
      <c r="T61" s="10" t="str">
        <f>Commodities!$O$15&amp;"_E00"</f>
        <v>TRAAVDOM_E00</v>
      </c>
      <c r="U61" s="10" t="s">
        <v>529</v>
      </c>
      <c r="V61" s="88" t="str">
        <f>General!$D$28</f>
        <v>000s_km_flown</v>
      </c>
      <c r="W61" s="88" t="str">
        <f>General!$D$29</f>
        <v>000spas/year</v>
      </c>
      <c r="Y61" s="88" t="s">
        <v>279</v>
      </c>
    </row>
    <row r="62" spans="1:26" ht="18.75" customHeight="1">
      <c r="B62" s="11" t="str">
        <f>T61</f>
        <v>TRAAVDOM_E00</v>
      </c>
      <c r="C62" s="11" t="str">
        <f>U61</f>
        <v>Airplanes - Domestic (E)</v>
      </c>
      <c r="D62" s="11" t="str">
        <f>TRA_BAL!$F$11</f>
        <v>TRAOILKER</v>
      </c>
      <c r="E62" s="131" t="str">
        <f>$D$53</f>
        <v>TRAAVDOM</v>
      </c>
      <c r="F62" s="158">
        <f>IF(J62=0,"",I62/J62)</f>
        <v>350.30731505366072</v>
      </c>
      <c r="G62" s="12">
        <v>40</v>
      </c>
      <c r="I62" s="159">
        <v>2200</v>
      </c>
      <c r="J62" s="159">
        <f>TRA_BAL!F8</f>
        <v>6.2801999999999998</v>
      </c>
    </row>
  </sheetData>
  <mergeCells count="2">
    <mergeCell ref="O25:O26"/>
    <mergeCell ref="O17:O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Z136"/>
  <sheetViews>
    <sheetView zoomScale="60" zoomScaleNormal="60" workbookViewId="0">
      <selection sqref="A1:XFD1048576"/>
    </sheetView>
  </sheetViews>
  <sheetFormatPr defaultColWidth="9.109375" defaultRowHeight="13.8"/>
  <cols>
    <col min="1" max="1" width="5.44140625" style="10" customWidth="1"/>
    <col min="2" max="2" width="33.33203125" style="10" customWidth="1"/>
    <col min="3" max="3" width="25.6640625" style="10" customWidth="1"/>
    <col min="4" max="4" width="25.44140625" style="10" customWidth="1"/>
    <col min="5" max="5" width="25" style="10" bestFit="1" customWidth="1"/>
    <col min="6" max="6" width="28.5546875" style="10" customWidth="1"/>
    <col min="7" max="7" width="17.6640625" style="10" customWidth="1"/>
    <col min="8" max="10" width="20.5546875" style="10" customWidth="1"/>
    <col min="11" max="11" width="17.6640625" style="10" customWidth="1"/>
    <col min="12" max="12" width="19.5546875" style="10" customWidth="1"/>
    <col min="13" max="13" width="11.33203125" style="10" customWidth="1"/>
    <col min="14" max="14" width="24.88671875" style="10" bestFit="1" customWidth="1"/>
    <col min="15" max="15" width="18.44140625" style="10" bestFit="1" customWidth="1"/>
    <col min="16" max="16" width="24.5546875" style="10" bestFit="1" customWidth="1"/>
    <col min="17" max="17" width="17.88671875" style="10" bestFit="1" customWidth="1"/>
    <col min="18" max="18" width="17.33203125" style="10" customWidth="1"/>
    <col min="19" max="19" width="29.6640625" style="10" bestFit="1" customWidth="1"/>
    <col min="20" max="20" width="30.5546875" style="10" customWidth="1"/>
    <col min="21" max="21" width="40.88671875" style="10" customWidth="1"/>
    <col min="22" max="22" width="41.6640625" style="10" customWidth="1"/>
    <col min="23" max="23" width="12.44140625" style="10" bestFit="1" customWidth="1"/>
    <col min="24" max="24" width="15.44140625" style="10" customWidth="1"/>
    <col min="25" max="25" width="24.5546875" style="10" bestFit="1" customWidth="1"/>
    <col min="26" max="26" width="26.44140625" style="10" bestFit="1" customWidth="1"/>
    <col min="27" max="27" width="17.44140625" style="10" bestFit="1" customWidth="1"/>
    <col min="28" max="16384" width="9.109375" style="10"/>
  </cols>
  <sheetData>
    <row r="1" spans="1:26" ht="17.399999999999999">
      <c r="A1" s="118"/>
      <c r="B1" s="118" t="s">
        <v>299</v>
      </c>
      <c r="C1" s="118"/>
      <c r="D1" s="118"/>
      <c r="E1" s="118"/>
      <c r="F1" s="118"/>
      <c r="G1" s="118"/>
      <c r="Q1" s="11"/>
    </row>
    <row r="2" spans="1:26">
      <c r="D2" s="109" t="s">
        <v>14</v>
      </c>
      <c r="E2" s="109"/>
      <c r="M2" s="11"/>
    </row>
    <row r="3" spans="1:26">
      <c r="B3" s="104" t="s">
        <v>45</v>
      </c>
      <c r="C3" s="104" t="s">
        <v>260</v>
      </c>
      <c r="D3" s="104" t="s">
        <v>0</v>
      </c>
      <c r="E3" s="104" t="s">
        <v>261</v>
      </c>
      <c r="F3" s="106">
        <f>BASE_YEAR</f>
        <v>2017</v>
      </c>
      <c r="M3" s="11"/>
    </row>
    <row r="4" spans="1:26" ht="14.4" thickBot="1">
      <c r="B4" s="124" t="s">
        <v>502</v>
      </c>
      <c r="C4" s="124"/>
      <c r="D4" s="124" t="s">
        <v>503</v>
      </c>
      <c r="E4" s="124" t="s">
        <v>262</v>
      </c>
      <c r="F4" s="125" t="s">
        <v>43</v>
      </c>
      <c r="M4" s="11"/>
    </row>
    <row r="5" spans="1:26">
      <c r="B5" s="110" t="s">
        <v>502</v>
      </c>
      <c r="C5" s="110"/>
      <c r="D5" s="110"/>
      <c r="E5" s="110" t="s">
        <v>271</v>
      </c>
      <c r="F5" s="126" t="str">
        <f>General!$D$26</f>
        <v>Mpgkm</v>
      </c>
      <c r="M5" s="11"/>
    </row>
    <row r="6" spans="1:26" ht="13.5" customHeight="1">
      <c r="B6" s="127" t="s">
        <v>42</v>
      </c>
      <c r="C6" s="127" t="str">
        <f>Commodities!P9</f>
        <v>Road Busses</v>
      </c>
      <c r="D6" s="127" t="str">
        <f>Commodities!O9</f>
        <v>TRARPBU</v>
      </c>
      <c r="E6" s="12" t="str">
        <f>General!$D$26</f>
        <v>Mpgkm</v>
      </c>
      <c r="F6" s="128">
        <f>SUM(N14:N18)</f>
        <v>14625</v>
      </c>
      <c r="M6" s="11"/>
    </row>
    <row r="7" spans="1:26">
      <c r="M7" s="11"/>
    </row>
    <row r="8" spans="1:26" ht="17.399999999999999">
      <c r="B8" s="118" t="s">
        <v>432</v>
      </c>
      <c r="C8" s="118"/>
      <c r="D8" s="118"/>
      <c r="E8" s="118"/>
      <c r="F8" s="118"/>
      <c r="M8" s="11"/>
      <c r="R8" s="10" t="s">
        <v>267</v>
      </c>
    </row>
    <row r="9" spans="1:26">
      <c r="L9" s="11"/>
    </row>
    <row r="10" spans="1:26">
      <c r="E10" s="102" t="s">
        <v>14</v>
      </c>
      <c r="G10" s="9"/>
      <c r="Q10" s="92" t="s">
        <v>40</v>
      </c>
      <c r="R10" s="92"/>
      <c r="S10" s="92" t="s">
        <v>268</v>
      </c>
      <c r="T10" s="92"/>
      <c r="U10" s="92"/>
      <c r="V10" s="92"/>
      <c r="W10" s="92"/>
      <c r="X10" s="92"/>
      <c r="Y10" s="92"/>
    </row>
    <row r="11" spans="1:26">
      <c r="B11" s="104" t="s">
        <v>1</v>
      </c>
      <c r="C11" s="104" t="s">
        <v>44</v>
      </c>
      <c r="D11" s="104" t="s">
        <v>6</v>
      </c>
      <c r="E11" s="105" t="s">
        <v>7</v>
      </c>
      <c r="F11" s="106" t="s">
        <v>265</v>
      </c>
      <c r="G11" s="106" t="s">
        <v>16</v>
      </c>
      <c r="H11" s="106" t="s">
        <v>17</v>
      </c>
      <c r="I11" s="106" t="s">
        <v>273</v>
      </c>
      <c r="J11" s="106" t="s">
        <v>3</v>
      </c>
      <c r="K11" s="106" t="s">
        <v>266</v>
      </c>
      <c r="L11" s="106" t="s">
        <v>329</v>
      </c>
      <c r="N11" s="106"/>
      <c r="O11" s="106" t="s">
        <v>551</v>
      </c>
      <c r="Q11" s="100" t="s">
        <v>19</v>
      </c>
      <c r="R11" s="100"/>
      <c r="S11" s="92"/>
      <c r="T11" s="92"/>
      <c r="U11" s="92"/>
      <c r="V11" s="92"/>
      <c r="W11" s="92"/>
      <c r="X11" s="92"/>
      <c r="Y11" s="92"/>
    </row>
    <row r="12" spans="1:26" ht="15" customHeight="1" thickBot="1">
      <c r="B12" s="107" t="s">
        <v>457</v>
      </c>
      <c r="C12" s="107" t="s">
        <v>26</v>
      </c>
      <c r="D12" s="107" t="s">
        <v>36</v>
      </c>
      <c r="E12" s="108" t="s">
        <v>37</v>
      </c>
      <c r="F12" s="107" t="s">
        <v>272</v>
      </c>
      <c r="G12" s="107" t="s">
        <v>38</v>
      </c>
      <c r="H12" s="107" t="s">
        <v>274</v>
      </c>
      <c r="I12" s="107" t="s">
        <v>275</v>
      </c>
      <c r="J12" s="107" t="s">
        <v>41</v>
      </c>
      <c r="K12" s="107" t="s">
        <v>276</v>
      </c>
      <c r="L12" s="107" t="s">
        <v>39</v>
      </c>
      <c r="N12" s="106" t="s">
        <v>280</v>
      </c>
      <c r="O12" s="106" t="s">
        <v>353</v>
      </c>
      <c r="Q12" s="94" t="s">
        <v>12</v>
      </c>
      <c r="R12" s="94" t="s">
        <v>34</v>
      </c>
      <c r="S12" s="94" t="s">
        <v>1</v>
      </c>
      <c r="T12" s="94" t="s">
        <v>2</v>
      </c>
      <c r="U12" s="94" t="s">
        <v>20</v>
      </c>
      <c r="V12" s="94" t="s">
        <v>21</v>
      </c>
      <c r="W12" s="94" t="s">
        <v>22</v>
      </c>
      <c r="X12" s="94" t="s">
        <v>23</v>
      </c>
      <c r="Y12" s="94" t="s">
        <v>24</v>
      </c>
    </row>
    <row r="13" spans="1:26" ht="22.5" customHeight="1" thickBot="1">
      <c r="B13" s="110"/>
      <c r="C13" s="111"/>
      <c r="D13" s="111"/>
      <c r="E13" s="129" t="s">
        <v>52</v>
      </c>
      <c r="F13" s="111" t="str">
        <f>General!$D$11</f>
        <v>000s_Units</v>
      </c>
      <c r="G13" s="111" t="str">
        <f>General!$D$12</f>
        <v>MVkms/PJ</v>
      </c>
      <c r="H13" s="111" t="str">
        <f>General!$D$14</f>
        <v>km/year</v>
      </c>
      <c r="I13" s="111" t="str">
        <f>General!$D$15</f>
        <v>passenger/vehicle</v>
      </c>
      <c r="J13" s="111" t="str">
        <f>General!$D$19</f>
        <v>k$/Unit</v>
      </c>
      <c r="K13" s="111" t="str">
        <f>General!$D$22</f>
        <v>Years</v>
      </c>
      <c r="L13" s="111" t="str">
        <f>General!$D$23</f>
        <v>(milion_vkm)/(thousand_vkm)</v>
      </c>
      <c r="M13" s="114"/>
      <c r="N13" s="111" t="str">
        <f>General!$D$26</f>
        <v>Mpgkm</v>
      </c>
      <c r="O13" s="111" t="str">
        <f>General!$B$2</f>
        <v>PJ</v>
      </c>
      <c r="Q13" s="130" t="s">
        <v>47</v>
      </c>
      <c r="R13" s="130" t="s">
        <v>35</v>
      </c>
      <c r="S13" s="130" t="s">
        <v>25</v>
      </c>
      <c r="T13" s="130" t="s">
        <v>26</v>
      </c>
      <c r="U13" s="130" t="s">
        <v>27</v>
      </c>
      <c r="V13" s="130" t="s">
        <v>28</v>
      </c>
      <c r="W13" s="130" t="s">
        <v>51</v>
      </c>
      <c r="X13" s="130" t="s">
        <v>50</v>
      </c>
      <c r="Y13" s="130" t="s">
        <v>29</v>
      </c>
      <c r="Z13" s="88"/>
    </row>
    <row r="14" spans="1:26" ht="17.25" customHeight="1">
      <c r="B14" s="127" t="str">
        <f t="shared" ref="B14:C17" si="0">S14</f>
        <v>TRARPBU_DSL_E00</v>
      </c>
      <c r="C14" s="127" t="str">
        <f t="shared" si="0"/>
        <v>Bus Diesel (E)</v>
      </c>
      <c r="D14" s="127" t="str">
        <f>TRA_BAL!$G$11</f>
        <v>TRAOILDSL</v>
      </c>
      <c r="E14" s="131" t="str">
        <f>$D$6</f>
        <v>TRARPBU</v>
      </c>
      <c r="F14" s="132">
        <f>VLOOKUP(MID($C14,5,6),TRA_BAL!$F$20:$K$25,4,FALSE)</f>
        <v>15</v>
      </c>
      <c r="G14" s="132">
        <f>VLOOKUP(MID($C14,5,6),TRA_BAL!$F$38:$K$43,4,FALSE)</f>
        <v>141.22948730036006</v>
      </c>
      <c r="H14" s="132">
        <f>VLOOKUP(MID($C14,5,6),TRA_BAL!$N$20:$S$25,4,FALSE)</f>
        <v>25000</v>
      </c>
      <c r="I14" s="132">
        <f>VLOOKUP(MID($C14,5,6),TRA_BAL!$V$20:$AA$25,4,FALSE)</f>
        <v>15</v>
      </c>
      <c r="J14" s="133">
        <v>0.2</v>
      </c>
      <c r="K14" s="133">
        <v>25</v>
      </c>
      <c r="L14" s="134">
        <v>1E-3</v>
      </c>
      <c r="N14" s="135">
        <f>F14*H14*I14*L14</f>
        <v>5625</v>
      </c>
      <c r="O14" s="117">
        <f>IF(G14=0,"-",F14*H14*L14/G14)</f>
        <v>2.6552528595</v>
      </c>
      <c r="Q14" s="10" t="s">
        <v>269</v>
      </c>
      <c r="R14" s="11"/>
      <c r="S14" s="10" t="str">
        <f>Commodities!$O$9&amp;"_"&amp;RIGHT(TRA_BAL!$G$11,3)&amp;"_E00"</f>
        <v>TRARPBU_DSL_E00</v>
      </c>
      <c r="T14" s="10" t="s">
        <v>447</v>
      </c>
      <c r="U14" s="88" t="str">
        <f>General!$D$30</f>
        <v>MVkms</v>
      </c>
      <c r="V14" s="88" t="str">
        <f>General!$D$11</f>
        <v>000s_Units</v>
      </c>
      <c r="X14" s="88" t="s">
        <v>279</v>
      </c>
      <c r="Y14" s="11"/>
    </row>
    <row r="15" spans="1:26">
      <c r="B15" s="11" t="str">
        <f t="shared" si="0"/>
        <v>TRARPBU_LPG_E00</v>
      </c>
      <c r="C15" s="11" t="str">
        <f t="shared" si="0"/>
        <v>Bus LPG (E)</v>
      </c>
      <c r="D15" s="11" t="str">
        <f>TRA_BAL!$C$11</f>
        <v>TRAOILLPG</v>
      </c>
      <c r="E15" s="113" t="str">
        <f>$D$6</f>
        <v>TRARPBU</v>
      </c>
      <c r="F15" s="132">
        <f>VLOOKUP(MID($C15,5,3),TRA_BAL!$F$20:$K$25,4,FALSE)</f>
        <v>0</v>
      </c>
      <c r="G15" s="132">
        <f>VLOOKUP(MID($C15,5,3),TRA_BAL!$F$38:$K$43,4,FALSE)</f>
        <v>169.46203669915445</v>
      </c>
      <c r="H15" s="132">
        <f>VLOOKUP(MID($C15,5,3),TRA_BAL!$N$20:$S$25,4,FALSE)</f>
        <v>25000</v>
      </c>
      <c r="I15" s="132">
        <f>VLOOKUP(MID($C15,5,3),TRA_BAL!$V$20:$AA$25,4,FALSE)</f>
        <v>15</v>
      </c>
      <c r="J15" s="12">
        <v>0.2</v>
      </c>
      <c r="K15" s="12">
        <v>25</v>
      </c>
      <c r="L15" s="136">
        <v>1E-3</v>
      </c>
      <c r="N15" s="135">
        <f>F15*H15*I15*L15</f>
        <v>0</v>
      </c>
      <c r="O15" s="135">
        <f t="shared" ref="O15:O18" si="1">IF(G15=0,"-",F15*H15*L15/G15)</f>
        <v>0</v>
      </c>
      <c r="R15" s="11"/>
      <c r="S15" s="10" t="str">
        <f>Commodities!$O$9&amp;"_"&amp;RIGHT(TRA_BAL!$C$11,3)&amp;"_E00"</f>
        <v>TRARPBU_LPG_E00</v>
      </c>
      <c r="T15" s="10" t="s">
        <v>448</v>
      </c>
      <c r="U15" s="88" t="str">
        <f>General!$D$30</f>
        <v>MVkms</v>
      </c>
      <c r="V15" s="88" t="str">
        <f>General!$D$11</f>
        <v>000s_Units</v>
      </c>
      <c r="X15" s="88" t="s">
        <v>279</v>
      </c>
      <c r="Y15" s="11"/>
    </row>
    <row r="16" spans="1:26">
      <c r="B16" s="11" t="str">
        <f t="shared" si="0"/>
        <v>TRARPBU_GAS_E00</v>
      </c>
      <c r="C16" s="11" t="str">
        <f t="shared" si="0"/>
        <v>Bus Gas (E)</v>
      </c>
      <c r="D16" s="11" t="str">
        <f>TRA_BAL!$J$11</f>
        <v>TRAGASNAT</v>
      </c>
      <c r="E16" s="113" t="str">
        <f>$D$6</f>
        <v>TRARPBU</v>
      </c>
      <c r="F16" s="132">
        <f>VLOOKUP(MID($C16,5,3),TRA_BAL!$F$20:$K$25,4,FALSE)</f>
        <v>0</v>
      </c>
      <c r="G16" s="132">
        <f>VLOOKUP(MID($C16,5,3),TRA_BAL!$F$38:$K$43,4,FALSE)</f>
        <v>235.29411764705884</v>
      </c>
      <c r="H16" s="132">
        <f>VLOOKUP(MID($C16,5,3),TRA_BAL!$N$20:$S$25,4,FALSE)</f>
        <v>20000</v>
      </c>
      <c r="I16" s="132">
        <f>VLOOKUP(MID($C16,5,3),TRA_BAL!$V$20:$AA$25,4,FALSE)</f>
        <v>15</v>
      </c>
      <c r="J16" s="12">
        <v>0.2</v>
      </c>
      <c r="K16" s="12">
        <v>25</v>
      </c>
      <c r="L16" s="136">
        <v>1E-3</v>
      </c>
      <c r="N16" s="135">
        <f>F16*H16*I16*L16</f>
        <v>0</v>
      </c>
      <c r="O16" s="135">
        <f t="shared" si="1"/>
        <v>0</v>
      </c>
      <c r="R16" s="11"/>
      <c r="S16" s="10" t="str">
        <f>Commodities!$O$9&amp;"_"&amp;LEFT(RIGHT(TRA_BAL!$J$11,6),3)&amp;"_E00"</f>
        <v>TRARPBU_GAS_E00</v>
      </c>
      <c r="T16" s="10" t="s">
        <v>449</v>
      </c>
      <c r="U16" s="88" t="str">
        <f>General!$D$30</f>
        <v>MVkms</v>
      </c>
      <c r="V16" s="88" t="str">
        <f>General!$D$11</f>
        <v>000s_Units</v>
      </c>
      <c r="X16" s="88" t="s">
        <v>279</v>
      </c>
      <c r="Y16" s="11"/>
    </row>
    <row r="17" spans="2:25">
      <c r="B17" s="11" t="str">
        <f t="shared" si="0"/>
        <v>TRARPBU_GSL_E00</v>
      </c>
      <c r="C17" s="11" t="str">
        <f t="shared" si="0"/>
        <v>Bus Gasoline (E)</v>
      </c>
      <c r="D17" s="11" t="str">
        <f>TRA_BAL!$D$11</f>
        <v>TRAOILGSL</v>
      </c>
      <c r="E17" s="113" t="str">
        <f>$D$6</f>
        <v>TRARPBU</v>
      </c>
      <c r="F17" s="132">
        <f>VLOOKUP(MID($C17,5,8),TRA_BAL!$F$20:$K$25,4,FALSE)</f>
        <v>40</v>
      </c>
      <c r="G17" s="132">
        <f>VLOOKUP(MID($C17,5,8),TRA_BAL!$F$38:$K$43,4,FALSE)</f>
        <v>124.42612270782976</v>
      </c>
      <c r="H17" s="132">
        <f>VLOOKUP(MID($C17,5,8),TRA_BAL!$N$20:$S$25,4,FALSE)</f>
        <v>15000</v>
      </c>
      <c r="I17" s="132">
        <f>VLOOKUP(MID($C17,5,8),TRA_BAL!$V$20:$AA$25,4,FALSE)</f>
        <v>15</v>
      </c>
      <c r="J17" s="12">
        <v>0.2</v>
      </c>
      <c r="K17" s="12">
        <v>25</v>
      </c>
      <c r="L17" s="136">
        <v>1E-3</v>
      </c>
      <c r="N17" s="135">
        <f>F17*H17*I17*L17</f>
        <v>9000</v>
      </c>
      <c r="O17" s="135">
        <f t="shared" si="1"/>
        <v>4.8221385264000016</v>
      </c>
      <c r="R17" s="11"/>
      <c r="S17" s="10" t="str">
        <f>Commodities!$O$9&amp;"_"&amp;RIGHT(TRA_BAL!$D$11,3)&amp;"_E00"</f>
        <v>TRARPBU_GSL_E00</v>
      </c>
      <c r="T17" s="114" t="s">
        <v>450</v>
      </c>
      <c r="U17" s="116" t="str">
        <f>General!$D$30</f>
        <v>MVkms</v>
      </c>
      <c r="V17" s="116" t="str">
        <f>General!$D$11</f>
        <v>000s_Units</v>
      </c>
      <c r="W17" s="114"/>
      <c r="X17" s="116" t="s">
        <v>279</v>
      </c>
      <c r="Y17" s="114"/>
    </row>
    <row r="18" spans="2:25">
      <c r="B18" s="114" t="str">
        <f>S18</f>
        <v>TRARPTR_ELC_E01</v>
      </c>
      <c r="C18" s="114" t="str">
        <f>T18</f>
        <v>Trolley Electricity(E)</v>
      </c>
      <c r="D18" s="114" t="str">
        <f>TRA_BAL!$K$11</f>
        <v>TRAELC</v>
      </c>
      <c r="E18" s="115" t="str">
        <f>$D$6</f>
        <v>TRARPBU</v>
      </c>
      <c r="F18" s="137">
        <f>VLOOKUP(MID($C18,9,11),TRA_BAL!$F$20:$K$25,4,FALSE)</f>
        <v>0</v>
      </c>
      <c r="G18" s="138">
        <f>VLOOKUP(MID($C18,9,11),TRA_BAL!$F$38:$K$43,4,FALSE)</f>
        <v>738.68882733148666</v>
      </c>
      <c r="H18" s="138">
        <f>VLOOKUP(MID($C18,9,11),TRA_BAL!$N$20:$S$25,4,FALSE)</f>
        <v>10000</v>
      </c>
      <c r="I18" s="138">
        <f>VLOOKUP(MID($C18,9,11),TRA_BAL!$V$20:$AA$25,4,FALSE)</f>
        <v>15</v>
      </c>
      <c r="J18" s="116">
        <v>0.2</v>
      </c>
      <c r="K18" s="116">
        <v>20</v>
      </c>
      <c r="L18" s="139">
        <v>1E-3</v>
      </c>
      <c r="N18" s="140">
        <f t="shared" ref="N18" si="2">F18*H18*I18*L18</f>
        <v>0</v>
      </c>
      <c r="O18" s="140">
        <f t="shared" si="1"/>
        <v>0</v>
      </c>
      <c r="Q18" s="141"/>
      <c r="R18" s="141"/>
      <c r="S18" s="141" t="s">
        <v>519</v>
      </c>
      <c r="T18" s="114" t="s">
        <v>459</v>
      </c>
      <c r="U18" s="116" t="s">
        <v>290</v>
      </c>
      <c r="V18" s="116" t="s">
        <v>385</v>
      </c>
      <c r="W18" s="114"/>
      <c r="X18" s="116" t="s">
        <v>279</v>
      </c>
      <c r="Y18" s="114"/>
    </row>
    <row r="19" spans="2:25">
      <c r="Q19" s="11"/>
      <c r="R19" s="11"/>
      <c r="S19" s="11"/>
      <c r="T19" s="11"/>
      <c r="U19" s="11"/>
      <c r="V19" s="11"/>
      <c r="W19" s="11"/>
      <c r="X19" s="11"/>
      <c r="Y19" s="11"/>
    </row>
    <row r="87" s="10" customFormat="1" ht="15.75" customHeight="1"/>
    <row r="88" s="10" customFormat="1" ht="15.75" customHeight="1"/>
    <row r="89" s="10" customFormat="1" ht="15.75" customHeight="1"/>
    <row r="90" s="10" customFormat="1" ht="15.75" customHeight="1"/>
    <row r="91" s="10" customFormat="1" ht="15.75" customHeight="1"/>
    <row r="92" s="10" customFormat="1" ht="15.75" customHeight="1"/>
    <row r="93" s="10" customFormat="1" ht="15.75" customHeight="1"/>
    <row r="94" s="10" customFormat="1" ht="15.75" customHeight="1"/>
    <row r="95" s="10" customFormat="1" ht="15.75" customHeight="1"/>
    <row r="96" s="10" customFormat="1" ht="15.75" customHeight="1"/>
    <row r="97" s="10" customFormat="1" ht="15.75" customHeight="1"/>
    <row r="98" s="10" customFormat="1" ht="15.75" customHeight="1"/>
    <row r="99" s="10" customFormat="1" ht="15.75" customHeight="1"/>
    <row r="100" s="10" customFormat="1" ht="15.75" customHeight="1"/>
    <row r="101" s="10" customFormat="1" ht="15.75" customHeight="1"/>
    <row r="102" s="10" customFormat="1" ht="15.75" customHeight="1"/>
    <row r="103" s="10" customFormat="1" ht="15.75" customHeight="1"/>
    <row r="104" s="10" customFormat="1" ht="15.75" customHeight="1"/>
    <row r="105" s="10" customFormat="1" ht="15.75" customHeight="1"/>
    <row r="106" s="10" customFormat="1" ht="15.75" customHeight="1"/>
    <row r="107" s="10" customFormat="1" ht="15.75" customHeight="1"/>
    <row r="108" s="10" customFormat="1" ht="15.75" customHeight="1"/>
    <row r="109" s="10" customFormat="1" ht="15.75" customHeight="1"/>
    <row r="110" s="10" customFormat="1" ht="15.75" customHeight="1"/>
    <row r="111" s="10" customFormat="1" ht="15.75" customHeight="1"/>
    <row r="112" s="10" customFormat="1" ht="15.75" customHeight="1"/>
    <row r="113" s="10" customFormat="1" ht="15.75" customHeight="1"/>
    <row r="114" s="10" customFormat="1" ht="15.75" customHeight="1"/>
    <row r="115" s="10" customFormat="1" ht="15.75" customHeight="1"/>
    <row r="116" s="10" customFormat="1" ht="15.75" customHeight="1"/>
    <row r="117" s="10" customFormat="1" ht="15.75" customHeight="1"/>
    <row r="118" s="10" customFormat="1" ht="15.75" customHeight="1"/>
    <row r="119" s="10" customFormat="1" ht="15.75" customHeight="1"/>
    <row r="120" s="10" customFormat="1" ht="15.75" customHeight="1"/>
    <row r="121" s="10" customFormat="1" ht="15.75" customHeight="1"/>
    <row r="122" s="10" customFormat="1" ht="15.75" customHeight="1"/>
    <row r="123" s="10" customFormat="1" ht="15.75" customHeight="1"/>
    <row r="124" s="10" customFormat="1" ht="15.75" customHeight="1"/>
    <row r="125" s="10" customFormat="1" ht="15.75" customHeight="1"/>
    <row r="126" s="10" customFormat="1" ht="15.75" customHeight="1"/>
    <row r="134" s="10" customFormat="1" ht="16.5" customHeight="1"/>
    <row r="135" s="10" customFormat="1" ht="21" customHeight="1"/>
    <row r="136" s="10" customFormat="1" ht="13.5" customHeight="1"/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2:AK38"/>
  <sheetViews>
    <sheetView zoomScale="55" zoomScaleNormal="55" workbookViewId="0">
      <selection sqref="A1:XFD1048576"/>
    </sheetView>
  </sheetViews>
  <sheetFormatPr defaultColWidth="9.109375" defaultRowHeight="13.8"/>
  <cols>
    <col min="1" max="1" width="9.109375" style="10" customWidth="1"/>
    <col min="2" max="2" width="26.33203125" style="10" customWidth="1"/>
    <col min="3" max="3" width="47.44140625" style="10" customWidth="1"/>
    <col min="4" max="4" width="43.5546875" style="10" customWidth="1"/>
    <col min="5" max="6" width="15.6640625" style="10" customWidth="1"/>
    <col min="7" max="8" width="28" style="10" bestFit="1" customWidth="1"/>
    <col min="9" max="9" width="30.33203125" style="10" customWidth="1"/>
    <col min="10" max="12" width="33.88671875" style="10" customWidth="1"/>
    <col min="13" max="13" width="6.44140625" style="10" customWidth="1"/>
    <col min="14" max="14" width="108" style="10" bestFit="1" customWidth="1"/>
    <col min="15" max="15" width="4.33203125" style="10" customWidth="1"/>
    <col min="16" max="16" width="22.5546875" style="10" customWidth="1"/>
    <col min="17" max="17" width="14.44140625" style="10" bestFit="1" customWidth="1"/>
    <col min="18" max="18" width="23.109375" style="10" customWidth="1"/>
    <col min="19" max="19" width="43.33203125" style="10" customWidth="1"/>
    <col min="20" max="20" width="47.109375" style="10" customWidth="1"/>
    <col min="21" max="24" width="16.88671875" style="10" customWidth="1"/>
    <col min="25" max="25" width="17.88671875" style="10" bestFit="1" customWidth="1"/>
    <col min="26" max="26" width="7" style="10" customWidth="1"/>
    <col min="27" max="16384" width="9.109375" style="10"/>
  </cols>
  <sheetData>
    <row r="2" spans="1:37" s="119" customFormat="1" ht="17.399999999999999">
      <c r="A2" s="118"/>
      <c r="B2" s="118" t="s">
        <v>379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AB2" s="10"/>
      <c r="AC2" s="10"/>
      <c r="AD2" s="10"/>
      <c r="AE2" s="88"/>
      <c r="AF2" s="88"/>
      <c r="AG2" s="88"/>
      <c r="AH2" s="88"/>
      <c r="AI2" s="88"/>
      <c r="AJ2" s="10"/>
      <c r="AK2" s="10"/>
    </row>
    <row r="3" spans="1:37">
      <c r="P3" s="10" t="s">
        <v>267</v>
      </c>
    </row>
    <row r="4" spans="1:37">
      <c r="J4" s="109"/>
      <c r="K4" s="109"/>
      <c r="L4" s="109"/>
      <c r="M4" s="109"/>
    </row>
    <row r="5" spans="1:37">
      <c r="B5" s="7"/>
      <c r="D5" s="120"/>
      <c r="E5" s="120"/>
      <c r="F5" s="120"/>
      <c r="I5" s="8"/>
      <c r="J5" s="121"/>
      <c r="K5" s="121"/>
      <c r="L5" s="121"/>
      <c r="P5" s="92" t="s">
        <v>40</v>
      </c>
      <c r="Q5" s="92"/>
      <c r="R5" s="92"/>
      <c r="S5" s="92"/>
      <c r="T5" s="92"/>
      <c r="U5" s="92"/>
      <c r="V5" s="92"/>
      <c r="W5" s="92"/>
      <c r="X5" s="92"/>
    </row>
    <row r="6" spans="1:37">
      <c r="E6" s="102" t="s">
        <v>14</v>
      </c>
      <c r="F6" s="102"/>
      <c r="J6" s="121"/>
      <c r="K6" s="121"/>
      <c r="L6" s="121"/>
      <c r="P6" s="100" t="s">
        <v>19</v>
      </c>
      <c r="Q6" s="100"/>
      <c r="R6" s="92"/>
      <c r="S6" s="92"/>
      <c r="T6" s="92"/>
      <c r="U6" s="92"/>
      <c r="V6" s="92"/>
      <c r="W6" s="92"/>
      <c r="X6" s="92"/>
    </row>
    <row r="7" spans="1:37" ht="20.25" customHeight="1">
      <c r="B7" s="104" t="s">
        <v>1</v>
      </c>
      <c r="C7" s="104" t="s">
        <v>44</v>
      </c>
      <c r="D7" s="104" t="s">
        <v>6</v>
      </c>
      <c r="E7" s="105" t="s">
        <v>7</v>
      </c>
      <c r="F7" s="106" t="s">
        <v>16</v>
      </c>
      <c r="G7" s="106" t="str">
        <f>"FLO_SHAR~UP~"&amp;BASE_YEAR</f>
        <v>FLO_SHAR~UP~2017</v>
      </c>
      <c r="H7" s="106" t="s">
        <v>392</v>
      </c>
      <c r="I7" s="106" t="s">
        <v>331</v>
      </c>
      <c r="J7" s="106" t="str">
        <f>"FLO_SHAR~UP~"&amp;END_YEAR</f>
        <v>FLO_SHAR~UP~2050</v>
      </c>
      <c r="K7" s="106" t="s">
        <v>314</v>
      </c>
      <c r="L7" s="106" t="s">
        <v>544</v>
      </c>
      <c r="P7" s="94" t="s">
        <v>12</v>
      </c>
      <c r="Q7" s="94" t="s">
        <v>34</v>
      </c>
      <c r="R7" s="94" t="s">
        <v>1</v>
      </c>
      <c r="S7" s="94" t="s">
        <v>2</v>
      </c>
      <c r="T7" s="94" t="s">
        <v>20</v>
      </c>
      <c r="U7" s="94" t="s">
        <v>21</v>
      </c>
      <c r="V7" s="94" t="s">
        <v>22</v>
      </c>
      <c r="W7" s="94" t="s">
        <v>23</v>
      </c>
      <c r="X7" s="94" t="s">
        <v>24</v>
      </c>
    </row>
    <row r="8" spans="1:37" ht="26.25" customHeight="1" thickBot="1">
      <c r="B8" s="107" t="s">
        <v>457</v>
      </c>
      <c r="C8" s="107" t="s">
        <v>26</v>
      </c>
      <c r="D8" s="107" t="s">
        <v>36</v>
      </c>
      <c r="E8" s="108" t="s">
        <v>37</v>
      </c>
      <c r="F8" s="107" t="s">
        <v>38</v>
      </c>
      <c r="G8" s="107" t="s">
        <v>312</v>
      </c>
      <c r="H8" s="107" t="s">
        <v>312</v>
      </c>
      <c r="I8" s="107" t="s">
        <v>312</v>
      </c>
      <c r="J8" s="107" t="s">
        <v>312</v>
      </c>
      <c r="K8" s="107" t="s">
        <v>316</v>
      </c>
      <c r="L8" s="107" t="s">
        <v>545</v>
      </c>
      <c r="N8" s="109" t="s">
        <v>333</v>
      </c>
      <c r="P8" s="97" t="s">
        <v>47</v>
      </c>
      <c r="Q8" s="97" t="s">
        <v>35</v>
      </c>
      <c r="R8" s="97" t="s">
        <v>25</v>
      </c>
      <c r="S8" s="97" t="s">
        <v>26</v>
      </c>
      <c r="T8" s="97" t="s">
        <v>27</v>
      </c>
      <c r="U8" s="97" t="s">
        <v>28</v>
      </c>
      <c r="V8" s="97" t="s">
        <v>51</v>
      </c>
      <c r="W8" s="97" t="s">
        <v>50</v>
      </c>
      <c r="X8" s="97" t="s">
        <v>29</v>
      </c>
    </row>
    <row r="9" spans="1:37">
      <c r="B9" s="110"/>
      <c r="C9" s="111"/>
      <c r="D9" s="111"/>
      <c r="E9" s="112" t="s">
        <v>317</v>
      </c>
      <c r="F9" s="111" t="s">
        <v>332</v>
      </c>
      <c r="G9" s="111" t="s">
        <v>330</v>
      </c>
      <c r="H9" s="111" t="s">
        <v>330</v>
      </c>
      <c r="I9" s="111" t="s">
        <v>330</v>
      </c>
      <c r="J9" s="111" t="s">
        <v>330</v>
      </c>
      <c r="K9" s="111" t="str">
        <f>General!$D$21</f>
        <v>$/GJ</v>
      </c>
      <c r="L9" s="111" t="s">
        <v>351</v>
      </c>
      <c r="P9" s="10" t="s">
        <v>318</v>
      </c>
      <c r="R9" s="10" t="str">
        <f>"FT-"&amp;Commodities!D21&amp;"00"</f>
        <v>FT-TRAOILDSL00</v>
      </c>
      <c r="S9" s="10" t="s">
        <v>422</v>
      </c>
      <c r="T9" s="88" t="str">
        <f>General!$B$2</f>
        <v>PJ</v>
      </c>
      <c r="U9" s="88" t="str">
        <f>General!$B$2&amp;"a"</f>
        <v>PJa</v>
      </c>
      <c r="V9" s="88"/>
    </row>
    <row r="10" spans="1:37" ht="14.4">
      <c r="B10" s="10" t="str">
        <f>R9</f>
        <v>FT-TRAOILDSL00</v>
      </c>
      <c r="C10" s="10" t="str">
        <f>S9</f>
        <v>Fuel Tech -Diesel (TRA)</v>
      </c>
      <c r="D10" s="10" t="str">
        <f>Commodities!D7</f>
        <v>OILDSL</v>
      </c>
      <c r="E10" s="113"/>
      <c r="F10" s="88">
        <v>1</v>
      </c>
      <c r="G10" s="88">
        <v>1</v>
      </c>
      <c r="H10" s="88">
        <v>1</v>
      </c>
      <c r="I10" s="88"/>
      <c r="J10" s="88"/>
      <c r="K10" s="88"/>
      <c r="L10" s="88"/>
      <c r="N10" s="122" t="s">
        <v>396</v>
      </c>
      <c r="R10" s="10" t="str">
        <f>"FT-"&amp;Commodities!D22&amp;"00"</f>
        <v>FT-TRAOILGSL00</v>
      </c>
      <c r="S10" s="10" t="s">
        <v>423</v>
      </c>
      <c r="T10" s="88" t="str">
        <f>General!$B$2</f>
        <v>PJ</v>
      </c>
      <c r="U10" s="88" t="str">
        <f>General!$B$2&amp;"a"</f>
        <v>PJa</v>
      </c>
      <c r="V10" s="88"/>
    </row>
    <row r="11" spans="1:37" ht="14.4">
      <c r="D11" s="10" t="str">
        <f>Commodities!D16</f>
        <v>BIODSL</v>
      </c>
      <c r="E11" s="113"/>
      <c r="F11" s="88"/>
      <c r="G11" s="88">
        <v>0</v>
      </c>
      <c r="H11" s="88">
        <v>0</v>
      </c>
      <c r="I11" s="88">
        <f>N11</f>
        <v>0.05</v>
      </c>
      <c r="J11" s="88">
        <f>I11</f>
        <v>0.05</v>
      </c>
      <c r="K11" s="88"/>
      <c r="L11" s="88"/>
      <c r="N11" s="123">
        <v>0.05</v>
      </c>
      <c r="R11" s="10" t="str">
        <f>"FT-"&amp;Commodities!D23&amp;"00"</f>
        <v>FT-TRAOILGSA00</v>
      </c>
      <c r="S11" s="10" t="s">
        <v>424</v>
      </c>
      <c r="T11" s="88" t="str">
        <f>General!$B$2</f>
        <v>PJ</v>
      </c>
      <c r="U11" s="88" t="str">
        <f>General!$B$2&amp;"a"</f>
        <v>PJa</v>
      </c>
      <c r="V11" s="88"/>
    </row>
    <row r="12" spans="1:37">
      <c r="B12" s="114"/>
      <c r="C12" s="114"/>
      <c r="D12" s="114"/>
      <c r="E12" s="115" t="str">
        <f>Commodities!D21</f>
        <v>TRAOILDSL</v>
      </c>
      <c r="F12" s="116"/>
      <c r="G12" s="116"/>
      <c r="H12" s="116"/>
      <c r="I12" s="114"/>
      <c r="J12" s="114"/>
      <c r="K12" s="114"/>
      <c r="L12" s="114"/>
      <c r="R12" s="10" t="str">
        <f>"FT-"&amp;Commodities!D24&amp;"00"</f>
        <v>FT-TRAOILLPG00</v>
      </c>
      <c r="S12" s="10" t="s">
        <v>425</v>
      </c>
      <c r="T12" s="88" t="str">
        <f>General!$B$2</f>
        <v>PJ</v>
      </c>
      <c r="U12" s="88" t="str">
        <f>General!$B$2&amp;"a"</f>
        <v>PJa</v>
      </c>
      <c r="V12" s="88"/>
    </row>
    <row r="13" spans="1:37" ht="14.4">
      <c r="B13" s="10" t="str">
        <f>R10</f>
        <v>FT-TRAOILGSL00</v>
      </c>
      <c r="C13" s="10" t="str">
        <f>S10</f>
        <v>Fuel Tech -Gasoline (TRA)</v>
      </c>
      <c r="D13" s="10" t="str">
        <f>Commodities!D8</f>
        <v>OILGSL</v>
      </c>
      <c r="E13" s="113"/>
      <c r="F13" s="88">
        <v>1</v>
      </c>
      <c r="G13" s="88">
        <v>1</v>
      </c>
      <c r="H13" s="88">
        <v>1</v>
      </c>
      <c r="I13" s="88"/>
      <c r="J13" s="88"/>
      <c r="K13" s="88"/>
      <c r="L13" s="88"/>
      <c r="N13" s="122" t="s">
        <v>397</v>
      </c>
      <c r="R13" s="10" t="str">
        <f>"FT-"&amp;Commodities!D26&amp;"00"</f>
        <v>FT-TRAOILKER00</v>
      </c>
      <c r="S13" s="10" t="s">
        <v>426</v>
      </c>
      <c r="T13" s="88" t="str">
        <f>General!$B$2</f>
        <v>PJ</v>
      </c>
      <c r="U13" s="88" t="str">
        <f>General!$B$2&amp;"a"</f>
        <v>PJa</v>
      </c>
      <c r="V13" s="88"/>
    </row>
    <row r="14" spans="1:37" ht="14.4">
      <c r="D14" s="10" t="str">
        <f>Commodities!D15</f>
        <v>BIOETH</v>
      </c>
      <c r="E14" s="113"/>
      <c r="F14" s="88"/>
      <c r="G14" s="88">
        <v>0</v>
      </c>
      <c r="H14" s="88">
        <v>0</v>
      </c>
      <c r="I14" s="88">
        <f>N14</f>
        <v>0.05</v>
      </c>
      <c r="J14" s="88">
        <f>I14</f>
        <v>0.05</v>
      </c>
      <c r="K14" s="88"/>
      <c r="L14" s="88"/>
      <c r="N14" s="123">
        <v>0.05</v>
      </c>
      <c r="R14" s="10" t="str">
        <f>"FT-"&amp;Commodities!D25&amp;"00"</f>
        <v>FT-TRAOILHFO00</v>
      </c>
      <c r="S14" s="10" t="s">
        <v>427</v>
      </c>
      <c r="T14" s="88" t="str">
        <f>General!$B$2</f>
        <v>PJ</v>
      </c>
      <c r="U14" s="88" t="str">
        <f>General!$B$2&amp;"a"</f>
        <v>PJa</v>
      </c>
      <c r="V14" s="88"/>
    </row>
    <row r="15" spans="1:37">
      <c r="B15" s="114"/>
      <c r="C15" s="114"/>
      <c r="D15" s="114"/>
      <c r="E15" s="115" t="str">
        <f>Commodities!D22</f>
        <v>TRAOILGSL</v>
      </c>
      <c r="F15" s="116"/>
      <c r="G15" s="116"/>
      <c r="H15" s="116"/>
      <c r="I15" s="114"/>
      <c r="J15" s="114"/>
      <c r="K15" s="114"/>
      <c r="L15" s="114"/>
      <c r="R15" s="10" t="str">
        <f>"FT-"&amp;Commodities!D29&amp;"00"</f>
        <v>FT-TRAGASNAT00</v>
      </c>
      <c r="S15" s="10" t="s">
        <v>428</v>
      </c>
      <c r="T15" s="88" t="str">
        <f>General!$B$2</f>
        <v>PJ</v>
      </c>
      <c r="U15" s="88" t="str">
        <f>General!$B$2&amp;"a"</f>
        <v>PJa</v>
      </c>
      <c r="V15" s="88" t="s">
        <v>393</v>
      </c>
    </row>
    <row r="16" spans="1:37">
      <c r="B16" s="10" t="str">
        <f t="shared" ref="B16:C20" si="0">R11</f>
        <v>FT-TRAOILGSA00</v>
      </c>
      <c r="C16" s="10" t="str">
        <f t="shared" si="0"/>
        <v>Fuel Tech -Aviation Gasoline (TRA)</v>
      </c>
      <c r="D16" s="10" t="str">
        <f>Commodities!D9</f>
        <v>OILGSA</v>
      </c>
      <c r="E16" s="113" t="str">
        <f>Commodities!D23</f>
        <v>TRAOILGSA</v>
      </c>
      <c r="F16" s="88">
        <v>1</v>
      </c>
      <c r="G16" s="88"/>
      <c r="H16" s="88"/>
      <c r="K16" s="88"/>
      <c r="L16" s="88"/>
      <c r="R16" s="10" t="str">
        <f>"FT-"&amp;Commodities!D36&amp;"00"</f>
        <v>FT-TRAOILLUB00</v>
      </c>
      <c r="S16" s="10" t="s">
        <v>429</v>
      </c>
      <c r="T16" s="88" t="str">
        <f>General!$B$2</f>
        <v>PJ</v>
      </c>
      <c r="U16" s="88" t="str">
        <f>General!$B$2&amp;"a"</f>
        <v>PJa</v>
      </c>
      <c r="V16" s="88"/>
    </row>
    <row r="17" spans="2:22">
      <c r="B17" s="10" t="str">
        <f t="shared" si="0"/>
        <v>FT-TRAOILLPG00</v>
      </c>
      <c r="C17" s="10" t="str">
        <f t="shared" si="0"/>
        <v>Fuel Tech -Liquified petroleum gas (TRA)</v>
      </c>
      <c r="D17" s="10" t="str">
        <f>Commodities!D10</f>
        <v>OILLPG</v>
      </c>
      <c r="E17" s="113" t="str">
        <f>Commodities!D24</f>
        <v>TRAOILLPG</v>
      </c>
      <c r="F17" s="88">
        <v>1</v>
      </c>
      <c r="G17" s="88"/>
      <c r="H17" s="88"/>
      <c r="K17" s="88">
        <v>3</v>
      </c>
      <c r="L17" s="88"/>
      <c r="R17" s="10" t="str">
        <f>"FT-"&amp;Commodities!D32&amp;"00"</f>
        <v>FT-TRABIOBGS00</v>
      </c>
      <c r="S17" s="10" t="s">
        <v>534</v>
      </c>
      <c r="T17" s="88" t="str">
        <f>General!$B$2</f>
        <v>PJ</v>
      </c>
      <c r="U17" s="88" t="str">
        <f>General!$B$2&amp;"a"</f>
        <v>PJa</v>
      </c>
      <c r="V17" s="88"/>
    </row>
    <row r="18" spans="2:22">
      <c r="B18" s="10" t="str">
        <f t="shared" si="0"/>
        <v>FT-TRAOILKER00</v>
      </c>
      <c r="C18" s="10" t="str">
        <f t="shared" si="0"/>
        <v>Fuel Tech -Kerosene (TRA)</v>
      </c>
      <c r="D18" s="10" t="str">
        <f>Commodities!D12</f>
        <v>OILKER</v>
      </c>
      <c r="E18" s="113" t="str">
        <f>Commodities!D26</f>
        <v>TRAOILKER</v>
      </c>
      <c r="F18" s="88">
        <v>1</v>
      </c>
      <c r="G18" s="88"/>
      <c r="H18" s="88"/>
      <c r="K18" s="88"/>
      <c r="L18" s="88"/>
      <c r="P18" s="10" t="s">
        <v>319</v>
      </c>
      <c r="R18" s="10" t="str">
        <f>"FT-"&amp;Commodities!D35&amp;"00"</f>
        <v>FT-TRAELC00</v>
      </c>
      <c r="S18" s="10" t="s">
        <v>430</v>
      </c>
      <c r="T18" s="88" t="str">
        <f>General!$B$2</f>
        <v>PJ</v>
      </c>
      <c r="U18" s="88" t="s">
        <v>320</v>
      </c>
      <c r="V18" s="88" t="s">
        <v>114</v>
      </c>
    </row>
    <row r="19" spans="2:22">
      <c r="B19" s="10" t="str">
        <f t="shared" si="0"/>
        <v>FT-TRAOILHFO00</v>
      </c>
      <c r="C19" s="10" t="str">
        <f t="shared" si="0"/>
        <v>Fuel Tech -Low Sulphur Fuel Oil (TRA)</v>
      </c>
      <c r="D19" s="10" t="str">
        <f>Commodities!D11</f>
        <v>OILHFO</v>
      </c>
      <c r="E19" s="113" t="str">
        <f>Commodities!D25</f>
        <v>TRAOILHFO</v>
      </c>
      <c r="F19" s="88">
        <v>1</v>
      </c>
      <c r="G19" s="88"/>
      <c r="H19" s="88"/>
      <c r="K19" s="88"/>
      <c r="L19" s="88"/>
      <c r="P19" s="10" t="s">
        <v>318</v>
      </c>
      <c r="R19" s="10" t="str">
        <f>"FT-"&amp;Commodities!D29&amp;"01"</f>
        <v>FT-TRAGASNAT01</v>
      </c>
      <c r="S19" s="10" t="s">
        <v>550</v>
      </c>
      <c r="T19" s="88" t="str">
        <f>General!$B$2</f>
        <v>PJ</v>
      </c>
      <c r="U19" s="88" t="str">
        <f>General!$B$2&amp;"a"</f>
        <v>PJa</v>
      </c>
      <c r="V19" s="88" t="s">
        <v>393</v>
      </c>
    </row>
    <row r="20" spans="2:22">
      <c r="B20" s="10" t="str">
        <f t="shared" si="0"/>
        <v>FT-TRAGASNAT00</v>
      </c>
      <c r="C20" s="10" t="str">
        <f t="shared" si="0"/>
        <v>Fuel Tech -Natural Gas (TRA)</v>
      </c>
      <c r="D20" s="10" t="str">
        <f>Commodities!D38</f>
        <v>GASNAT_LP</v>
      </c>
      <c r="E20" s="113" t="str">
        <f>Commodities!D29</f>
        <v>TRAGASNAT</v>
      </c>
      <c r="F20" s="88">
        <v>1</v>
      </c>
      <c r="G20" s="88"/>
      <c r="H20" s="88"/>
      <c r="K20" s="88">
        <v>10</v>
      </c>
      <c r="L20" s="117">
        <f>TRA_BAL!J10*1.25</f>
        <v>0</v>
      </c>
    </row>
    <row r="21" spans="2:22">
      <c r="B21" s="10" t="str">
        <f>R16</f>
        <v>FT-TRAOILLUB00</v>
      </c>
      <c r="C21" s="10" t="str">
        <f>S16</f>
        <v>Fuel Tech -Lubricants (TRA)</v>
      </c>
      <c r="D21" s="10" t="str">
        <f>Commodities!D13</f>
        <v>OILLUB</v>
      </c>
      <c r="E21" s="113" t="str">
        <f>Commodities!D36</f>
        <v>TRAOILLUB</v>
      </c>
      <c r="F21" s="88">
        <v>1</v>
      </c>
      <c r="G21" s="88"/>
      <c r="H21" s="88"/>
      <c r="K21" s="88"/>
      <c r="L21" s="88"/>
    </row>
    <row r="22" spans="2:22">
      <c r="B22" s="114" t="str">
        <f>R17</f>
        <v>FT-TRABIOBGS00</v>
      </c>
      <c r="C22" s="114" t="str">
        <f>S17</f>
        <v>Fuel Tech -Biogas (TRA)</v>
      </c>
      <c r="D22" s="114" t="s">
        <v>535</v>
      </c>
      <c r="E22" s="115" t="str">
        <f>Commodities!D32</f>
        <v>TRABIOBGS</v>
      </c>
      <c r="F22" s="116">
        <v>1</v>
      </c>
      <c r="G22" s="116"/>
      <c r="H22" s="116"/>
      <c r="I22" s="114"/>
      <c r="J22" s="114"/>
      <c r="K22" s="116"/>
      <c r="L22" s="116"/>
    </row>
    <row r="23" spans="2:22" ht="21" customHeight="1">
      <c r="E23" s="11"/>
    </row>
    <row r="25" spans="2:22">
      <c r="E25" s="102" t="s">
        <v>14</v>
      </c>
      <c r="G25" s="121"/>
    </row>
    <row r="26" spans="2:22">
      <c r="B26" s="104" t="s">
        <v>1</v>
      </c>
      <c r="C26" s="104" t="s">
        <v>44</v>
      </c>
      <c r="D26" s="104" t="s">
        <v>6</v>
      </c>
      <c r="E26" s="105" t="s">
        <v>7</v>
      </c>
      <c r="F26" s="106" t="s">
        <v>16</v>
      </c>
      <c r="G26" s="106" t="s">
        <v>3</v>
      </c>
      <c r="H26" s="106" t="s">
        <v>314</v>
      </c>
      <c r="I26" s="106" t="s">
        <v>329</v>
      </c>
    </row>
    <row r="27" spans="2:22" ht="28.2" thickBot="1">
      <c r="B27" s="107" t="s">
        <v>457</v>
      </c>
      <c r="C27" s="107" t="s">
        <v>26</v>
      </c>
      <c r="D27" s="107" t="s">
        <v>36</v>
      </c>
      <c r="E27" s="108" t="s">
        <v>37</v>
      </c>
      <c r="F27" s="107" t="s">
        <v>38</v>
      </c>
      <c r="G27" s="107" t="s">
        <v>41</v>
      </c>
      <c r="H27" s="107" t="s">
        <v>316</v>
      </c>
      <c r="I27" s="107" t="s">
        <v>321</v>
      </c>
    </row>
    <row r="28" spans="2:22">
      <c r="B28" s="110"/>
      <c r="C28" s="111"/>
      <c r="D28" s="111"/>
      <c r="E28" s="112" t="s">
        <v>317</v>
      </c>
      <c r="F28" s="111" t="s">
        <v>332</v>
      </c>
      <c r="G28" s="111" t="str">
        <f>General!$D$20</f>
        <v>$/GJ/a</v>
      </c>
      <c r="H28" s="111" t="str">
        <f>General!$D$21</f>
        <v>$/GJ</v>
      </c>
      <c r="I28" s="111" t="str">
        <f>General!$D$25</f>
        <v>GJ/kW</v>
      </c>
    </row>
    <row r="29" spans="2:22">
      <c r="B29" s="10" t="str">
        <f>R18</f>
        <v>FT-TRAELC00</v>
      </c>
      <c r="C29" s="10" t="str">
        <f>S18</f>
        <v>Fuel Tech -Electricity (TRA)</v>
      </c>
      <c r="D29" s="10" t="str">
        <f>Commodities!D37</f>
        <v>ELCMLO</v>
      </c>
      <c r="E29" s="113"/>
      <c r="F29" s="88">
        <v>1</v>
      </c>
      <c r="G29" s="88"/>
      <c r="H29" s="88"/>
      <c r="I29" s="88">
        <v>31.536000000000001</v>
      </c>
    </row>
    <row r="30" spans="2:22">
      <c r="B30" s="114"/>
      <c r="C30" s="114"/>
      <c r="D30" s="114"/>
      <c r="E30" s="115" t="str">
        <f>Commodities!D35</f>
        <v>TRAELC</v>
      </c>
      <c r="F30" s="114"/>
      <c r="G30" s="114"/>
      <c r="H30" s="114"/>
      <c r="I30" s="114"/>
    </row>
    <row r="33" spans="2:10">
      <c r="E33" s="102" t="s">
        <v>14</v>
      </c>
      <c r="F33" s="102"/>
      <c r="I33" s="8"/>
    </row>
    <row r="34" spans="2:10">
      <c r="B34" s="104" t="s">
        <v>1</v>
      </c>
      <c r="C34" s="104" t="s">
        <v>44</v>
      </c>
      <c r="D34" s="104" t="s">
        <v>6</v>
      </c>
      <c r="E34" s="105" t="s">
        <v>7</v>
      </c>
      <c r="F34" s="106" t="s">
        <v>16</v>
      </c>
      <c r="G34" s="106" t="s">
        <v>314</v>
      </c>
      <c r="H34" s="106" t="s">
        <v>507</v>
      </c>
      <c r="I34" s="106" t="s">
        <v>546</v>
      </c>
      <c r="J34" s="106" t="s">
        <v>547</v>
      </c>
    </row>
    <row r="35" spans="2:10" ht="28.2" thickBot="1">
      <c r="B35" s="107" t="s">
        <v>457</v>
      </c>
      <c r="C35" s="107" t="s">
        <v>26</v>
      </c>
      <c r="D35" s="107" t="s">
        <v>36</v>
      </c>
      <c r="E35" s="108" t="s">
        <v>37</v>
      </c>
      <c r="F35" s="107" t="s">
        <v>38</v>
      </c>
      <c r="G35" s="107" t="s">
        <v>316</v>
      </c>
      <c r="H35" s="107" t="s">
        <v>548</v>
      </c>
      <c r="I35" s="107"/>
      <c r="J35" s="107" t="s">
        <v>549</v>
      </c>
    </row>
    <row r="36" spans="2:10">
      <c r="B36" s="110"/>
      <c r="C36" s="111"/>
      <c r="D36" s="111"/>
      <c r="E36" s="112" t="s">
        <v>317</v>
      </c>
      <c r="F36" s="111" t="s">
        <v>332</v>
      </c>
      <c r="G36" s="111" t="str">
        <f>General!$D$21</f>
        <v>$/GJ</v>
      </c>
      <c r="H36" s="111" t="s">
        <v>278</v>
      </c>
      <c r="I36" s="111"/>
      <c r="J36" s="111" t="s">
        <v>524</v>
      </c>
    </row>
    <row r="37" spans="2:10">
      <c r="B37" s="10" t="str">
        <f>R19</f>
        <v>FT-TRAGASNAT01</v>
      </c>
      <c r="C37" s="10" t="str">
        <f>S19</f>
        <v>Fuel Tech -Natural Gas (TRA) - New</v>
      </c>
      <c r="D37" s="10" t="str">
        <f>D20</f>
        <v>GASNAT_LP</v>
      </c>
      <c r="E37" s="113"/>
      <c r="F37" s="88">
        <v>1</v>
      </c>
      <c r="G37" s="88">
        <f>K20</f>
        <v>10</v>
      </c>
      <c r="H37" s="88">
        <v>30</v>
      </c>
      <c r="I37" s="88">
        <v>2020</v>
      </c>
      <c r="J37" s="88">
        <v>10</v>
      </c>
    </row>
    <row r="38" spans="2:10">
      <c r="B38" s="114"/>
      <c r="C38" s="114"/>
      <c r="D38" s="114"/>
      <c r="E38" s="115" t="str">
        <f>E20</f>
        <v>TRAGASNAT</v>
      </c>
      <c r="F38" s="114"/>
      <c r="G38" s="114"/>
      <c r="H38" s="114"/>
      <c r="I38" s="114"/>
      <c r="J38" s="114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2:S14"/>
  <sheetViews>
    <sheetView topLeftCell="B1" zoomScale="85" zoomScaleNormal="85" workbookViewId="0">
      <selection activeCell="B1" sqref="A1:XFD1048576"/>
    </sheetView>
  </sheetViews>
  <sheetFormatPr defaultColWidth="9.109375" defaultRowHeight="16.5" customHeight="1"/>
  <cols>
    <col min="1" max="1" width="9.109375" style="10"/>
    <col min="2" max="2" width="13.44140625" style="10" bestFit="1" customWidth="1"/>
    <col min="3" max="3" width="12.5546875" style="10" bestFit="1" customWidth="1"/>
    <col min="4" max="4" width="12" style="10" bestFit="1" customWidth="1"/>
    <col min="5" max="5" width="11.88671875" style="10" bestFit="1" customWidth="1"/>
    <col min="6" max="6" width="12.88671875" style="10" bestFit="1" customWidth="1"/>
    <col min="7" max="7" width="12.5546875" style="10" bestFit="1" customWidth="1"/>
    <col min="8" max="8" width="14.109375" style="10" bestFit="1" customWidth="1"/>
    <col min="9" max="9" width="13.5546875" style="10" bestFit="1" customWidth="1"/>
    <col min="10" max="11" width="12.88671875" style="10" bestFit="1" customWidth="1"/>
    <col min="12" max="12" width="13.33203125" style="10" bestFit="1" customWidth="1"/>
    <col min="13" max="16" width="13.33203125" style="10" customWidth="1"/>
    <col min="17" max="17" width="9.109375" style="10"/>
    <col min="18" max="18" width="106.6640625" style="10" bestFit="1" customWidth="1"/>
    <col min="19" max="16384" width="9.109375" style="10"/>
  </cols>
  <sheetData>
    <row r="2" spans="1:19" ht="16.5" customHeight="1">
      <c r="B2" s="102" t="s">
        <v>18</v>
      </c>
      <c r="P2" s="10" t="s">
        <v>518</v>
      </c>
    </row>
    <row r="3" spans="1:19" ht="16.5" customHeight="1">
      <c r="B3" s="86" t="s">
        <v>0</v>
      </c>
      <c r="C3" s="86" t="s">
        <v>97</v>
      </c>
      <c r="D3" s="86" t="s">
        <v>93</v>
      </c>
      <c r="E3" s="86" t="s">
        <v>95</v>
      </c>
      <c r="F3" s="86" t="s">
        <v>99</v>
      </c>
      <c r="G3" s="86" t="s">
        <v>91</v>
      </c>
      <c r="H3" s="86" t="s">
        <v>443</v>
      </c>
      <c r="I3" s="86" t="s">
        <v>105</v>
      </c>
      <c r="J3" s="86" t="s">
        <v>107</v>
      </c>
      <c r="K3" s="86" t="s">
        <v>108</v>
      </c>
      <c r="L3" s="86" t="s">
        <v>111</v>
      </c>
      <c r="M3" s="86" t="s">
        <v>394</v>
      </c>
      <c r="N3" s="86" t="s">
        <v>395</v>
      </c>
      <c r="O3" s="86"/>
      <c r="P3" s="86" t="s">
        <v>258</v>
      </c>
      <c r="R3" s="86" t="s">
        <v>370</v>
      </c>
    </row>
    <row r="4" spans="1:19" ht="16.5" customHeight="1" thickBot="1">
      <c r="B4" s="87" t="s">
        <v>52</v>
      </c>
      <c r="C4" s="87" t="str">
        <f>General!$D$31</f>
        <v>kg/GJ</v>
      </c>
      <c r="D4" s="87" t="str">
        <f>General!$D$31</f>
        <v>kg/GJ</v>
      </c>
      <c r="E4" s="87" t="str">
        <f>General!$D$31</f>
        <v>kg/GJ</v>
      </c>
      <c r="F4" s="87" t="str">
        <f>General!$D$31</f>
        <v>kg/GJ</v>
      </c>
      <c r="G4" s="87" t="str">
        <f>General!$D$31</f>
        <v>kg/GJ</v>
      </c>
      <c r="H4" s="87" t="str">
        <f>General!$D$31</f>
        <v>kg/GJ</v>
      </c>
      <c r="I4" s="87" t="str">
        <f>General!$D$31</f>
        <v>kg/GJ</v>
      </c>
      <c r="J4" s="87" t="str">
        <f>General!$D$31</f>
        <v>kg/GJ</v>
      </c>
      <c r="K4" s="87" t="str">
        <f>General!$D$31</f>
        <v>kg/GJ</v>
      </c>
      <c r="L4" s="87" t="str">
        <f>General!$D$31</f>
        <v>kg/GJ</v>
      </c>
      <c r="M4" s="87" t="str">
        <f>General!$D$31</f>
        <v>kg/GJ</v>
      </c>
      <c r="N4" s="87" t="str">
        <f>General!$D$31</f>
        <v>kg/GJ</v>
      </c>
      <c r="O4" s="87"/>
      <c r="P4" s="87" t="str">
        <f>General!$D$31</f>
        <v>kg/GJ</v>
      </c>
      <c r="R4" s="101"/>
      <c r="S4" s="10" t="s">
        <v>391</v>
      </c>
    </row>
    <row r="5" spans="1:19" ht="16.5" customHeight="1">
      <c r="B5" s="10" t="str">
        <f>Commodities!Z7</f>
        <v>TRACO2</v>
      </c>
      <c r="C5" s="88">
        <v>63.1</v>
      </c>
      <c r="D5" s="88">
        <v>69.3</v>
      </c>
      <c r="E5" s="88">
        <v>70</v>
      </c>
      <c r="F5" s="88">
        <v>71.5</v>
      </c>
      <c r="G5" s="88">
        <v>74.099999999999994</v>
      </c>
      <c r="H5" s="10">
        <v>77.400000000000006</v>
      </c>
      <c r="I5" s="88">
        <v>56.1</v>
      </c>
      <c r="J5" s="88">
        <v>70.8</v>
      </c>
      <c r="K5" s="88">
        <v>70.8</v>
      </c>
      <c r="L5" s="88">
        <v>56.1</v>
      </c>
      <c r="M5" s="88">
        <v>57.2</v>
      </c>
      <c r="N5" s="88">
        <f>G5*0.8</f>
        <v>59.28</v>
      </c>
      <c r="O5" s="88"/>
      <c r="P5" s="10">
        <v>73.3</v>
      </c>
      <c r="R5" s="10" t="s">
        <v>380</v>
      </c>
      <c r="S5" s="10" t="s">
        <v>390</v>
      </c>
    </row>
    <row r="6" spans="1:19" ht="16.5" customHeight="1">
      <c r="B6" s="10" t="str">
        <f>Commodities!Z8</f>
        <v>TRACH4</v>
      </c>
      <c r="C6" s="88">
        <f>(62/1000)*28</f>
        <v>1.736</v>
      </c>
      <c r="D6" s="88">
        <f>(33/1000)*28</f>
        <v>0.92400000000000004</v>
      </c>
      <c r="E6" s="88">
        <f>(0.5/1000)*28</f>
        <v>1.4E-2</v>
      </c>
      <c r="F6" s="88">
        <f>(0.5/1000)*28</f>
        <v>1.4E-2</v>
      </c>
      <c r="G6" s="88">
        <f>(3.9/1000)*28</f>
        <v>0.10919999999999999</v>
      </c>
      <c r="H6" s="10">
        <f>(10/1000)*28</f>
        <v>0.28000000000000003</v>
      </c>
      <c r="I6" s="88">
        <f>(92/1000)*28</f>
        <v>2.5760000000000001</v>
      </c>
      <c r="J6" s="88">
        <f>(260/1000)*28</f>
        <v>7.28</v>
      </c>
      <c r="K6" s="88">
        <f>(260/1000)*28</f>
        <v>7.28</v>
      </c>
      <c r="L6" s="88">
        <f>(92/1000)*28</f>
        <v>2.5760000000000001</v>
      </c>
      <c r="M6" s="88">
        <v>1.4E-2</v>
      </c>
      <c r="N6" s="88">
        <v>0.504</v>
      </c>
      <c r="O6" s="88"/>
      <c r="P6" s="10">
        <f>(3/1000)*28</f>
        <v>8.4000000000000005E-2</v>
      </c>
      <c r="R6" s="10">
        <v>28</v>
      </c>
    </row>
    <row r="7" spans="1:19" ht="16.5" customHeight="1">
      <c r="B7" s="10" t="str">
        <f>Commodities!Z9</f>
        <v>TRAN2O</v>
      </c>
      <c r="C7" s="88">
        <f>(0.2/1000)*265</f>
        <v>5.3000000000000005E-2</v>
      </c>
      <c r="D7" s="88">
        <f>(3.2/1000)*265</f>
        <v>0.84800000000000009</v>
      </c>
      <c r="E7" s="88">
        <f>(2/1000)*265</f>
        <v>0.53</v>
      </c>
      <c r="F7" s="88">
        <f>(2/1000)*265</f>
        <v>0.53</v>
      </c>
      <c r="G7" s="88">
        <f>(3.9/1000)*265</f>
        <v>1.0334999999999999</v>
      </c>
      <c r="H7" s="10">
        <f>(0.6/1000)*265</f>
        <v>0.15899999999999997</v>
      </c>
      <c r="I7" s="88">
        <f>(3/1000)*265</f>
        <v>0.79500000000000004</v>
      </c>
      <c r="J7" s="88">
        <f>(41/1000)*265</f>
        <v>10.865</v>
      </c>
      <c r="K7" s="88">
        <f>(41/1000)*265</f>
        <v>10.865</v>
      </c>
      <c r="L7" s="88">
        <f>(3/1000)*265</f>
        <v>0.79500000000000004</v>
      </c>
      <c r="M7" s="88">
        <v>0.53</v>
      </c>
      <c r="N7" s="88">
        <v>10.865</v>
      </c>
      <c r="O7" s="88"/>
      <c r="P7" s="10">
        <f>(0.6/1000)*265</f>
        <v>0.15899999999999997</v>
      </c>
      <c r="R7" s="10">
        <v>265</v>
      </c>
    </row>
    <row r="10" spans="1:19" ht="16.5" customHeight="1">
      <c r="A10" s="11"/>
      <c r="B10" s="103"/>
      <c r="C10" s="11"/>
      <c r="D10" s="11"/>
      <c r="E10" s="11"/>
    </row>
    <row r="11" spans="1:19" ht="16.5" customHeight="1">
      <c r="A11" s="11"/>
      <c r="B11" s="13"/>
      <c r="C11" s="14"/>
      <c r="D11" s="14"/>
      <c r="E11" s="14"/>
    </row>
    <row r="12" spans="1:19" ht="16.5" customHeight="1">
      <c r="A12" s="11"/>
      <c r="B12" s="11"/>
      <c r="C12" s="15"/>
      <c r="D12" s="15"/>
      <c r="E12" s="15"/>
    </row>
    <row r="13" spans="1:19" ht="16.5" customHeight="1">
      <c r="A13" s="11"/>
      <c r="B13" s="11"/>
      <c r="C13" s="11"/>
      <c r="D13" s="11"/>
      <c r="E13" s="11"/>
    </row>
    <row r="14" spans="1:19" ht="16.5" customHeight="1">
      <c r="A14" s="11"/>
      <c r="B14" s="11"/>
      <c r="C14" s="11"/>
      <c r="D14" s="11"/>
      <c r="E14" s="11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AF42"/>
  <sheetViews>
    <sheetView zoomScale="85" zoomScaleNormal="85" workbookViewId="0">
      <selection sqref="A1:XFD1048576"/>
    </sheetView>
  </sheetViews>
  <sheetFormatPr defaultColWidth="9.109375" defaultRowHeight="13.8"/>
  <cols>
    <col min="1" max="1" width="9.109375" style="10"/>
    <col min="2" max="2" width="23.109375" style="10" customWidth="1"/>
    <col min="3" max="3" width="15.109375" style="10" customWidth="1"/>
    <col min="4" max="4" width="22" style="10" customWidth="1"/>
    <col min="5" max="5" width="54.5546875" style="10" bestFit="1" customWidth="1"/>
    <col min="6" max="6" width="8.88671875" style="10" customWidth="1"/>
    <col min="7" max="7" width="12.5546875" style="10" customWidth="1"/>
    <col min="8" max="8" width="12.109375" style="10" customWidth="1"/>
    <col min="9" max="9" width="11.88671875" style="10" customWidth="1"/>
    <col min="10" max="10" width="15.33203125" style="10" customWidth="1"/>
    <col min="11" max="11" width="3" style="10" customWidth="1"/>
    <col min="12" max="12" width="12.33203125" style="10" customWidth="1"/>
    <col min="13" max="13" width="16.6640625" style="10" customWidth="1"/>
    <col min="14" max="14" width="13.44140625" style="10" bestFit="1" customWidth="1"/>
    <col min="15" max="15" width="17.33203125" style="10" bestFit="1" customWidth="1"/>
    <col min="16" max="16" width="60.44140625" style="10" bestFit="1" customWidth="1"/>
    <col min="17" max="17" width="12.5546875" style="10" customWidth="1"/>
    <col min="18" max="18" width="27" style="10" bestFit="1" customWidth="1"/>
    <col min="19" max="19" width="16.5546875" style="10" bestFit="1" customWidth="1"/>
    <col min="20" max="20" width="17.33203125" style="10" bestFit="1" customWidth="1"/>
    <col min="21" max="21" width="21.5546875" style="10" bestFit="1" customWidth="1"/>
    <col min="22" max="22" width="2.88671875" style="10" customWidth="1"/>
    <col min="23" max="23" width="9.109375" style="10"/>
    <col min="24" max="24" width="15.44140625" style="10" bestFit="1" customWidth="1"/>
    <col min="25" max="25" width="12.33203125" style="10" bestFit="1" customWidth="1"/>
    <col min="26" max="26" width="16.5546875" style="10" bestFit="1" customWidth="1"/>
    <col min="27" max="27" width="40.109375" style="10" customWidth="1"/>
    <col min="28" max="28" width="6.88671875" style="10" customWidth="1"/>
    <col min="29" max="29" width="12.88671875" style="10" bestFit="1" customWidth="1"/>
    <col min="30" max="30" width="14.44140625" style="10" bestFit="1" customWidth="1"/>
    <col min="31" max="31" width="15.44140625" style="10" bestFit="1" customWidth="1"/>
    <col min="32" max="32" width="10.33203125" style="10" bestFit="1" customWidth="1"/>
    <col min="33" max="33" width="3.109375" style="10" customWidth="1"/>
    <col min="34" max="16384" width="9.109375" style="10"/>
  </cols>
  <sheetData>
    <row r="1" spans="2:32" s="18" customFormat="1" ht="15.6">
      <c r="B1" s="91" t="s">
        <v>54</v>
      </c>
    </row>
    <row r="2" spans="2:32" s="18" customFormat="1" ht="15.6">
      <c r="B2" s="91" t="s">
        <v>327</v>
      </c>
      <c r="M2" s="91" t="s">
        <v>328</v>
      </c>
      <c r="X2" s="91" t="s">
        <v>133</v>
      </c>
    </row>
    <row r="4" spans="2:32">
      <c r="B4" s="100" t="s">
        <v>15</v>
      </c>
      <c r="C4" s="100"/>
      <c r="D4" s="92"/>
      <c r="E4" s="92"/>
      <c r="F4" s="92"/>
      <c r="G4" s="92"/>
      <c r="H4" s="92"/>
      <c r="I4" s="92"/>
      <c r="J4" s="92"/>
      <c r="M4" s="100" t="s">
        <v>15</v>
      </c>
      <c r="N4" s="100"/>
      <c r="O4" s="92"/>
      <c r="P4" s="92"/>
      <c r="Q4" s="92"/>
      <c r="R4" s="92"/>
      <c r="S4" s="92"/>
      <c r="T4" s="92"/>
      <c r="U4" s="92"/>
      <c r="X4" s="100" t="s">
        <v>15</v>
      </c>
      <c r="Y4" s="100"/>
      <c r="Z4" s="92"/>
      <c r="AA4" s="92"/>
      <c r="AB4" s="92"/>
      <c r="AC4" s="92"/>
      <c r="AD4" s="92"/>
      <c r="AE4" s="92"/>
      <c r="AF4" s="92"/>
    </row>
    <row r="5" spans="2:32">
      <c r="B5" s="93" t="s">
        <v>8</v>
      </c>
      <c r="C5" s="94" t="s">
        <v>34</v>
      </c>
      <c r="D5" s="93" t="s">
        <v>0</v>
      </c>
      <c r="E5" s="93" t="s">
        <v>4</v>
      </c>
      <c r="F5" s="95" t="s">
        <v>5</v>
      </c>
      <c r="G5" s="95" t="s">
        <v>9</v>
      </c>
      <c r="H5" s="95" t="s">
        <v>10</v>
      </c>
      <c r="I5" s="95" t="s">
        <v>11</v>
      </c>
      <c r="J5" s="95" t="s">
        <v>13</v>
      </c>
      <c r="L5" s="16"/>
      <c r="M5" s="93" t="s">
        <v>8</v>
      </c>
      <c r="N5" s="94" t="s">
        <v>34</v>
      </c>
      <c r="O5" s="93" t="s">
        <v>0</v>
      </c>
      <c r="P5" s="93" t="s">
        <v>4</v>
      </c>
      <c r="Q5" s="95" t="s">
        <v>5</v>
      </c>
      <c r="R5" s="95" t="s">
        <v>9</v>
      </c>
      <c r="S5" s="95" t="s">
        <v>10</v>
      </c>
      <c r="T5" s="95" t="s">
        <v>11</v>
      </c>
      <c r="U5" s="95" t="s">
        <v>13</v>
      </c>
      <c r="X5" s="93" t="s">
        <v>8</v>
      </c>
      <c r="Y5" s="94" t="s">
        <v>34</v>
      </c>
      <c r="Z5" s="93" t="s">
        <v>0</v>
      </c>
      <c r="AA5" s="93" t="s">
        <v>4</v>
      </c>
      <c r="AB5" s="95" t="s">
        <v>5</v>
      </c>
      <c r="AC5" s="95" t="s">
        <v>9</v>
      </c>
      <c r="AD5" s="95" t="s">
        <v>10</v>
      </c>
      <c r="AE5" s="95" t="s">
        <v>11</v>
      </c>
      <c r="AF5" s="95" t="s">
        <v>13</v>
      </c>
    </row>
    <row r="6" spans="2:32" s="98" customFormat="1" ht="31.5" customHeight="1" thickBot="1">
      <c r="B6" s="96" t="s">
        <v>46</v>
      </c>
      <c r="C6" s="97" t="s">
        <v>35</v>
      </c>
      <c r="D6" s="96" t="s">
        <v>30</v>
      </c>
      <c r="E6" s="96" t="s">
        <v>31</v>
      </c>
      <c r="F6" s="96" t="s">
        <v>5</v>
      </c>
      <c r="G6" s="96" t="s">
        <v>48</v>
      </c>
      <c r="H6" s="96" t="s">
        <v>49</v>
      </c>
      <c r="I6" s="96" t="s">
        <v>32</v>
      </c>
      <c r="J6" s="96" t="s">
        <v>33</v>
      </c>
      <c r="L6" s="17"/>
      <c r="M6" s="96" t="s">
        <v>46</v>
      </c>
      <c r="N6" s="97" t="s">
        <v>35</v>
      </c>
      <c r="O6" s="96" t="s">
        <v>30</v>
      </c>
      <c r="P6" s="96" t="s">
        <v>31</v>
      </c>
      <c r="Q6" s="96" t="s">
        <v>5</v>
      </c>
      <c r="R6" s="96" t="s">
        <v>48</v>
      </c>
      <c r="S6" s="96" t="s">
        <v>49</v>
      </c>
      <c r="T6" s="96" t="s">
        <v>32</v>
      </c>
      <c r="U6" s="96" t="s">
        <v>33</v>
      </c>
      <c r="X6" s="96" t="s">
        <v>46</v>
      </c>
      <c r="Y6" s="97" t="s">
        <v>35</v>
      </c>
      <c r="Z6" s="96" t="s">
        <v>30</v>
      </c>
      <c r="AA6" s="96" t="s">
        <v>31</v>
      </c>
      <c r="AB6" s="96" t="s">
        <v>5</v>
      </c>
      <c r="AC6" s="96" t="s">
        <v>48</v>
      </c>
      <c r="AD6" s="96" t="s">
        <v>49</v>
      </c>
      <c r="AE6" s="96" t="s">
        <v>32</v>
      </c>
      <c r="AF6" s="96" t="s">
        <v>33</v>
      </c>
    </row>
    <row r="7" spans="2:32">
      <c r="B7" s="10" t="s">
        <v>55</v>
      </c>
      <c r="D7" s="10" t="s">
        <v>61</v>
      </c>
      <c r="E7" s="10" t="s">
        <v>62</v>
      </c>
      <c r="F7" s="88" t="str">
        <f>General!$B$2</f>
        <v>PJ</v>
      </c>
      <c r="M7" s="10" t="s">
        <v>129</v>
      </c>
      <c r="O7" s="10" t="s">
        <v>263</v>
      </c>
      <c r="P7" s="10" t="s">
        <v>264</v>
      </c>
      <c r="Q7" s="88" t="str">
        <f>General!$D$26</f>
        <v>Mpgkm</v>
      </c>
      <c r="X7" s="10" t="s">
        <v>121</v>
      </c>
      <c r="Z7" s="10" t="s">
        <v>123</v>
      </c>
      <c r="AA7" s="99" t="s">
        <v>124</v>
      </c>
      <c r="AB7" s="88" t="str">
        <f>General!$B$5</f>
        <v>Gg</v>
      </c>
    </row>
    <row r="8" spans="2:32">
      <c r="D8" s="10" t="s">
        <v>63</v>
      </c>
      <c r="E8" s="10" t="s">
        <v>64</v>
      </c>
      <c r="F8" s="88" t="str">
        <f>General!$B$2</f>
        <v>PJ</v>
      </c>
      <c r="O8" s="10" t="s">
        <v>281</v>
      </c>
      <c r="P8" s="10" t="s">
        <v>282</v>
      </c>
      <c r="Q8" s="88" t="str">
        <f>General!$D$26</f>
        <v>Mpgkm</v>
      </c>
      <c r="Z8" s="10" t="s">
        <v>125</v>
      </c>
      <c r="AA8" s="99" t="s">
        <v>126</v>
      </c>
      <c r="AB8" s="88" t="str">
        <f>General!$B$5</f>
        <v>Gg</v>
      </c>
    </row>
    <row r="9" spans="2:32">
      <c r="D9" s="10" t="s">
        <v>65</v>
      </c>
      <c r="E9" s="10" t="s">
        <v>66</v>
      </c>
      <c r="F9" s="88" t="str">
        <f>General!$B$2</f>
        <v>PJ</v>
      </c>
      <c r="O9" s="10" t="s">
        <v>283</v>
      </c>
      <c r="P9" s="10" t="s">
        <v>431</v>
      </c>
      <c r="Q9" s="88" t="str">
        <f>General!$D$26</f>
        <v>Mpgkm</v>
      </c>
      <c r="Z9" s="10" t="s">
        <v>127</v>
      </c>
      <c r="AA9" s="99" t="s">
        <v>128</v>
      </c>
      <c r="AB9" s="88" t="str">
        <f>General!$B$5</f>
        <v>Gg</v>
      </c>
    </row>
    <row r="10" spans="2:32">
      <c r="D10" s="10" t="s">
        <v>67</v>
      </c>
      <c r="E10" s="10" t="s">
        <v>68</v>
      </c>
      <c r="F10" s="88" t="str">
        <f>General!$B$2</f>
        <v>PJ</v>
      </c>
      <c r="O10" s="10" t="s">
        <v>287</v>
      </c>
      <c r="P10" s="10" t="s">
        <v>288</v>
      </c>
      <c r="Q10" s="88" t="str">
        <f>General!$D$27</f>
        <v>Mtnkm</v>
      </c>
    </row>
    <row r="11" spans="2:32">
      <c r="D11" s="10" t="s">
        <v>442</v>
      </c>
      <c r="E11" s="10" t="s">
        <v>152</v>
      </c>
      <c r="F11" s="88" t="str">
        <f>General!$B$2</f>
        <v>PJ</v>
      </c>
      <c r="O11" s="10" t="s">
        <v>286</v>
      </c>
      <c r="P11" s="10" t="s">
        <v>289</v>
      </c>
      <c r="Q11" s="88" t="str">
        <f>General!$D$27</f>
        <v>Mtnkm</v>
      </c>
    </row>
    <row r="12" spans="2:32">
      <c r="D12" s="10" t="s">
        <v>69</v>
      </c>
      <c r="E12" s="10" t="s">
        <v>70</v>
      </c>
      <c r="F12" s="88" t="str">
        <f>General!$B$2</f>
        <v>PJ</v>
      </c>
      <c r="O12" s="10" t="s">
        <v>302</v>
      </c>
      <c r="P12" s="10" t="s">
        <v>304</v>
      </c>
      <c r="Q12" s="88" t="str">
        <f>General!$D$26</f>
        <v>Mpgkm</v>
      </c>
    </row>
    <row r="13" spans="2:32">
      <c r="D13" s="10" t="s">
        <v>74</v>
      </c>
      <c r="E13" s="10" t="s">
        <v>75</v>
      </c>
      <c r="F13" s="88" t="str">
        <f>General!$B$2</f>
        <v>PJ</v>
      </c>
      <c r="O13" s="10" t="s">
        <v>303</v>
      </c>
      <c r="P13" s="10" t="s">
        <v>305</v>
      </c>
      <c r="Q13" s="88" t="str">
        <f>General!$D$27</f>
        <v>Mtnkm</v>
      </c>
    </row>
    <row r="14" spans="2:32">
      <c r="D14" s="10" t="s">
        <v>76</v>
      </c>
      <c r="E14" s="10" t="s">
        <v>77</v>
      </c>
      <c r="F14" s="88" t="str">
        <f>General!$B$2</f>
        <v>PJ</v>
      </c>
      <c r="O14" s="10" t="s">
        <v>309</v>
      </c>
      <c r="P14" s="10" t="s">
        <v>441</v>
      </c>
      <c r="Q14" s="88" t="str">
        <f>General!$D$26</f>
        <v>Mpgkm</v>
      </c>
    </row>
    <row r="15" spans="2:32">
      <c r="D15" s="10" t="s">
        <v>78</v>
      </c>
      <c r="E15" s="10" t="s">
        <v>79</v>
      </c>
      <c r="F15" s="88" t="str">
        <f>General!$B$2</f>
        <v>PJ</v>
      </c>
      <c r="O15" s="10" t="s">
        <v>527</v>
      </c>
      <c r="P15" s="10" t="s">
        <v>526</v>
      </c>
      <c r="Q15" s="88" t="str">
        <f>General!$D$28</f>
        <v>000s_km_flown</v>
      </c>
    </row>
    <row r="16" spans="2:32">
      <c r="D16" s="10" t="s">
        <v>80</v>
      </c>
      <c r="E16" s="10" t="s">
        <v>81</v>
      </c>
      <c r="F16" s="88" t="str">
        <f t="shared" ref="F16" si="0">F15</f>
        <v>PJ</v>
      </c>
      <c r="O16" s="10" t="s">
        <v>323</v>
      </c>
      <c r="P16" s="10" t="s">
        <v>75</v>
      </c>
      <c r="Q16" s="88" t="str">
        <f>General!$B$2</f>
        <v>PJ</v>
      </c>
    </row>
    <row r="17" spans="4:17">
      <c r="D17" s="10" t="s">
        <v>83</v>
      </c>
      <c r="E17" s="10" t="s">
        <v>84</v>
      </c>
      <c r="F17" s="88" t="str">
        <f>General!$B$2</f>
        <v>PJ</v>
      </c>
      <c r="Q17" s="88"/>
    </row>
    <row r="18" spans="4:17">
      <c r="D18" s="10" t="s">
        <v>85</v>
      </c>
      <c r="E18" s="10" t="s">
        <v>86</v>
      </c>
      <c r="F18" s="88" t="str">
        <f>General!$B$2</f>
        <v>PJ</v>
      </c>
    </row>
    <row r="19" spans="4:17">
      <c r="D19" s="10" t="s">
        <v>87</v>
      </c>
      <c r="E19" s="10" t="s">
        <v>88</v>
      </c>
      <c r="F19" s="88" t="str">
        <f>General!$B$2</f>
        <v>PJ</v>
      </c>
    </row>
    <row r="20" spans="4:17">
      <c r="D20" s="10" t="s">
        <v>89</v>
      </c>
      <c r="E20" s="10" t="s">
        <v>90</v>
      </c>
      <c r="F20" s="88" t="str">
        <f>General!$B$2</f>
        <v>PJ</v>
      </c>
    </row>
    <row r="21" spans="4:17">
      <c r="D21" s="10" t="s">
        <v>91</v>
      </c>
      <c r="E21" s="10" t="s">
        <v>92</v>
      </c>
      <c r="F21" s="88" t="str">
        <f>General!$B$2</f>
        <v>PJ</v>
      </c>
    </row>
    <row r="22" spans="4:17">
      <c r="D22" s="10" t="s">
        <v>93</v>
      </c>
      <c r="E22" s="10" t="s">
        <v>94</v>
      </c>
      <c r="F22" s="88" t="str">
        <f>General!$B$2</f>
        <v>PJ</v>
      </c>
    </row>
    <row r="23" spans="4:17">
      <c r="D23" s="10" t="s">
        <v>95</v>
      </c>
      <c r="E23" s="10" t="s">
        <v>96</v>
      </c>
      <c r="F23" s="88" t="str">
        <f>General!$B$2</f>
        <v>PJ</v>
      </c>
    </row>
    <row r="24" spans="4:17">
      <c r="D24" s="10" t="s">
        <v>97</v>
      </c>
      <c r="E24" s="10" t="s">
        <v>98</v>
      </c>
      <c r="F24" s="88" t="str">
        <f>General!$B$2</f>
        <v>PJ</v>
      </c>
    </row>
    <row r="25" spans="4:17">
      <c r="D25" s="10" t="s">
        <v>443</v>
      </c>
      <c r="E25" s="10" t="s">
        <v>444</v>
      </c>
      <c r="F25" s="88" t="str">
        <f>General!$B$2</f>
        <v>PJ</v>
      </c>
    </row>
    <row r="26" spans="4:17">
      <c r="D26" s="10" t="s">
        <v>99</v>
      </c>
      <c r="E26" s="10" t="s">
        <v>100</v>
      </c>
      <c r="F26" s="88" t="str">
        <f>General!$B$2</f>
        <v>PJ</v>
      </c>
    </row>
    <row r="27" spans="4:17">
      <c r="D27" s="10" t="s">
        <v>101</v>
      </c>
      <c r="E27" s="10" t="s">
        <v>102</v>
      </c>
      <c r="F27" s="88" t="str">
        <f>General!$B$2</f>
        <v>PJ</v>
      </c>
    </row>
    <row r="28" spans="4:17">
      <c r="D28" s="10" t="s">
        <v>103</v>
      </c>
      <c r="E28" s="10" t="s">
        <v>104</v>
      </c>
      <c r="F28" s="88" t="str">
        <f>General!$B$2</f>
        <v>PJ</v>
      </c>
    </row>
    <row r="29" spans="4:17">
      <c r="D29" s="10" t="s">
        <v>105</v>
      </c>
      <c r="E29" s="10" t="s">
        <v>106</v>
      </c>
      <c r="F29" s="88" t="str">
        <f>General!$B$2</f>
        <v>PJ</v>
      </c>
      <c r="H29" s="10" t="s">
        <v>393</v>
      </c>
    </row>
    <row r="30" spans="4:17">
      <c r="D30" s="10" t="s">
        <v>108</v>
      </c>
      <c r="E30" s="10" t="s">
        <v>109</v>
      </c>
      <c r="F30" s="88" t="str">
        <f>General!$B$2</f>
        <v>PJ</v>
      </c>
    </row>
    <row r="31" spans="4:17">
      <c r="D31" s="10" t="s">
        <v>107</v>
      </c>
      <c r="E31" s="10" t="s">
        <v>110</v>
      </c>
      <c r="F31" s="88" t="str">
        <f>General!$B$2</f>
        <v>PJ</v>
      </c>
    </row>
    <row r="32" spans="4:17">
      <c r="D32" s="10" t="s">
        <v>111</v>
      </c>
      <c r="E32" s="10" t="s">
        <v>112</v>
      </c>
      <c r="F32" s="88" t="str">
        <f>General!$B$2</f>
        <v>PJ</v>
      </c>
    </row>
    <row r="33" spans="4:10">
      <c r="D33" s="10" t="s">
        <v>113</v>
      </c>
      <c r="E33" s="10" t="s">
        <v>116</v>
      </c>
      <c r="F33" s="88" t="str">
        <f>General!$B$2</f>
        <v>PJ</v>
      </c>
      <c r="H33" s="10" t="s">
        <v>114</v>
      </c>
      <c r="J33" s="10" t="s">
        <v>115</v>
      </c>
    </row>
    <row r="34" spans="4:10">
      <c r="D34" s="10" t="s">
        <v>117</v>
      </c>
      <c r="E34" s="10" t="s">
        <v>118</v>
      </c>
      <c r="F34" s="88" t="str">
        <f>General!$B$2</f>
        <v>PJ</v>
      </c>
      <c r="H34" s="10" t="s">
        <v>114</v>
      </c>
      <c r="J34" s="10" t="s">
        <v>115</v>
      </c>
    </row>
    <row r="35" spans="4:10">
      <c r="D35" s="10" t="s">
        <v>119</v>
      </c>
      <c r="E35" s="10" t="s">
        <v>120</v>
      </c>
      <c r="F35" s="88" t="str">
        <f>General!$B$2</f>
        <v>PJ</v>
      </c>
      <c r="H35" s="10" t="s">
        <v>114</v>
      </c>
      <c r="J35" s="10" t="s">
        <v>115</v>
      </c>
    </row>
    <row r="36" spans="4:10">
      <c r="D36" s="10" t="s">
        <v>258</v>
      </c>
      <c r="E36" s="10" t="s">
        <v>259</v>
      </c>
      <c r="F36" s="88" t="str">
        <f>General!$B$2</f>
        <v>PJ</v>
      </c>
    </row>
    <row r="37" spans="4:10">
      <c r="D37" s="10" t="s">
        <v>334</v>
      </c>
      <c r="E37" s="10" t="s">
        <v>335</v>
      </c>
      <c r="F37" s="88" t="str">
        <f>General!$B$2</f>
        <v>PJ</v>
      </c>
      <c r="H37" s="10" t="s">
        <v>114</v>
      </c>
      <c r="J37" s="10" t="s">
        <v>115</v>
      </c>
    </row>
    <row r="38" spans="4:10">
      <c r="D38" s="10" t="s">
        <v>381</v>
      </c>
      <c r="E38" s="10" t="s">
        <v>382</v>
      </c>
      <c r="F38" s="88" t="str">
        <f>General!$B$2</f>
        <v>PJ</v>
      </c>
      <c r="H38" s="10" t="s">
        <v>393</v>
      </c>
    </row>
    <row r="39" spans="4:10">
      <c r="D39" s="10" t="s">
        <v>513</v>
      </c>
      <c r="E39" s="10" t="s">
        <v>514</v>
      </c>
      <c r="F39" s="88" t="s">
        <v>351</v>
      </c>
      <c r="H39" s="10" t="s">
        <v>114</v>
      </c>
    </row>
    <row r="40" spans="4:10">
      <c r="D40" s="10" t="s">
        <v>394</v>
      </c>
      <c r="E40" s="10" t="s">
        <v>516</v>
      </c>
      <c r="F40" s="88" t="s">
        <v>351</v>
      </c>
    </row>
    <row r="41" spans="4:10">
      <c r="D41" s="10" t="s">
        <v>395</v>
      </c>
      <c r="E41" s="10" t="s">
        <v>517</v>
      </c>
      <c r="F41" s="88" t="s">
        <v>351</v>
      </c>
    </row>
    <row r="42" spans="4:10">
      <c r="D42" s="10" t="s">
        <v>535</v>
      </c>
      <c r="E42" s="10" t="s">
        <v>536</v>
      </c>
      <c r="F42" s="88" t="s">
        <v>351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31"/>
  <sheetViews>
    <sheetView zoomScale="85" zoomScaleNormal="85" workbookViewId="0">
      <selection activeCell="D44" activeCellId="1" sqref="F7 D44"/>
    </sheetView>
  </sheetViews>
  <sheetFormatPr defaultRowHeight="16.5" customHeight="1"/>
  <cols>
    <col min="1" max="1" width="28.44140625" customWidth="1"/>
    <col min="2" max="2" width="28.109375" customWidth="1"/>
    <col min="3" max="3" width="25.6640625" bestFit="1" customWidth="1"/>
    <col min="4" max="4" width="31.33203125" customWidth="1"/>
    <col min="5" max="5" width="20" customWidth="1"/>
  </cols>
  <sheetData>
    <row r="1" spans="1:6" ht="16.5" customHeight="1">
      <c r="A1" s="1" t="s">
        <v>130</v>
      </c>
      <c r="B1" s="2"/>
      <c r="C1" s="5"/>
      <c r="E1" s="3" t="s">
        <v>336</v>
      </c>
      <c r="F1" s="19">
        <f>'En.Bal-Final_Energy'!F2</f>
        <v>2017</v>
      </c>
    </row>
    <row r="2" spans="1:6" ht="16.5" customHeight="1">
      <c r="A2" s="3" t="s">
        <v>131</v>
      </c>
      <c r="B2" s="4" t="s">
        <v>351</v>
      </c>
      <c r="C2" s="6"/>
      <c r="E2" s="3" t="s">
        <v>337</v>
      </c>
      <c r="F2" s="3">
        <v>2050</v>
      </c>
    </row>
    <row r="3" spans="1:6" ht="16.5" customHeight="1">
      <c r="A3" s="3" t="s">
        <v>344</v>
      </c>
      <c r="B3" s="4" t="s">
        <v>389</v>
      </c>
      <c r="C3" s="6"/>
      <c r="E3" s="3"/>
      <c r="F3" s="3"/>
    </row>
    <row r="4" spans="1:6" ht="16.5" customHeight="1">
      <c r="A4" s="3" t="s">
        <v>132</v>
      </c>
      <c r="B4" s="4" t="s">
        <v>522</v>
      </c>
      <c r="C4" s="6"/>
    </row>
    <row r="5" spans="1:6" ht="16.5" customHeight="1">
      <c r="A5" s="3" t="s">
        <v>133</v>
      </c>
      <c r="B5" s="4" t="s">
        <v>122</v>
      </c>
      <c r="C5" s="6"/>
    </row>
    <row r="6" spans="1:6" ht="16.5" customHeight="1">
      <c r="A6" s="3" t="s">
        <v>344</v>
      </c>
      <c r="B6" s="4" t="s">
        <v>320</v>
      </c>
      <c r="C6" s="6"/>
    </row>
    <row r="8" spans="1:6" ht="16.5" customHeight="1">
      <c r="A8" s="90" t="s">
        <v>338</v>
      </c>
      <c r="B8" s="90"/>
    </row>
    <row r="10" spans="1:6" ht="16.5" customHeight="1">
      <c r="A10" s="1" t="s">
        <v>45</v>
      </c>
      <c r="B10" s="1" t="s">
        <v>339</v>
      </c>
      <c r="C10" s="1" t="s">
        <v>340</v>
      </c>
      <c r="D10" s="1" t="s">
        <v>271</v>
      </c>
      <c r="E10" s="1" t="s">
        <v>341</v>
      </c>
    </row>
    <row r="11" spans="1:6" ht="16.5" customHeight="1">
      <c r="A11" s="20" t="s">
        <v>265</v>
      </c>
      <c r="B11" s="3" t="s">
        <v>272</v>
      </c>
      <c r="C11" s="3" t="s">
        <v>223</v>
      </c>
      <c r="D11" s="3" t="s">
        <v>385</v>
      </c>
      <c r="E11" s="3"/>
    </row>
    <row r="12" spans="1:6" ht="16.5" customHeight="1">
      <c r="A12" s="20" t="s">
        <v>16</v>
      </c>
      <c r="B12" s="3" t="s">
        <v>38</v>
      </c>
      <c r="C12" s="3" t="s">
        <v>223</v>
      </c>
      <c r="D12" s="21" t="str">
        <f>"MVkms/"&amp;B2</f>
        <v>MVkms/PJ</v>
      </c>
      <c r="E12" s="21"/>
    </row>
    <row r="13" spans="1:6" ht="16.5" customHeight="1">
      <c r="A13" s="20" t="s">
        <v>16</v>
      </c>
      <c r="B13" s="3" t="s">
        <v>38</v>
      </c>
      <c r="C13" s="3" t="s">
        <v>310</v>
      </c>
      <c r="D13" s="21" t="str">
        <f>"000km_flown/"&amp;B2</f>
        <v>000km_flown/PJ</v>
      </c>
      <c r="E13" s="21"/>
    </row>
    <row r="14" spans="1:6" ht="16.5" customHeight="1">
      <c r="A14" s="20" t="s">
        <v>17</v>
      </c>
      <c r="B14" s="3" t="s">
        <v>274</v>
      </c>
      <c r="C14" s="3" t="s">
        <v>223</v>
      </c>
      <c r="D14" s="21" t="s">
        <v>277</v>
      </c>
      <c r="E14" s="21"/>
    </row>
    <row r="15" spans="1:6" ht="16.5" customHeight="1">
      <c r="A15" s="20" t="s">
        <v>273</v>
      </c>
      <c r="B15" s="3" t="s">
        <v>275</v>
      </c>
      <c r="C15" s="3" t="s">
        <v>345</v>
      </c>
      <c r="D15" s="21" t="s">
        <v>352</v>
      </c>
      <c r="E15" s="21"/>
    </row>
    <row r="16" spans="1:6" ht="16.5" customHeight="1">
      <c r="A16" s="20" t="s">
        <v>273</v>
      </c>
      <c r="B16" s="3" t="s">
        <v>275</v>
      </c>
      <c r="C16" s="3" t="s">
        <v>373</v>
      </c>
      <c r="D16" s="21" t="s">
        <v>374</v>
      </c>
      <c r="E16" s="21"/>
    </row>
    <row r="17" spans="1:5" ht="16.5" customHeight="1">
      <c r="A17" s="20" t="s">
        <v>273</v>
      </c>
      <c r="B17" s="3" t="s">
        <v>275</v>
      </c>
      <c r="C17" s="3" t="s">
        <v>343</v>
      </c>
      <c r="D17" s="21" t="s">
        <v>297</v>
      </c>
      <c r="E17" s="21"/>
    </row>
    <row r="18" spans="1:5" ht="16.5" customHeight="1">
      <c r="A18" s="20" t="s">
        <v>273</v>
      </c>
      <c r="B18" s="3" t="s">
        <v>275</v>
      </c>
      <c r="C18" s="3" t="s">
        <v>372</v>
      </c>
      <c r="D18" s="21" t="s">
        <v>371</v>
      </c>
      <c r="E18" s="21"/>
    </row>
    <row r="19" spans="1:5" ht="16.5" customHeight="1">
      <c r="A19" s="20" t="s">
        <v>3</v>
      </c>
      <c r="B19" s="3" t="s">
        <v>41</v>
      </c>
      <c r="C19" s="3" t="s">
        <v>223</v>
      </c>
      <c r="D19" s="21" t="s">
        <v>523</v>
      </c>
      <c r="E19" s="21" t="str">
        <f>B4&amp;"/000s Units"</f>
        <v>M$/000s Units</v>
      </c>
    </row>
    <row r="20" spans="1:5" ht="16.5" customHeight="1">
      <c r="A20" s="20" t="s">
        <v>3</v>
      </c>
      <c r="B20" s="3" t="s">
        <v>41</v>
      </c>
      <c r="C20" s="3" t="s">
        <v>131</v>
      </c>
      <c r="D20" s="21" t="s">
        <v>524</v>
      </c>
      <c r="E20" s="21" t="str">
        <f>B4&amp;"/"&amp;B2&amp;"/a"</f>
        <v>M$/PJ/a</v>
      </c>
    </row>
    <row r="21" spans="1:5" ht="16.5" customHeight="1">
      <c r="A21" s="20" t="s">
        <v>314</v>
      </c>
      <c r="B21" s="3" t="s">
        <v>316</v>
      </c>
      <c r="C21" s="3" t="s">
        <v>223</v>
      </c>
      <c r="D21" s="21" t="s">
        <v>525</v>
      </c>
      <c r="E21" s="21" t="str">
        <f>B4&amp;"/"&amp;B2</f>
        <v>M$/PJ</v>
      </c>
    </row>
    <row r="22" spans="1:5" ht="16.5" customHeight="1">
      <c r="A22" s="20" t="s">
        <v>266</v>
      </c>
      <c r="B22" s="3" t="s">
        <v>276</v>
      </c>
      <c r="C22" s="3" t="s">
        <v>223</v>
      </c>
      <c r="D22" s="21" t="s">
        <v>278</v>
      </c>
      <c r="E22" s="21"/>
    </row>
    <row r="23" spans="1:5" ht="18.75" customHeight="1">
      <c r="A23" s="20" t="s">
        <v>329</v>
      </c>
      <c r="B23" s="3" t="s">
        <v>39</v>
      </c>
      <c r="C23" s="3" t="s">
        <v>345</v>
      </c>
      <c r="D23" s="22" t="s">
        <v>386</v>
      </c>
      <c r="E23" s="21"/>
    </row>
    <row r="24" spans="1:5" ht="18.75" customHeight="1">
      <c r="A24" s="20" t="s">
        <v>329</v>
      </c>
      <c r="B24" s="3" t="s">
        <v>39</v>
      </c>
      <c r="C24" s="3" t="s">
        <v>343</v>
      </c>
      <c r="D24" s="22" t="s">
        <v>387</v>
      </c>
      <c r="E24" s="21"/>
    </row>
    <row r="25" spans="1:5" ht="18.75" customHeight="1">
      <c r="A25" s="20" t="s">
        <v>329</v>
      </c>
      <c r="B25" s="3" t="s">
        <v>39</v>
      </c>
      <c r="C25" s="3" t="s">
        <v>131</v>
      </c>
      <c r="D25" s="21" t="s">
        <v>350</v>
      </c>
      <c r="E25" s="21" t="str">
        <f>B2&amp;"/"&amp;B6</f>
        <v>PJ/GW</v>
      </c>
    </row>
    <row r="26" spans="1:5" ht="16.5" customHeight="1">
      <c r="A26" s="20" t="s">
        <v>42</v>
      </c>
      <c r="B26" s="3" t="s">
        <v>42</v>
      </c>
      <c r="C26" s="3" t="s">
        <v>342</v>
      </c>
      <c r="D26" s="21" t="s">
        <v>325</v>
      </c>
      <c r="E26" s="21"/>
    </row>
    <row r="27" spans="1:5" ht="16.5" customHeight="1">
      <c r="A27" s="20" t="s">
        <v>42</v>
      </c>
      <c r="B27" s="3" t="s">
        <v>42</v>
      </c>
      <c r="C27" s="3" t="s">
        <v>343</v>
      </c>
      <c r="D27" s="21" t="s">
        <v>326</v>
      </c>
      <c r="E27" s="21"/>
    </row>
    <row r="28" spans="1:5" ht="16.5" customHeight="1">
      <c r="A28" s="20" t="s">
        <v>42</v>
      </c>
      <c r="B28" s="3" t="s">
        <v>42</v>
      </c>
      <c r="C28" s="3" t="s">
        <v>310</v>
      </c>
      <c r="D28" s="21" t="s">
        <v>388</v>
      </c>
      <c r="E28" s="21"/>
    </row>
    <row r="29" spans="1:5" ht="16.5" customHeight="1">
      <c r="A29" s="20" t="s">
        <v>20</v>
      </c>
      <c r="B29" s="3" t="s">
        <v>27</v>
      </c>
      <c r="C29" s="3" t="s">
        <v>310</v>
      </c>
      <c r="D29" s="21" t="s">
        <v>346</v>
      </c>
      <c r="E29" s="21"/>
    </row>
    <row r="30" spans="1:5" ht="16.5" customHeight="1">
      <c r="A30" s="20" t="s">
        <v>20</v>
      </c>
      <c r="B30" s="3" t="s">
        <v>27</v>
      </c>
      <c r="C30" s="3" t="s">
        <v>223</v>
      </c>
      <c r="D30" s="21" t="s">
        <v>290</v>
      </c>
      <c r="E30" s="21"/>
    </row>
    <row r="31" spans="1:5" ht="16.5" customHeight="1">
      <c r="A31" s="20" t="s">
        <v>347</v>
      </c>
      <c r="B31" s="3" t="s">
        <v>348</v>
      </c>
      <c r="C31" s="3" t="s">
        <v>349</v>
      </c>
      <c r="D31" s="21" t="s">
        <v>53</v>
      </c>
      <c r="E31" s="21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TRA_BAL</vt:lpstr>
      <vt:lpstr>En.Bal-Final_Energy</vt:lpstr>
      <vt:lpstr>Data</vt:lpstr>
      <vt:lpstr>Tech_Road_Cars</vt:lpstr>
      <vt:lpstr>Tech_Road_Freight</vt:lpstr>
      <vt:lpstr>Tech_Rail_Nav_Av</vt:lpstr>
      <vt:lpstr>Tech_Road_Bus</vt:lpstr>
      <vt:lpstr>TRA_Fuels</vt:lpstr>
      <vt:lpstr>Emissions_Table</vt:lpstr>
      <vt:lpstr>Commodities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2004-11-16T14:57:57Z</cp:lastPrinted>
  <dcterms:created xsi:type="dcterms:W3CDTF">2000-12-13T15:53:11Z</dcterms:created>
  <dcterms:modified xsi:type="dcterms:W3CDTF">2022-09-23T18:55:41Z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537083923816680</vt:r8>
  </property>
</Properties>
</file>